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1" name="Roll-up" state="visible" r:id="rId4"/>
    <sheet sheetId="1" name="Agave Village (ag011)" state="visible" r:id="rId5"/>
    <sheet sheetId="2" name="Agave Village (ag011) Raw" state="visible" r:id="rId6"/>
    <sheet sheetId="3" name="Agave Village LLC" state="visible" r:id="rId7"/>
    <sheet sheetId="4" name="Agave Village LLC Raw" state="visible" r:id="rId8"/>
    <sheet sheetId="5" name="Brookhaven Estates (bo260)" state="visible" r:id="rId9"/>
    <sheet sheetId="6" name="Brookhaven Estates (bo260) Raw" state="visible" r:id="rId10"/>
    <sheet sheetId="7" name="Brookhaven RV Resort" state="visible" r:id="rId11"/>
    <sheet sheetId="8" name="Brookhaven RV Resort Raw" state="visible" r:id="rId12"/>
    <sheet sheetId="9" name="Courtly Manor" state="visible" r:id="rId13"/>
    <sheet sheetId="10" name="Courtly Manor Raw" state="visible" r:id="rId14"/>
    <sheet sheetId="11" name="Courtly Manor Park (co669)" state="visible" r:id="rId15"/>
    <sheet sheetId="12" name="Courtly Manor Park (co669) Raw" state="visible" r:id="rId16"/>
    <sheet sheetId="13" name="Cross Creek RV" state="visible" r:id="rId17"/>
    <sheet sheetId="14" name="Cross Creek RV Raw" state="visible" r:id="rId18"/>
    <sheet sheetId="15" name="Cross Creek RV Resort (cr994)" state="visible" r:id="rId19"/>
    <sheet sheetId="16" name="Cross Creek RV Resort (cr994) R" state="visible" r:id="rId20"/>
    <sheet sheetId="17" name="El Rio De Oro (el289)" state="visible" r:id="rId21"/>
    <sheet sheetId="18" name="El Rio De Oro (el289) Raw" state="visible" r:id="rId22"/>
    <sheet sheetId="19" name="El Rio del Oro" state="visible" r:id="rId23"/>
    <sheet sheetId="20" name="El Rio del Oro Raw" state="visible" r:id="rId24"/>
    <sheet sheetId="21" name="Endless Summer RV Resort" state="visible" r:id="rId25"/>
    <sheet sheetId="22" name="Endless Summer RV Resort Raw" state="visible" r:id="rId26"/>
    <sheet sheetId="23" name="Endless Summer RV Resort (en079" state="visible" r:id="rId27"/>
    <sheet sheetId="24" name="Endless Summer RV Resort (en 2" state="visible" r:id="rId28"/>
    <sheet sheetId="25" name="Evergreen" state="visible" r:id="rId29"/>
    <sheet sheetId="26" name="Evergreen Raw" state="visible" r:id="rId30"/>
    <sheet sheetId="27" name="Far Horizons" state="visible" r:id="rId31"/>
    <sheet sheetId="28" name="Far Horizons Raw" state="visible" r:id="rId32"/>
    <sheet sheetId="29" name="Far Horizons (fa105)" state="visible" r:id="rId33"/>
    <sheet sheetId="30" name="Far Horizons (fa105) Raw" state="visible" r:id="rId34"/>
    <sheet sheetId="31" name="Floridian Sandalwood (fl356)" state="visible" r:id="rId35"/>
    <sheet sheetId="32" name="Floridian Sandalwood (fl356) Ra" state="visible" r:id="rId36"/>
    <sheet sheetId="33" name="Floridian Sandalwood MHC" state="visible" r:id="rId37"/>
    <sheet sheetId="34" name="Floridian Sandalwood MHC Raw" state="visible" r:id="rId38"/>
    <sheet sheetId="35" name="Glenhaven" state="visible" r:id="rId39"/>
    <sheet sheetId="36" name="Glenhaven Raw" state="visible" r:id="rId40"/>
    <sheet sheetId="37" name="Glenhaven Estates (gl317)" state="visible" r:id="rId41"/>
    <sheet sheetId="38" name="Glenhaven Estates (gl317) Raw" state="visible" r:id="rId42"/>
    <sheet sheetId="39" name="Harbor Lights (ha310)" state="visible" r:id="rId43"/>
    <sheet sheetId="40" name="Harbor Lights (ha310) Raw" state="visible" r:id="rId44"/>
    <sheet sheetId="41" name="Harbor Lights MHC" state="visible" r:id="rId45"/>
    <sheet sheetId="42" name="Harbor Lights MHC Raw" state="visible" r:id="rId46"/>
    <sheet sheetId="43" name="Harvest Gate" state="visible" r:id="rId47"/>
    <sheet sheetId="44" name="Harvest Gate Raw" state="visible" r:id="rId48"/>
    <sheet sheetId="45" name="Hunter Run RV Estates" state="visible" r:id="rId49"/>
    <sheet sheetId="46" name="Hunter Run RV Estates Raw" state="visible" r:id="rId50"/>
    <sheet sheetId="47" name="Hunters Run RV Estates (hu116)" state="visible" r:id="rId51"/>
    <sheet sheetId="48" name="Hunters Run RV Estates (hu116) " state="visible" r:id="rId52"/>
    <sheet sheetId="49" name="Jade Isle (ja068)" state="visible" r:id="rId53"/>
    <sheet sheetId="50" name="Jade Isle (ja068) Raw" state="visible" r:id="rId54"/>
    <sheet sheetId="51" name="Jade Isle MHC" state="visible" r:id="rId55"/>
    <sheet sheetId="52" name="Jade Isle MHC Raw" state="visible" r:id="rId56"/>
    <sheet sheetId="53" name="Kakusha Estates (ka045)" state="visible" r:id="rId57"/>
    <sheet sheetId="54" name="Kakusha Estates (ka045) Raw" state="visible" r:id="rId58"/>
    <sheet sheetId="55" name="Kakusha MHC" state="visible" r:id="rId59"/>
    <sheet sheetId="56" name="Kakusha MHC Raw" state="visible" r:id="rId60"/>
    <sheet sheetId="57" name="Lakeside Village" state="visible" r:id="rId61"/>
    <sheet sheetId="58" name="Lakeside Village Raw" state="visible" r:id="rId62"/>
    <sheet sheetId="59" name="Lakeside Village (la482)" state="visible" r:id="rId63"/>
    <sheet sheetId="60" name="Lakeside Village (la482) Raw" state="visible" r:id="rId64"/>
    <sheet sheetId="61" name="Lakewood Village (la481)" state="visible" r:id="rId65"/>
    <sheet sheetId="62" name="Lakewood Village (la481) Raw" state="visible" r:id="rId66"/>
    <sheet sheetId="63" name="Lakewood Village MHC LLC" state="visible" r:id="rId67"/>
    <sheet sheetId="64" name="Lakewood Village MHC LLC Raw" state="visible" r:id="rId68"/>
    <sheet sheetId="65" name="Maple Corner" state="visible" r:id="rId69"/>
    <sheet sheetId="66" name="Maple Corner Raw" state="visible" r:id="rId70"/>
    <sheet sheetId="67" name="Maple Corner (ma490)" state="visible" r:id="rId71"/>
    <sheet sheetId="68" name="Maple Corner (ma490) Raw" state="visible" r:id="rId72"/>
    <sheet sheetId="69" name="Marlboro Court (ma489)" state="visible" r:id="rId73"/>
    <sheet sheetId="70" name="Marlboro Court (ma489) Raw" state="visible" r:id="rId74"/>
    <sheet sheetId="71" name="Marlboro Court MHC LLC" state="visible" r:id="rId75"/>
    <sheet sheetId="72" name="Marlboro Court MHC LLC Raw" state="visible" r:id="rId76"/>
    <sheet sheetId="73" name="May Manor" state="visible" r:id="rId77"/>
    <sheet sheetId="74" name="May Manor Raw" state="visible" r:id="rId78"/>
    <sheet sheetId="75" name="May Manor (ma488)" state="visible" r:id="rId79"/>
    <sheet sheetId="76" name="May Manor (ma488) Raw" state="visible" r:id="rId80"/>
    <sheet sheetId="77" name="Mobiland by the Sea (mo320)" state="visible" r:id="rId81"/>
    <sheet sheetId="78" name="Mobiland by the Sea (mo320) Raw" state="visible" r:id="rId82"/>
    <sheet sheetId="79" name="Mobiland By The Sea MHC" state="visible" r:id="rId83"/>
    <sheet sheetId="80" name="Mobiland By The Sea MHC Raw" state="visible" r:id="rId84"/>
    <sheet sheetId="81" name="Moss Landing" state="visible" r:id="rId85"/>
    <sheet sheetId="82" name="Moss Landing Raw" state="visible" r:id="rId86"/>
    <sheet sheetId="83" name="Moss Landing (mo321)" state="visible" r:id="rId87"/>
    <sheet sheetId="84" name="Moss Landing (mo321) Raw" state="visible" r:id="rId88"/>
    <sheet sheetId="85" name="Oak Springs" state="visible" r:id="rId89"/>
    <sheet sheetId="86" name="Oak Springs Raw" state="visible" r:id="rId90"/>
    <sheet sheetId="87" name="Oak Springs MHC (oa150)" state="visible" r:id="rId91"/>
    <sheet sheetId="88" name="Oak Springs MHC (oa150) Raw" state="visible" r:id="rId92"/>
    <sheet sheetId="89" name="Orange Manor East" state="visible" r:id="rId93"/>
    <sheet sheetId="90" name="Orange Manor East Raw" state="visible" r:id="rId94"/>
    <sheet sheetId="91" name="Orange Manor East (or125)" state="visible" r:id="rId95"/>
    <sheet sheetId="92" name="Orange Manor East (or125) Raw" state="visible" r:id="rId96"/>
    <sheet sheetId="93" name="Pacific Manor" state="visible" r:id="rId97"/>
    <sheet sheetId="94" name="Pacific Manor Raw" state="visible" r:id="rId98"/>
    <sheet sheetId="95" name="Pacific Manor (pa602)" state="visible" r:id="rId99"/>
    <sheet sheetId="96" name="Pacific Manor (pa602) Raw" state="visible" r:id="rId100"/>
    <sheet sheetId="97" name="Parkhaven" state="visible" r:id="rId101"/>
    <sheet sheetId="98" name="Parkhaven Raw" state="visible" r:id="rId102"/>
    <sheet sheetId="99" name="Ridgecrest" state="visible" r:id="rId103"/>
    <sheet sheetId="100" name="Ridgecrest Raw" state="visible" r:id="rId104"/>
    <sheet sheetId="101" name="Riverest" state="visible" r:id="rId105"/>
    <sheet sheetId="102" name="Riverest Raw" state="visible" r:id="rId106"/>
    <sheet sheetId="103" name="Riverview MHRV LLC" state="visible" r:id="rId107"/>
    <sheet sheetId="104" name="Riverview MHRV LLC Raw" state="visible" r:id="rId108"/>
    <sheet sheetId="105" name="Rosehaven" state="visible" r:id="rId109"/>
    <sheet sheetId="106" name="Rosehaven Raw" state="visible" r:id="rId110"/>
    <sheet sheetId="107" name="Sanctuary RV Resort" state="visible" r:id="rId111"/>
    <sheet sheetId="108" name="Sanctuary RV Resort Raw" state="visible" r:id="rId112"/>
    <sheet sheetId="109" name="Shadow Mountain MHC" state="visible" r:id="rId113"/>
    <sheet sheetId="110" name="Shadow Mountain MHC Raw" state="visible" r:id="rId114"/>
    <sheet sheetId="111" name="Springhaven" state="visible" r:id="rId115"/>
    <sheet sheetId="112" name="Springhaven Raw" state="visible" r:id="rId116"/>
    <sheet sheetId="113" name="Star Valley Ranch" state="visible" r:id="rId117"/>
    <sheet sheetId="114" name="Star Valley Ranch Raw" state="visible" r:id="rId118"/>
    <sheet sheetId="115" name="Sunhaven" state="visible" r:id="rId119"/>
    <sheet sheetId="116" name="Sunhaven Raw" state="visible" r:id="rId120"/>
    <sheet sheetId="117" name="Sunny Grove" state="visible" r:id="rId121"/>
    <sheet sheetId="118" name="Sunny Grove Raw" state="visible" r:id="rId122"/>
    <sheet sheetId="119" name="Tarponaire" state="visible" r:id="rId123"/>
    <sheet sheetId="120" name="Tarponaire Raw" state="visible" r:id="rId124"/>
    <sheet sheetId="121" name="Val Vista RV Resort" state="visible" r:id="rId125"/>
    <sheet sheetId="122" name="Val Vista RV Resort Raw" state="visible" r:id="rId126"/>
    <sheet sheetId="123" name="Webster RV Resort LLC" state="visible" r:id="rId127"/>
    <sheet sheetId="124" name="Webster RV Resort LLC Raw" state="visible" r:id="rId128"/>
    <sheet sheetId="125" name="Wekiva Falls RV Resort" state="visible" r:id="rId129"/>
    <sheet sheetId="126" name="Wekiva Falls RV Resort Raw" state="visible" r:id="rId130"/>
    <sheet sheetId="127" name="West Jupiter RV Resort" state="visible" r:id="rId131"/>
    <sheet sheetId="128" name="West Jupiter RV Resort Raw" state="visible" r:id="rId132"/>
    <sheet sheetId="129" name="Western Way RV Resort LLC" state="visible" r:id="rId133"/>
    <sheet sheetId="130" name="Western Way RV Resort LLC Raw" state="visible" r:id="rId134"/>
    <sheet sheetId="132" name="Plain Data" state="visible" r:id="rId135"/>
  </sheets>
  <calcPr calcId="171027"/>
</workbook>
</file>

<file path=xl/sharedStrings.xml><?xml version="1.0" encoding="utf-8"?>
<sst xmlns="http://schemas.openxmlformats.org/spreadsheetml/2006/main" count="40499" uniqueCount="3214">
  <si>
    <t>Property:</t>
  </si>
  <si>
    <t>Portfolio Roll-up</t>
  </si>
  <si>
    <t>Address:</t>
  </si>
  <si>
    <t/>
  </si>
  <si>
    <t>Utility Items</t>
  </si>
  <si>
    <t>Utility Provider</t>
  </si>
  <si>
    <t>Account Number</t>
  </si>
  <si>
    <t>Dec-99</t>
  </si>
  <si>
    <t>Jan-23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</si>
  <si>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</si>
  <si>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</si>
  <si>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</si>
  <si>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</si>
  <si>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</si>
  <si>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</si>
  <si>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</si>
  <si>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</si>
  <si>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</si>
  <si>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</si>
  <si>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</si>
  <si>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</si>
  <si>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</si>
  <si>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</si>
  <si>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</si>
  <si>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</si>
  <si>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</si>
  <si>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</si>
  <si>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</si>
  <si>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</si>
  <si>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</si>
  <si>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</si>
  <si>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</si>
  <si>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</si>
  <si>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</si>
  <si>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</si>
  <si>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</si>
  <si>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</si>
  <si>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</si>
  <si>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</si>
  <si>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Comments</t>
  </si>
  <si>
    <t>Utility Bills</t>
  </si>
  <si>
    <t>Gas</t>
  </si>
  <si>
    <t>Electricity</t>
  </si>
  <si>
    <t>Water</t>
  </si>
  <si>
    <t>Trash</t>
  </si>
  <si>
    <t>Total Utilities</t>
  </si>
  <si>
    <t>Operating Statement</t>
  </si>
  <si>
    <t>Variance</t>
  </si>
  <si>
    <t>Agave Village (ag011)</t>
  </si>
  <si>
    <t>Southwest Gas Corporation</t>
  </si>
  <si>
    <t>910001582365</t>
  </si>
  <si>
    <t>910002342130</t>
  </si>
  <si>
    <t>910002515265</t>
  </si>
  <si>
    <t>910003080562</t>
  </si>
  <si>
    <t>910004186120</t>
  </si>
  <si>
    <t>910004204621</t>
  </si>
  <si>
    <t>910004277659</t>
  </si>
  <si>
    <t>910004476543</t>
  </si>
  <si>
    <t>910004479028</t>
  </si>
  <si>
    <t>910004527696</t>
  </si>
  <si>
    <t>910004537619</t>
  </si>
  <si>
    <t>910004569047</t>
  </si>
  <si>
    <t>910004976250</t>
  </si>
  <si>
    <t>910005081429</t>
  </si>
  <si>
    <t>Total Gas</t>
  </si>
  <si>
    <t>SRP</t>
  </si>
  <si>
    <t>000-420-104</t>
  </si>
  <si>
    <t>000-420-104-deposit</t>
  </si>
  <si>
    <t>000-557-006</t>
  </si>
  <si>
    <t>100-557-006</t>
  </si>
  <si>
    <t>105-707-007</t>
  </si>
  <si>
    <t>117-607-002</t>
  </si>
  <si>
    <t>135-017-003</t>
  </si>
  <si>
    <t>139-257-005</t>
  </si>
  <si>
    <t>305-707-007</t>
  </si>
  <si>
    <t>340-907-009</t>
  </si>
  <si>
    <t>405-707-007</t>
  </si>
  <si>
    <t>440-907-009</t>
  </si>
  <si>
    <t>534-167-004</t>
  </si>
  <si>
    <t>659-266-000</t>
  </si>
  <si>
    <t>759-266-000</t>
  </si>
  <si>
    <t>768-707-008</t>
  </si>
  <si>
    <t>807-607-002</t>
  </si>
  <si>
    <t>822-159-002</t>
  </si>
  <si>
    <t>999-457-006</t>
  </si>
  <si>
    <t>Total Electricity</t>
  </si>
  <si>
    <t>City of Mesa AZ</t>
  </si>
  <si>
    <t>1007899-190541</t>
  </si>
  <si>
    <t>1007899-190541-deposit</t>
  </si>
  <si>
    <t>Total Water</t>
  </si>
  <si>
    <t>Total Trash</t>
  </si>
  <si>
    <t>Folder Path</t>
  </si>
  <si>
    <t>File Name</t>
  </si>
  <si>
    <t>Bill Dates</t>
  </si>
  <si>
    <t>2025-01-02 · 2025-01-06 · 2025-01-09 · 2025-01-13</t>
  </si>
  <si>
    <t>2025-01-15 · 2025-01-20 · 2025-01-28 · 2025-02-04 · 2025-02-06</t>
  </si>
  <si>
    <t>2025-02-20 · 2025-02-25 · 2025-03-06 · 2025-03-09 · 2025-03-11</t>
  </si>
  <si>
    <t>2025-03-20 · 2025-03-28 · 2025-04-03 · 2025-04-04 · 2025-04-08</t>
  </si>
  <si>
    <t>2025-04-20 · 2025-04-27 · 2025-05-05 · 2025-05-09</t>
  </si>
  <si>
    <t>2025-05-19 · 2025-05-20 · 2025-05-28 · 2025-06-04 · 2025-06-08</t>
  </si>
  <si>
    <t>2025-06-16 · 2025-06-20 · 2025-06-27 · 2025-07-01 · 2025-07-03 · 2025-07-07 · 2025-07-09</t>
  </si>
  <si>
    <t>2025-07-20 · 2025-07-27 · 2025-07-28 · 2025-08-04 · 2025-08-05 · 2025-08-09</t>
  </si>
  <si>
    <t>2025-08-20 · 2025-08-28 · 2025-09-04 · 2025-09-08</t>
  </si>
  <si>
    <t>2025-09-20 · 2025-09-27 · 2025-10-02 · 2025-10-03 · 2025-10-04 · 2025-10-09</t>
  </si>
  <si>
    <t>2025-10-20 · 2025-10-23 · 2025-10-24 · 2025-10-28 · 2025-10-31 · 2025-11-03</t>
  </si>
  <si>
    <t>2025-11-20 · 2025-11-27 · 2025-12-04</t>
  </si>
  <si>
    <t>2025-12-20 · 2025-12-28 · 2025-12-29 · 2026-01-06</t>
  </si>
  <si>
    <t>2026-01-20 · 2026-01-28 · 2026-02-04</t>
  </si>
  <si>
    <t>2026-02-20 · 2026-02-24 · 2026-02-25 · 2026-03-06</t>
  </si>
  <si>
    <t>2026-03-20</t>
  </si>
  <si>
    <t>Agave Village LLC</t>
  </si>
  <si>
    <t>100557006</t>
  </si>
  <si>
    <t>105707007</t>
  </si>
  <si>
    <t>117607002</t>
  </si>
  <si>
    <t>135017003</t>
  </si>
  <si>
    <t>139257005</t>
  </si>
  <si>
    <t>305707007</t>
  </si>
  <si>
    <t>340907009</t>
  </si>
  <si>
    <t>405707007</t>
  </si>
  <si>
    <t>440907009</t>
  </si>
  <si>
    <t>534167004</t>
  </si>
  <si>
    <t>557006</t>
  </si>
  <si>
    <t>659266000</t>
  </si>
  <si>
    <t>759266000</t>
  </si>
  <si>
    <t>768707008</t>
  </si>
  <si>
    <t>807607002</t>
  </si>
  <si>
    <t>822159002</t>
  </si>
  <si>
    <t>829257005</t>
  </si>
  <si>
    <t>999457006</t>
  </si>
  <si>
    <t>1007899190541</t>
  </si>
  <si>
    <t>2023-12-28 · 2024-01-05</t>
  </si>
  <si>
    <t>2024-01-20 · 2024-01-27 · 2024-01-28 · 2024-02-05 · 2024-02-06</t>
  </si>
  <si>
    <t>2024-02-20 · 2024-02-26 · 2024-03-06 · 2024-03-07</t>
  </si>
  <si>
    <t>2024-03-20 · 2024-03-28 · 2024-04-04 · 2024-04-05</t>
  </si>
  <si>
    <t>2024-04-20 · 2024-04-27 · 2024-05-03 · 2024-05-06</t>
  </si>
  <si>
    <t>2024-05-20 · 2024-05-28 · 2024-06-04 · 2024-06-05</t>
  </si>
  <si>
    <t>2024-06-20 · 2024-06-27 · 2024-07-03</t>
  </si>
  <si>
    <t>2024-07-20 · 2024-07-28 · 2024-08-02 · 2024-08-05</t>
  </si>
  <si>
    <t>2024-08-20 · 2024-08-28 · 2024-09-04</t>
  </si>
  <si>
    <t>2024-09-20 · 2024-09-24 · 2024-09-27 · 2024-10-02 · 2024-10-03 · 2024-10-09</t>
  </si>
  <si>
    <t>2024-10-20 · 2024-10-28 · 2024-10-30 · 2024-10-31 · 2024-11-04 · 2024-11-08</t>
  </si>
  <si>
    <t>2024-11-20 · 2024-11-27 · 2024-12-04 · 2024-12-09</t>
  </si>
  <si>
    <t>2024-12-20</t>
  </si>
  <si>
    <t>Brookhaven Estates (bo260)</t>
  </si>
  <si>
    <t>057-500-103</t>
  </si>
  <si>
    <t>186-839-009</t>
  </si>
  <si>
    <t>241-767-005</t>
  </si>
  <si>
    <t>297-667-004</t>
  </si>
  <si>
    <t>327-569-002</t>
  </si>
  <si>
    <t>327-569-002-deposit</t>
  </si>
  <si>
    <t>345-510-106</t>
  </si>
  <si>
    <t>345-510-106-deposit</t>
  </si>
  <si>
    <t>506-427-003</t>
  </si>
  <si>
    <t>573-776-000</t>
  </si>
  <si>
    <t>606-427-003</t>
  </si>
  <si>
    <t>606-829-001</t>
  </si>
  <si>
    <t>606-829-001-deposit</t>
  </si>
  <si>
    <t>728-027-002</t>
  </si>
  <si>
    <t>767-539-002</t>
  </si>
  <si>
    <t>840-400-109</t>
  </si>
  <si>
    <t>887-988-001</t>
  </si>
  <si>
    <t>Apache Junction Water District</t>
  </si>
  <si>
    <t>12082-110992</t>
  </si>
  <si>
    <t>2025-01-02 · 2025-01-03 · 2025-01-10</t>
  </si>
  <si>
    <t>2025-01-16 · 2025-02-02 · 2025-02-06 · 2025-02-13</t>
  </si>
  <si>
    <t>2025-03-02 · 2025-03-03 · 2025-03-10</t>
  </si>
  <si>
    <t>2025-03-16 · 2025-03-18 · 2025-04-02 · 2025-04-11</t>
  </si>
  <si>
    <t>2025-04-15 · 2025-04-17 · 2025-05-02 · 2025-05-09</t>
  </si>
  <si>
    <t>2025-05-16 · 2025-06-02 · 2025-06-05</t>
  </si>
  <si>
    <t>2025-06-15 · 2025-07-02 · 2025-07-10</t>
  </si>
  <si>
    <t>2025-07-16 · 2025-08-02 · 2025-08-08</t>
  </si>
  <si>
    <t>2025-08-16 · 2025-09-02 · 2025-09-04</t>
  </si>
  <si>
    <t>2025-09-15 · 2025-10-02 · 2025-10-10</t>
  </si>
  <si>
    <t>2025-10-16 · 2025-10-31 · 2025-11-02 · 2025-11-07</t>
  </si>
  <si>
    <t>2025-11-15 · 2025-12-02 · 2025-12-05</t>
  </si>
  <si>
    <t>2025-12-16 · 2025-12-29 · 2026-01-02 · 2026-01-08</t>
  </si>
  <si>
    <t>2026-01-16 · 2026-02-02 · 2026-02-07 · 2026-02-13</t>
  </si>
  <si>
    <t>2026-02-17 · 2026-02-20 · 2026-03-02 · 2026-03-06 · 2026-03-08</t>
  </si>
  <si>
    <t>2026-03-16</t>
  </si>
  <si>
    <t>Brookhaven RV Resort</t>
  </si>
  <si>
    <t>186839009</t>
  </si>
  <si>
    <t>241767005</t>
  </si>
  <si>
    <t>297667004</t>
  </si>
  <si>
    <t>506427003</t>
  </si>
  <si>
    <t>573776000</t>
  </si>
  <si>
    <t>597667004</t>
  </si>
  <si>
    <t>606427003</t>
  </si>
  <si>
    <t>651798004</t>
  </si>
  <si>
    <t>708027002</t>
  </si>
  <si>
    <t>728027002</t>
  </si>
  <si>
    <t>767539002</t>
  </si>
  <si>
    <t>767808001</t>
  </si>
  <si>
    <t>887988001</t>
  </si>
  <si>
    <t>11099212082</t>
  </si>
  <si>
    <t>2024-01-02</t>
  </si>
  <si>
    <t>2024-01-16 · 2024-02-02 · 2024-02-09 · 2024-02-14</t>
  </si>
  <si>
    <t>2024-03-01 · 2024-03-02 · 2024-03-06 · 2024-03-07</t>
  </si>
  <si>
    <t>2024-03-16 · 2024-03-19 · 2024-04-02 · 2024-04-05</t>
  </si>
  <si>
    <t>2024-04-15 · 2024-05-02 · 2024-05-06 · 2024-05-09</t>
  </si>
  <si>
    <t>2024-05-16 · 2024-06-02 · 2024-06-07</t>
  </si>
  <si>
    <t>2024-06-15 · 2024-07-02</t>
  </si>
  <si>
    <t>2024-07-15 · 2024-07-16 · 2024-08-02 · 2024-08-08</t>
  </si>
  <si>
    <t>2024-08-16 · 2024-09-02 · 2024-09-06</t>
  </si>
  <si>
    <t>2024-09-15 · 2024-10-02 · 2024-10-11</t>
  </si>
  <si>
    <t>2024-10-16 · 2024-11-02 · 2024-11-08</t>
  </si>
  <si>
    <t>2024-11-15 · 2024-12-02 · 2024-12-06</t>
  </si>
  <si>
    <t>2024-12-16</t>
  </si>
  <si>
    <t>Courtly Manor</t>
  </si>
  <si>
    <t>297594251</t>
  </si>
  <si>
    <t>3698778325</t>
  </si>
  <si>
    <t>5498172070</t>
  </si>
  <si>
    <t>6409472484</t>
  </si>
  <si>
    <t>7427374462</t>
  </si>
  <si>
    <t>00OK012401000001</t>
  </si>
  <si>
    <t>2024-01-04</t>
  </si>
  <si>
    <t>2024-01-17</t>
  </si>
  <si>
    <t>2024-02-16 · 2024-03-04</t>
  </si>
  <si>
    <t>2024-03-18</t>
  </si>
  <si>
    <t>2024-04-17 · 2024-05-03</t>
  </si>
  <si>
    <t>2024-05-17</t>
  </si>
  <si>
    <t>2024-06-17 · 2024-07-02</t>
  </si>
  <si>
    <t>2024-07-18</t>
  </si>
  <si>
    <t>2024-08-16 · 2024-09-04</t>
  </si>
  <si>
    <t>2024-09-17</t>
  </si>
  <si>
    <t>2024-10-17 · 2024-11-06</t>
  </si>
  <si>
    <t>2024-11-15</t>
  </si>
  <si>
    <t>Courtly Manor Park (co669)</t>
  </si>
  <si>
    <t>Florida Power and Light Company</t>
  </si>
  <si>
    <t>02975-94251</t>
  </si>
  <si>
    <t>36987-78325</t>
  </si>
  <si>
    <t>54981-72070</t>
  </si>
  <si>
    <t>74273-74462</t>
  </si>
  <si>
    <t>City of Hialeah Gardens</t>
  </si>
  <si>
    <t>005-00393-01</t>
  </si>
  <si>
    <t>00OK-012401-0000-01</t>
  </si>
  <si>
    <t>2025-01-03</t>
  </si>
  <si>
    <t>2025-01-16</t>
  </si>
  <si>
    <t>2025-02-18 · 2025-03-05</t>
  </si>
  <si>
    <t>2025-03-18</t>
  </si>
  <si>
    <t>2025-04-16 · 2025-05-02</t>
  </si>
  <si>
    <t>2025-05-16</t>
  </si>
  <si>
    <t>2025-06-17 · 2025-06-30</t>
  </si>
  <si>
    <t>2025-07-17</t>
  </si>
  <si>
    <t>2025-08-18 · 2025-09-02</t>
  </si>
  <si>
    <t>2025-09-17</t>
  </si>
  <si>
    <t>2025-10-17 · 2025-11-03</t>
  </si>
  <si>
    <t>2025-11-15</t>
  </si>
  <si>
    <t>2025-12-15 · 2026-01-06</t>
  </si>
  <si>
    <t>2026-01-15</t>
  </si>
  <si>
    <t>2026-02-17 · 2026-03-03</t>
  </si>
  <si>
    <t>2026-03-18</t>
  </si>
  <si>
    <t>Cross Creek RV</t>
  </si>
  <si>
    <t>1037452487</t>
  </si>
  <si>
    <t>1053497549</t>
  </si>
  <si>
    <t>1306063320</t>
  </si>
  <si>
    <t>1368763296</t>
  </si>
  <si>
    <t>1430178036</t>
  </si>
  <si>
    <t>151796208</t>
  </si>
  <si>
    <t>152686432</t>
  </si>
  <si>
    <t>1562350312</t>
  </si>
  <si>
    <t>1659810020</t>
  </si>
  <si>
    <t>1729477313</t>
  </si>
  <si>
    <t>1855917215</t>
  </si>
  <si>
    <t>220930069</t>
  </si>
  <si>
    <t>222407157</t>
  </si>
  <si>
    <t>286265517</t>
  </si>
  <si>
    <t>3078702564</t>
  </si>
  <si>
    <t>3274889256</t>
  </si>
  <si>
    <t>3420079513</t>
  </si>
  <si>
    <t>3472483514</t>
  </si>
  <si>
    <t>358619476</t>
  </si>
  <si>
    <t>375780319</t>
  </si>
  <si>
    <t>398396150</t>
  </si>
  <si>
    <t>4002842138</t>
  </si>
  <si>
    <t>4407676438</t>
  </si>
  <si>
    <t>4407863325</t>
  </si>
  <si>
    <t>4495603096</t>
  </si>
  <si>
    <t>4629800352</t>
  </si>
  <si>
    <t>4642945218</t>
  </si>
  <si>
    <t>4693752596</t>
  </si>
  <si>
    <t>4778582520</t>
  </si>
  <si>
    <t>4883402309</t>
  </si>
  <si>
    <t>4892998503</t>
  </si>
  <si>
    <t>4967891104</t>
  </si>
  <si>
    <t>5036385515</t>
  </si>
  <si>
    <t>5087674296</t>
  </si>
  <si>
    <t>511563322</t>
  </si>
  <si>
    <t>5222013095</t>
  </si>
  <si>
    <t>52575511</t>
  </si>
  <si>
    <t>5352405103</t>
  </si>
  <si>
    <t>5401211312</t>
  </si>
  <si>
    <t>5556384120</t>
  </si>
  <si>
    <t>5692148389</t>
  </si>
  <si>
    <t>5798252135</t>
  </si>
  <si>
    <t>5843778290</t>
  </si>
  <si>
    <t>6051357462</t>
  </si>
  <si>
    <t>6124273324</t>
  </si>
  <si>
    <t>6225608261</t>
  </si>
  <si>
    <t>624946513</t>
  </si>
  <si>
    <t>6289096437</t>
  </si>
  <si>
    <t>6315493046</t>
  </si>
  <si>
    <t>6400249477</t>
  </si>
  <si>
    <t>6508940357</t>
  </si>
  <si>
    <t>6538267185</t>
  </si>
  <si>
    <t>656592094</t>
  </si>
  <si>
    <t>6577726034</t>
  </si>
  <si>
    <t>6705964028</t>
  </si>
  <si>
    <t>6816792052</t>
  </si>
  <si>
    <t>6835429579</t>
  </si>
  <si>
    <t>6841452193</t>
  </si>
  <si>
    <t>6865329442</t>
  </si>
  <si>
    <t>6938680318</t>
  </si>
  <si>
    <t>7066723490</t>
  </si>
  <si>
    <t>7069045214</t>
  </si>
  <si>
    <t>7107556511</t>
  </si>
  <si>
    <t>7248010535</t>
  </si>
  <si>
    <t>7309777261</t>
  </si>
  <si>
    <t>7358531247</t>
  </si>
  <si>
    <t>7398562004</t>
  </si>
  <si>
    <t>7466738502</t>
  </si>
  <si>
    <t>7478874121</t>
  </si>
  <si>
    <t>7654300537</t>
  </si>
  <si>
    <t>7702387510</t>
  </si>
  <si>
    <t>7857609189</t>
  </si>
  <si>
    <t>7963514364</t>
  </si>
  <si>
    <t>7971652131</t>
  </si>
  <si>
    <t>7980194125</t>
  </si>
  <si>
    <t>8172917380</t>
  </si>
  <si>
    <t>8226559386</t>
  </si>
  <si>
    <t>8274076432</t>
  </si>
  <si>
    <t>8316470312</t>
  </si>
  <si>
    <t>8501372372</t>
  </si>
  <si>
    <t>850348525</t>
  </si>
  <si>
    <t>8539239478</t>
  </si>
  <si>
    <t>8565109181</t>
  </si>
  <si>
    <t>8570477011</t>
  </si>
  <si>
    <t>8593890539</t>
  </si>
  <si>
    <t>8895351057</t>
  </si>
  <si>
    <t>8908330551</t>
  </si>
  <si>
    <t>8945754391</t>
  </si>
  <si>
    <t>8972082526</t>
  </si>
  <si>
    <t>9026299033</t>
  </si>
  <si>
    <t>9031230353</t>
  </si>
  <si>
    <t>9165121212</t>
  </si>
  <si>
    <t>9316952135</t>
  </si>
  <si>
    <t>9353784128</t>
  </si>
  <si>
    <t>9384966355</t>
  </si>
  <si>
    <t>9484186433</t>
  </si>
  <si>
    <t>9592411509</t>
  </si>
  <si>
    <t>9643996151</t>
  </si>
  <si>
    <t>967897018</t>
  </si>
  <si>
    <t>9761669382</t>
  </si>
  <si>
    <t>9958573348</t>
  </si>
  <si>
    <t>996745436</t>
  </si>
  <si>
    <t>9969381079</t>
  </si>
  <si>
    <t>1900-01-01</t>
  </si>
  <si>
    <t>2023-12-07 · 2023-12-12</t>
  </si>
  <si>
    <t>2024-01-08 · 2024-01-11</t>
  </si>
  <si>
    <t>2024-01-24 · 2024-01-31 · 2024-02-08 · 2024-02-09</t>
  </si>
  <si>
    <t>2024-03-02 · 2024-03-08</t>
  </si>
  <si>
    <t>2024-04-09</t>
  </si>
  <si>
    <t>2024-05-02 · 2024-05-09</t>
  </si>
  <si>
    <t>2024-06-10</t>
  </si>
  <si>
    <t>2024-07-09 · 2024-07-10</t>
  </si>
  <si>
    <t>2024-07-31 · 2024-08-08</t>
  </si>
  <si>
    <t>2024-09-09 · 2024-09-13</t>
  </si>
  <si>
    <t>2024-09-25 · 2024-10-08 · 2024-10-11</t>
  </si>
  <si>
    <t>2024-10-29 · 2024-11-01 · 2024-11-07 · 2024-11-08 · 2024-11-13</t>
  </si>
  <si>
    <t>2024-12-09 · 2024-12-11</t>
  </si>
  <si>
    <t>Cross Creek RV Resort (cr994)</t>
  </si>
  <si>
    <t>00525-75511</t>
  </si>
  <si>
    <t>00673-07058</t>
  </si>
  <si>
    <t>01086-67114</t>
  </si>
  <si>
    <t>01517-96208</t>
  </si>
  <si>
    <t>02209-30069</t>
  </si>
  <si>
    <t>02862-65517</t>
  </si>
  <si>
    <t>02986-94217</t>
  </si>
  <si>
    <t>03586-19476</t>
  </si>
  <si>
    <t>03757-80319</t>
  </si>
  <si>
    <t>05115-63322</t>
  </si>
  <si>
    <t>06249-46513</t>
  </si>
  <si>
    <t>06565-92094</t>
  </si>
  <si>
    <t>10374-52487</t>
  </si>
  <si>
    <t>10534-97549</t>
  </si>
  <si>
    <t>10951-19598</t>
  </si>
  <si>
    <t>12450-10390</t>
  </si>
  <si>
    <t>12497-90369</t>
  </si>
  <si>
    <t>13060-63320</t>
  </si>
  <si>
    <t>13687-63296</t>
  </si>
  <si>
    <t>14176-11140</t>
  </si>
  <si>
    <t>14914-75289</t>
  </si>
  <si>
    <t>15623-50312</t>
  </si>
  <si>
    <t>15763-05146</t>
  </si>
  <si>
    <t>16256-16253</t>
  </si>
  <si>
    <t>16598-10020</t>
  </si>
  <si>
    <t>17294-77313</t>
  </si>
  <si>
    <t>17750-15140</t>
  </si>
  <si>
    <t>30787-02564</t>
  </si>
  <si>
    <t>34724-83514</t>
  </si>
  <si>
    <t>40028-42138</t>
  </si>
  <si>
    <t>41721-01448</t>
  </si>
  <si>
    <t>44078-63325</t>
  </si>
  <si>
    <t>45108-14207</t>
  </si>
  <si>
    <t>46298-00352</t>
  </si>
  <si>
    <t>46429-45218</t>
  </si>
  <si>
    <t>47785-82520</t>
  </si>
  <si>
    <t>48031-16542</t>
  </si>
  <si>
    <t>49447-64093</t>
  </si>
  <si>
    <t>49633-90069</t>
  </si>
  <si>
    <t>49718-16543</t>
  </si>
  <si>
    <t>50363-85515</t>
  </si>
  <si>
    <t>52980-35097</t>
  </si>
  <si>
    <t>53123-84091</t>
  </si>
  <si>
    <t>53524-05103</t>
  </si>
  <si>
    <t>54012-11312</t>
  </si>
  <si>
    <t>55053-26545</t>
  </si>
  <si>
    <t>56921-48389</t>
  </si>
  <si>
    <t>57757-72196</t>
  </si>
  <si>
    <t>57982-52135</t>
  </si>
  <si>
    <t>58437-78290</t>
  </si>
  <si>
    <t>59089-71475</t>
  </si>
  <si>
    <t>60513-57462</t>
  </si>
  <si>
    <t>61032-96528</t>
  </si>
  <si>
    <t>61242-73324</t>
  </si>
  <si>
    <t>61542-26358</t>
  </si>
  <si>
    <t>63154-93046</t>
  </si>
  <si>
    <t>64002-49477</t>
  </si>
  <si>
    <t>64242-08111</t>
  </si>
  <si>
    <t>64780-01065</t>
  </si>
  <si>
    <t>65382-67185</t>
  </si>
  <si>
    <t>67571-04317</t>
  </si>
  <si>
    <t>67771-10294</t>
  </si>
  <si>
    <t>68354-29579</t>
  </si>
  <si>
    <t>68414-52193</t>
  </si>
  <si>
    <t>68555-49116</t>
  </si>
  <si>
    <t>69903-36361</t>
  </si>
  <si>
    <t>72480-10535</t>
  </si>
  <si>
    <t>73097-77261</t>
  </si>
  <si>
    <t>73132-90335</t>
  </si>
  <si>
    <t>73754-01366</t>
  </si>
  <si>
    <t>74667-38502</t>
  </si>
  <si>
    <t>74788-74121</t>
  </si>
  <si>
    <t>76543-00537</t>
  </si>
  <si>
    <t>77023-87510</t>
  </si>
  <si>
    <t>79716-52131</t>
  </si>
  <si>
    <t>79801-94125</t>
  </si>
  <si>
    <t>81729-17380</t>
  </si>
  <si>
    <t>82265-59386</t>
  </si>
  <si>
    <t>83164-70312</t>
  </si>
  <si>
    <t>83254-45586</t>
  </si>
  <si>
    <t>83339-84097</t>
  </si>
  <si>
    <t>83709-63004</t>
  </si>
  <si>
    <t>83960-79108</t>
  </si>
  <si>
    <t>85037-38414</t>
  </si>
  <si>
    <t>85392-39478</t>
  </si>
  <si>
    <t>85606-73009</t>
  </si>
  <si>
    <t>85704-77011</t>
  </si>
  <si>
    <t>87850-24384</t>
  </si>
  <si>
    <t>88738-05298</t>
  </si>
  <si>
    <t>88953-51057</t>
  </si>
  <si>
    <t>89083-30551</t>
  </si>
  <si>
    <t>89720-82526</t>
  </si>
  <si>
    <t>90262-99033</t>
  </si>
  <si>
    <t>91491-83007</t>
  </si>
  <si>
    <t>91651-21212</t>
  </si>
  <si>
    <t>92044-19106</t>
  </si>
  <si>
    <t>93169-52135</t>
  </si>
  <si>
    <t>93537-84128</t>
  </si>
  <si>
    <t>93849-66355</t>
  </si>
  <si>
    <t>93881-96058</t>
  </si>
  <si>
    <t>95239-01362</t>
  </si>
  <si>
    <t>95350-31422</t>
  </si>
  <si>
    <t>95831-71021</t>
  </si>
  <si>
    <t>96439-96151</t>
  </si>
  <si>
    <t>96459-19599</t>
  </si>
  <si>
    <t>97616-69382</t>
  </si>
  <si>
    <t>98667-10297</t>
  </si>
  <si>
    <t>98948-94295</t>
  </si>
  <si>
    <t>99693-81079</t>
  </si>
  <si>
    <t>2025-01-06 · 2025-01-08 · 2025-01-09</t>
  </si>
  <si>
    <t>2025-02-10 · 2025-02-11</t>
  </si>
  <si>
    <t>2025-03-10</t>
  </si>
  <si>
    <t>2025-04-01 · 2025-04-08 · 2025-04-09</t>
  </si>
  <si>
    <t>2025-04-16 · 2025-04-28 · 2025-05-01 · 2025-05-02 · 2025-05-08</t>
  </si>
  <si>
    <t>2025-05-27 · 2025-05-28 · 2025-06-09 · 2025-06-13</t>
  </si>
  <si>
    <t>2025-07-09</t>
  </si>
  <si>
    <t>2025-07-15 · 2025-07-17 · 2025-08-08 · 2025-08-13</t>
  </si>
  <si>
    <t>2025-08-19 · 2025-09-09</t>
  </si>
  <si>
    <t>2025-10-09 · 2025-10-10</t>
  </si>
  <si>
    <t>2025-10-23 · 2025-11-04 · 2025-11-07 · 2025-11-08 · 2025-11-10 · 2025-11-11 · 2025-11-14</t>
  </si>
  <si>
    <t>2025-12-02 · 2025-12-08 · 2025-12-09 · 2025-12-11</t>
  </si>
  <si>
    <t>2025-12-17 · 2026-01-08 · 2026-01-09 · 2026-01-10 · 2026-01-13</t>
  </si>
  <si>
    <t>2026-01-20 · 2026-01-22 · 2026-02-05 · 2026-02-09 · 2026-02-10</t>
  </si>
  <si>
    <t>2026-03-04 · 2026-03-06 · 2026-03-10</t>
  </si>
  <si>
    <t>El Rio De Oro (el289)</t>
  </si>
  <si>
    <t>UNS Gas Inc</t>
  </si>
  <si>
    <t>5459088814</t>
  </si>
  <si>
    <t>APS</t>
  </si>
  <si>
    <t>5184783149</t>
  </si>
  <si>
    <t>8828864056</t>
  </si>
  <si>
    <t>City of Cottonwood Utilities</t>
  </si>
  <si>
    <t>026621-000</t>
  </si>
  <si>
    <t>Taylor Waste Inc</t>
  </si>
  <si>
    <t>137056</t>
  </si>
  <si>
    <t>2025-01-16 · 2025-01-21 · 2025-01-22</t>
  </si>
  <si>
    <t>2025-02-17 · 2025-02-18 · 2025-02-19 · 2025-03-14</t>
  </si>
  <si>
    <t>2025-03-19</t>
  </si>
  <si>
    <t>2025-04-15 · 2025-04-18 · 2025-05-14</t>
  </si>
  <si>
    <t>2025-05-20</t>
  </si>
  <si>
    <t>2025-06-17 · 2025-06-19 · 2025-06-20 · 2025-07-14</t>
  </si>
  <si>
    <t>2025-07-21</t>
  </si>
  <si>
    <t>2025-08-15 · 2025-08-20</t>
  </si>
  <si>
    <t>2025-09-16 · 2025-09-19 · 2025-10-14</t>
  </si>
  <si>
    <t>2025-10-20 · 2025-10-21 · 2025-10-31 · 2025-11-14</t>
  </si>
  <si>
    <t>2025-11-18 · 2025-11-19</t>
  </si>
  <si>
    <t>2025-12-15 · 2025-12-19</t>
  </si>
  <si>
    <t>2026-01-16 · 2026-01-21 · 2026-01-22</t>
  </si>
  <si>
    <t>2026-02-17 · 2026-02-19 · 2026-02-20</t>
  </si>
  <si>
    <t>2026-03-19 · 2026-03-20</t>
  </si>
  <si>
    <t>El Rio del Oro</t>
  </si>
  <si>
    <t>5450083205</t>
  </si>
  <si>
    <t>5451737299</t>
  </si>
  <si>
    <t>5698575761</t>
  </si>
  <si>
    <t>8820603736</t>
  </si>
  <si>
    <t>8824861390</t>
  </si>
  <si>
    <t>8829357525</t>
  </si>
  <si>
    <t>26621000</t>
  </si>
  <si>
    <t>2024-01-17 · 2024-01-19 · 2024-01-22 · 2024-02-09</t>
  </si>
  <si>
    <t>2024-02-20 · 2024-02-21</t>
  </si>
  <si>
    <t>2024-03-19 · 2024-03-20 · 2024-03-21</t>
  </si>
  <si>
    <t>2024-04-15 · 2024-04-19</t>
  </si>
  <si>
    <t>2024-05-20 · 2024-05-21</t>
  </si>
  <si>
    <t>2024-06-18 · 2024-06-20</t>
  </si>
  <si>
    <t>2024-07-22 · 2024-07-23</t>
  </si>
  <si>
    <t>2024-08-20 · 2024-08-21</t>
  </si>
  <si>
    <t>2024-09-19 · 2024-09-20 · 2024-09-23</t>
  </si>
  <si>
    <t>2024-10-18 · 2024-10-21</t>
  </si>
  <si>
    <t>2024-11-15 · 2024-11-20 · 2024-11-21</t>
  </si>
  <si>
    <t>Endless Summer RV Resort</t>
  </si>
  <si>
    <t>103490165</t>
  </si>
  <si>
    <t>1577291212</t>
  </si>
  <si>
    <t>1632921043</t>
  </si>
  <si>
    <t>1791593120</t>
  </si>
  <si>
    <t>1797999032</t>
  </si>
  <si>
    <t>1861281218</t>
  </si>
  <si>
    <t>196801161</t>
  </si>
  <si>
    <t>3186241042</t>
  </si>
  <si>
    <t>3382253429</t>
  </si>
  <si>
    <t>3428510139</t>
  </si>
  <si>
    <t>3567289032</t>
  </si>
  <si>
    <t>4667193546</t>
  </si>
  <si>
    <t>4832904124</t>
  </si>
  <si>
    <t>5419022552</t>
  </si>
  <si>
    <t>5558462254</t>
  </si>
  <si>
    <t>5633250476</t>
  </si>
  <si>
    <t>5690953426</t>
  </si>
  <si>
    <t>6469304122</t>
  </si>
  <si>
    <t>7229414128</t>
  </si>
  <si>
    <t>8221831046</t>
  </si>
  <si>
    <t>8463881212</t>
  </si>
  <si>
    <t>8672752253</t>
  </si>
  <si>
    <t>9360101167</t>
  </si>
  <si>
    <t>9509876570</t>
  </si>
  <si>
    <t>9814072519</t>
  </si>
  <si>
    <t>5700700001</t>
  </si>
  <si>
    <t>2023-12-28 · 2024-01-12</t>
  </si>
  <si>
    <t>2024-01-29 · 2024-02-13</t>
  </si>
  <si>
    <t>2024-02-27 · 2024-03-13</t>
  </si>
  <si>
    <t>2024-03-27 · 2024-04-11</t>
  </si>
  <si>
    <t>2024-04-26 · 2024-05-13</t>
  </si>
  <si>
    <t>2024-05-29 · 2024-06-13</t>
  </si>
  <si>
    <t>2024-06-27 · 2024-07-12</t>
  </si>
  <si>
    <t>2024-07-29 · 2024-08-08 · 2024-08-13 · 2024-08-14</t>
  </si>
  <si>
    <t>2024-08-28 · 2024-09-09 · 2024-09-13</t>
  </si>
  <si>
    <t>2024-09-26 · 2024-10-08 · 2024-10-14</t>
  </si>
  <si>
    <t>2024-10-15 · 2024-10-28 · 2024-11-07 · 2024-11-13 · 2024-11-14</t>
  </si>
  <si>
    <t>2024-11-26 · 2024-12-09 · 2024-12-13</t>
  </si>
  <si>
    <t>2024-12-30</t>
  </si>
  <si>
    <t>Endless Summer RV Resort (en079)</t>
  </si>
  <si>
    <t>01034-90165</t>
  </si>
  <si>
    <t>01968-01161</t>
  </si>
  <si>
    <t>15772-91212</t>
  </si>
  <si>
    <t>16329-21043</t>
  </si>
  <si>
    <t>18612-81218</t>
  </si>
  <si>
    <t>33822-53429</t>
  </si>
  <si>
    <t>34285-10139</t>
  </si>
  <si>
    <t>46671-93546</t>
  </si>
  <si>
    <t>48329-04124</t>
  </si>
  <si>
    <t>54190-22552</t>
  </si>
  <si>
    <t>56332-50476</t>
  </si>
  <si>
    <t>56909-53426</t>
  </si>
  <si>
    <t>72294-14128</t>
  </si>
  <si>
    <t>84638-81212</t>
  </si>
  <si>
    <t>93601-01167</t>
  </si>
  <si>
    <t>95098-76570</t>
  </si>
  <si>
    <t>98140-72519</t>
  </si>
  <si>
    <t>Collier County Utilities</t>
  </si>
  <si>
    <t>2025-01-09 · 2025-01-14</t>
  </si>
  <si>
    <t>2025-01-28 · 2025-02-10 · 2025-02-13 · 2025-02-14</t>
  </si>
  <si>
    <t>2025-02-26 · 2025-03-10 · 2025-03-13 · 2025-03-14</t>
  </si>
  <si>
    <t>2025-03-27 · 2025-04-08 · 2025-04-11 · 2025-04-14</t>
  </si>
  <si>
    <t>2025-04-28 · 2025-05-08 · 2025-05-13 · 2025-05-14</t>
  </si>
  <si>
    <t>2025-05-28 · 2025-06-09 · 2025-06-12 · 2025-06-13</t>
  </si>
  <si>
    <t>2025-06-26 · 2025-07-09 · 2025-07-14</t>
  </si>
  <si>
    <t>2025-07-15 · 2025-07-28 · 2025-08-08 · 2025-08-13 · 2025-08-14</t>
  </si>
  <si>
    <t>2025-08-27 · 2025-09-09 · 2025-09-12</t>
  </si>
  <si>
    <t>2025-09-15 · 2025-09-26 · 2025-10-09 · 2025-10-13</t>
  </si>
  <si>
    <t>2025-10-15 · 2025-10-28 · 2025-11-07 · 2025-11-13 · 2025-11-14</t>
  </si>
  <si>
    <t>2025-11-25 · 2025-12-08 · 2025-12-11 · 2025-12-12</t>
  </si>
  <si>
    <t>2025-12-26 · 2026-01-08 · 2026-01-13 · 2026-01-14</t>
  </si>
  <si>
    <t>2026-01-27 · 2026-02-09 · 2026-02-12 · 2026-02-13</t>
  </si>
  <si>
    <t>2026-02-26 · 2026-03-10 · 2026-03-12</t>
  </si>
  <si>
    <t>Evergreen</t>
  </si>
  <si>
    <t>910002365238</t>
  </si>
  <si>
    <t>242227003</t>
  </si>
  <si>
    <t>668667006</t>
  </si>
  <si>
    <t>27991</t>
  </si>
  <si>
    <t>7882</t>
  </si>
  <si>
    <t>2024-01-02 · 2024-01-08 · 2024-01-11</t>
  </si>
  <si>
    <t>2024-02-02 · 2024-02-07 · 2024-02-09</t>
  </si>
  <si>
    <t>2024-03-02 · 2024-03-08 · 2024-03-12</t>
  </si>
  <si>
    <t>2024-04-02 · 2024-04-08 · 2024-04-11</t>
  </si>
  <si>
    <t>2024-05-02 · 2024-05-07 · 2024-05-10</t>
  </si>
  <si>
    <t>2024-06-02 · 2024-06-06 · 2024-06-12</t>
  </si>
  <si>
    <t>2024-07-02 · 2024-07-08 · 2024-07-12</t>
  </si>
  <si>
    <t>2024-08-02 · 2024-08-06 · 2024-08-12</t>
  </si>
  <si>
    <t>2024-09-02 · 2024-09-05 · 2024-09-12</t>
  </si>
  <si>
    <t>2024-10-02 · 2024-10-04 · 2024-10-11</t>
  </si>
  <si>
    <t>2024-11-02 · 2024-11-04 · 2024-11-12</t>
  </si>
  <si>
    <t>2024-12-02 · 2024-12-06 · 2024-12-12</t>
  </si>
  <si>
    <t>Far Horizons</t>
  </si>
  <si>
    <t>4265894</t>
  </si>
  <si>
    <t>910085682188</t>
  </si>
  <si>
    <t>910085682360</t>
  </si>
  <si>
    <t>2023-12-29 · 2024-01-12</t>
  </si>
  <si>
    <t>2024-01-18 · 2024-01-30 · 2024-02-13</t>
  </si>
  <si>
    <t>2024-02-16 · 2024-02-28 · 2024-03-13</t>
  </si>
  <si>
    <t>2024-03-19 · 2024-03-28 · 2024-04-11</t>
  </si>
  <si>
    <t>2024-04-17 · 2024-04-18 · 2024-04-29 · 2024-05-14</t>
  </si>
  <si>
    <t>2024-05-17 · 2024-05-30 · 2024-06-12</t>
  </si>
  <si>
    <t>2024-06-18 · 2024-06-27 · 2024-07-12</t>
  </si>
  <si>
    <t>2024-07-18 · 2024-07-30 · 2024-08-13</t>
  </si>
  <si>
    <t>2024-08-19 · 2024-08-29 · 2024-09-13</t>
  </si>
  <si>
    <t>2024-09-18 · 2024-09-27 · 2024-10-11</t>
  </si>
  <si>
    <t>2024-10-18 · 2024-10-30 · 2024-11-12</t>
  </si>
  <si>
    <t>2024-11-18 · 2024-11-27 · 2024-12-11</t>
  </si>
  <si>
    <t>2024-12-17</t>
  </si>
  <si>
    <t>Far Horizons (fa105)</t>
  </si>
  <si>
    <t>City of Clearwater FL</t>
  </si>
  <si>
    <t>Duke Energy Payment Processing 1094</t>
  </si>
  <si>
    <t>2024-12-30 · 2025-01-14</t>
  </si>
  <si>
    <t>2025-01-16 · 2025-01-30 · 2025-02-13</t>
  </si>
  <si>
    <t>2025-02-18 · 2025-02-28 · 2025-03-13</t>
  </si>
  <si>
    <t>2025-03-19 · 2025-03-28 · 2025-04-11</t>
  </si>
  <si>
    <t>2025-04-17 · 2025-04-29 · 2025-05-13</t>
  </si>
  <si>
    <t>2025-05-16 · 2025-05-29 · 2025-06-12</t>
  </si>
  <si>
    <t>2025-06-17 · 2025-06-27 · 2025-07-14</t>
  </si>
  <si>
    <t>2025-07-17 · 2025-07-30 · 2025-08-13</t>
  </si>
  <si>
    <t>2025-08-19 · 2025-08-28 · 2025-09-12</t>
  </si>
  <si>
    <t>2025-09-17 · 2025-09-29 · 2025-10-14</t>
  </si>
  <si>
    <t>2025-10-20 · 2025-10-30 · 2025-11-12</t>
  </si>
  <si>
    <t>2025-11-17 · 2025-11-26 · 2025-12-11</t>
  </si>
  <si>
    <t>2025-12-16 · 2025-12-30 · 2026-01-14</t>
  </si>
  <si>
    <t>2026-01-16 · 2026-01-29 · 2026-02-11</t>
  </si>
  <si>
    <t>2026-02-18 · 2026-02-26 · 2026-03-12</t>
  </si>
  <si>
    <t>Floridian Sandalwood (fl356)</t>
  </si>
  <si>
    <t>Orlando Utilities Commission</t>
  </si>
  <si>
    <t>9752495935</t>
  </si>
  <si>
    <t>Toho Water Authority 31304</t>
  </si>
  <si>
    <t>000199831-00014402-W</t>
  </si>
  <si>
    <t>2024-12-23</t>
  </si>
  <si>
    <t>2025-01-23 · 2025-01-24</t>
  </si>
  <si>
    <t>2025-02-24 · 2025-02-25</t>
  </si>
  <si>
    <t>2025-03-25</t>
  </si>
  <si>
    <t>2025-04-23 · 2025-04-25</t>
  </si>
  <si>
    <t>2025-05-23</t>
  </si>
  <si>
    <t>2025-06-24 · 2025-06-26</t>
  </si>
  <si>
    <t>2025-07-24 · 2025-07-25</t>
  </si>
  <si>
    <t>2025-08-20 · 2025-08-25</t>
  </si>
  <si>
    <t>2025-09-24 · 2025-09-25</t>
  </si>
  <si>
    <t>2025-10-23 · 2025-10-24</t>
  </si>
  <si>
    <t>2025-11-20 · 2025-11-24</t>
  </si>
  <si>
    <t>2025-12-23</t>
  </si>
  <si>
    <t>2026-01-23</t>
  </si>
  <si>
    <t>2026-02-23 · 2026-02-24</t>
  </si>
  <si>
    <t>Floridian Sandalwood MHC</t>
  </si>
  <si>
    <t>9752495935-5150BOGGYCREEKE1</t>
  </si>
  <si>
    <t>9752495935-5150BOGGYCREEKE2</t>
  </si>
  <si>
    <t>9752495935-5150BOGGYCREEKE3</t>
  </si>
  <si>
    <t>9752495935-5150BOGGYCREEKGAS</t>
  </si>
  <si>
    <t>9752495935-SANDLEWOODVL</t>
  </si>
  <si>
    <t>19983100014402</t>
  </si>
  <si>
    <t>2023-12-22</t>
  </si>
  <si>
    <t>2024-01-23 · 2024-01-24</t>
  </si>
  <si>
    <t>2024-02-23</t>
  </si>
  <si>
    <t>2024-03-25</t>
  </si>
  <si>
    <t>2024-04-23 · 2024-04-24</t>
  </si>
  <si>
    <t>2024-05-23 · 2024-05-24</t>
  </si>
  <si>
    <t>2024-06-25</t>
  </si>
  <si>
    <t>2024-07-24</t>
  </si>
  <si>
    <t>2024-08-23</t>
  </si>
  <si>
    <t>2024-09-25</t>
  </si>
  <si>
    <t>2024-10-23</t>
  </si>
  <si>
    <t>2024-11-22</t>
  </si>
  <si>
    <t>Glenhaven</t>
  </si>
  <si>
    <t>1012285164306</t>
  </si>
  <si>
    <t>14086001</t>
  </si>
  <si>
    <t>308027002</t>
  </si>
  <si>
    <t>422967006</t>
  </si>
  <si>
    <t>522967006</t>
  </si>
  <si>
    <t>799677004</t>
  </si>
  <si>
    <t>943776000</t>
  </si>
  <si>
    <t>977667004</t>
  </si>
  <si>
    <t>2024-01-11 · 2024-01-12</t>
  </si>
  <si>
    <t>2024-01-18 · 2024-02-09 · 2024-02-10</t>
  </si>
  <si>
    <t>2024-02-16 · 2024-03-11 · 2024-03-12</t>
  </si>
  <si>
    <t>2024-03-19 · 2024-04-10 · 2024-04-11</t>
  </si>
  <si>
    <t>2024-04-17 · 2024-05-11 · 2024-05-12</t>
  </si>
  <si>
    <t>2024-05-16 · 2024-06-10 · 2024-06-11</t>
  </si>
  <si>
    <t>2024-06-17 · 2024-07-11 · 2024-07-12</t>
  </si>
  <si>
    <t>2024-07-17 · 2024-08-11 · 2024-08-12</t>
  </si>
  <si>
    <t>2024-08-15 · 2024-09-10 · 2024-09-11</t>
  </si>
  <si>
    <t>2024-09-16 · 2024-10-11 · 2024-10-12</t>
  </si>
  <si>
    <t>2024-10-15 · 2024-11-10 · 2024-11-11 · 2024-11-14</t>
  </si>
  <si>
    <t>2024-12-11 · 2024-12-12 · 2024-12-13</t>
  </si>
  <si>
    <t>Glenhaven Estates (gl317)</t>
  </si>
  <si>
    <t>1012285-164306</t>
  </si>
  <si>
    <t>014-086-001</t>
  </si>
  <si>
    <t>308-027-002</t>
  </si>
  <si>
    <t>422-967-006</t>
  </si>
  <si>
    <t>522-967-006</t>
  </si>
  <si>
    <t>799-677-004</t>
  </si>
  <si>
    <t>943-776-000</t>
  </si>
  <si>
    <t>977-667-004</t>
  </si>
  <si>
    <t>2025-01-11 · 2025-01-12</t>
  </si>
  <si>
    <t>2025-01-15 · 2025-02-08 · 2025-02-09 · 2025-02-11 · 2025-02-14</t>
  </si>
  <si>
    <t>2025-03-07 · 2025-03-11 · 2025-03-12</t>
  </si>
  <si>
    <t>2025-03-18 · 2025-04-09 · 2025-04-10 · 2025-04-11</t>
  </si>
  <si>
    <t>2025-04-16 · 2025-05-11 · 2025-05-12</t>
  </si>
  <si>
    <t>2025-05-15 · 2025-06-10 · 2025-06-11</t>
  </si>
  <si>
    <t>2025-06-16 · 2025-07-11 · 2025-07-12</t>
  </si>
  <si>
    <t>2025-07-17 · 2025-08-11 · 2025-08-12</t>
  </si>
  <si>
    <t>2025-08-15 · 2025-09-10 · 2025-09-11</t>
  </si>
  <si>
    <t>2025-09-16 · 2025-10-11 · 2025-10-12</t>
  </si>
  <si>
    <t>2025-10-15 · 2025-11-10 · 2025-11-11 · 2025-11-14</t>
  </si>
  <si>
    <t>2025-12-11 · 2025-12-12</t>
  </si>
  <si>
    <t>2025-12-16 · 2026-01-11 · 2026-01-12</t>
  </si>
  <si>
    <t>2026-01-15 · 2026-02-08 · 2026-02-09</t>
  </si>
  <si>
    <t>2026-02-17 · 2026-03-11 · 2026-03-12 · 2026-03-13</t>
  </si>
  <si>
    <t>Harbor Lights (ha310)</t>
  </si>
  <si>
    <t>Teco</t>
  </si>
  <si>
    <t>221003501535</t>
  </si>
  <si>
    <t>910086122995</t>
  </si>
  <si>
    <t>910086151396</t>
  </si>
  <si>
    <t>910086151908</t>
  </si>
  <si>
    <t>910086152397</t>
  </si>
  <si>
    <t>910086152553</t>
  </si>
  <si>
    <t>910086152719</t>
  </si>
  <si>
    <t>910189663773</t>
  </si>
  <si>
    <t>910189687218</t>
  </si>
  <si>
    <t>910190637176</t>
  </si>
  <si>
    <t>City of St Petersburg FL</t>
  </si>
  <si>
    <t>688146-222041</t>
  </si>
  <si>
    <t>2025-01-09</t>
  </si>
  <si>
    <t>2025-01-15 · 2025-01-22 · 2025-02-10 · 2025-02-12 · 2025-02-14</t>
  </si>
  <si>
    <t>2025-02-21 · 2025-03-10 · 2025-03-14</t>
  </si>
  <si>
    <t>2025-03-21 · 2025-04-08 · 2025-04-14</t>
  </si>
  <si>
    <t>2025-04-22 · 2025-05-08 · 2025-05-14</t>
  </si>
  <si>
    <t>2025-05-22 · 2025-06-09 · 2025-06-13</t>
  </si>
  <si>
    <t>2025-06-19 · 2025-06-24 · 2025-07-09</t>
  </si>
  <si>
    <t>2025-07-15 · 2025-07-17 · 2025-07-23 · 2025-08-08 · 2025-08-14</t>
  </si>
  <si>
    <t>2025-08-19 · 2025-08-22 · 2025-09-09</t>
  </si>
  <si>
    <t>2025-09-15 · 2025-09-17 · 2025-09-23 · 2025-10-09 · 2025-10-14</t>
  </si>
  <si>
    <t>2025-10-15 · 2025-10-22 · 2025-11-08 · 2025-11-13 · 2025-11-14</t>
  </si>
  <si>
    <t>2025-11-19 · 2025-12-08 · 2025-12-12</t>
  </si>
  <si>
    <t>2025-12-16 · 2025-12-22 · 2026-01-09</t>
  </si>
  <si>
    <t>2026-01-15 · 2026-01-16 · 2026-01-22 · 2026-02-07 · 2026-02-12</t>
  </si>
  <si>
    <t>2026-02-17 · 2026-02-19 · 2026-02-25 · 2026-03-09 · 2026-03-13</t>
  </si>
  <si>
    <t>Harbor Lights MHC</t>
  </si>
  <si>
    <t>910151569076</t>
  </si>
  <si>
    <t>688146222041</t>
  </si>
  <si>
    <t>2023-12-21 · 2024-01-09</t>
  </si>
  <si>
    <t>2024-01-15 · 2024-01-16 · 2024-01-23 · 2024-02-08 · 2024-02-13 · 2024-02-14</t>
  </si>
  <si>
    <t>2024-02-22 · 2024-02-26 · 2024-03-08 · 2024-03-14</t>
  </si>
  <si>
    <t>2024-03-15 · 2024-03-22 · 2024-04-08 · 2024-04-12</t>
  </si>
  <si>
    <t>2024-04-15 · 2024-04-22 · 2024-05-08 · 2024-05-14</t>
  </si>
  <si>
    <t>2024-05-15 · 2024-05-22 · 2024-06-08 · 2024-06-13</t>
  </si>
  <si>
    <t>2024-06-22 · 2024-07-09</t>
  </si>
  <si>
    <t>2024-07-15 · 2024-07-16 · 2024-07-25 · 2024-08-08 · 2024-08-12 · 2024-08-14</t>
  </si>
  <si>
    <t>2024-08-22 · 2024-09-10 · 2024-09-13 · 2024-09-14</t>
  </si>
  <si>
    <t>2024-09-23 · 2024-10-08</t>
  </si>
  <si>
    <t>2024-10-15 · 2024-10-17 · 2024-10-21 · 2024-11-08 · 2024-11-13</t>
  </si>
  <si>
    <t>2024-11-21 · 2024-12-07 · 2024-12-12</t>
  </si>
  <si>
    <t>Harvest Gate</t>
  </si>
  <si>
    <t>220015082245</t>
  </si>
  <si>
    <t>220015107638</t>
  </si>
  <si>
    <t>220015107653</t>
  </si>
  <si>
    <t>220015107679</t>
  </si>
  <si>
    <t>220015107687</t>
  </si>
  <si>
    <t>220015107992</t>
  </si>
  <si>
    <t>220015108008</t>
  </si>
  <si>
    <t>220015495546</t>
  </si>
  <si>
    <t>1828584</t>
  </si>
  <si>
    <t>718000002</t>
  </si>
  <si>
    <t>718010002</t>
  </si>
  <si>
    <t>718030002</t>
  </si>
  <si>
    <t>718050002</t>
  </si>
  <si>
    <t>718070002</t>
  </si>
  <si>
    <t>718090002</t>
  </si>
  <si>
    <t>718100002</t>
  </si>
  <si>
    <t>718200002</t>
  </si>
  <si>
    <t>718300002</t>
  </si>
  <si>
    <t>2024-01-01 · 2024-01-02</t>
  </si>
  <si>
    <t>2024-01-19 · 2024-01-31 · 2024-02-02</t>
  </si>
  <si>
    <t>2024-02-16 · 2024-02-29 · 2024-03-04 · 2024-03-05</t>
  </si>
  <si>
    <t>2024-03-19 · 2024-03-31 · 2024-04-02</t>
  </si>
  <si>
    <t>2024-04-18 · 2024-04-30 · 2024-05-02</t>
  </si>
  <si>
    <t>2024-05-20 · 2024-05-31 · 2024-06-03</t>
  </si>
  <si>
    <t>2024-06-19 · 2024-06-30 · 2024-07-02</t>
  </si>
  <si>
    <t>2024-07-19 · 2024-08-01 · 2024-08-02 · 2024-08-05</t>
  </si>
  <si>
    <t>2024-08-20 · 2024-09-01 · 2024-09-03 · 2024-09-04</t>
  </si>
  <si>
    <t>2024-09-19 · 2024-10-01 · 2024-10-03 · 2024-10-08</t>
  </si>
  <si>
    <t>2024-10-21 · 2024-11-01 · 2024-11-04</t>
  </si>
  <si>
    <t>2024-11-19 · 2024-12-01 · 2024-12-02</t>
  </si>
  <si>
    <t>2024-12-19</t>
  </si>
  <si>
    <t>Hunter Run RV Estates</t>
  </si>
  <si>
    <t>910086374365</t>
  </si>
  <si>
    <t>910087058740</t>
  </si>
  <si>
    <t>910087087183</t>
  </si>
  <si>
    <t>910087087448</t>
  </si>
  <si>
    <t>910087088176</t>
  </si>
  <si>
    <t>910087088621</t>
  </si>
  <si>
    <t>910087088879</t>
  </si>
  <si>
    <t>910087090089</t>
  </si>
  <si>
    <t>910087090302</t>
  </si>
  <si>
    <t>910087120286</t>
  </si>
  <si>
    <t>910087121047</t>
  </si>
  <si>
    <t>910087155013</t>
  </si>
  <si>
    <t>910087155245</t>
  </si>
  <si>
    <t>910087155435</t>
  </si>
  <si>
    <t>910087155683</t>
  </si>
  <si>
    <t>910087155906</t>
  </si>
  <si>
    <t>910087156163</t>
  </si>
  <si>
    <t>910087156379</t>
  </si>
  <si>
    <t>910087156840</t>
  </si>
  <si>
    <t>910087157031</t>
  </si>
  <si>
    <t>910087157271</t>
  </si>
  <si>
    <t>910087157908</t>
  </si>
  <si>
    <t>910087158644</t>
  </si>
  <si>
    <t>910087183679</t>
  </si>
  <si>
    <t>910087184133</t>
  </si>
  <si>
    <t>910087184373</t>
  </si>
  <si>
    <t>910087185126</t>
  </si>
  <si>
    <t>910087185928</t>
  </si>
  <si>
    <t>910087186143</t>
  </si>
  <si>
    <t>910087186359</t>
  </si>
  <si>
    <t>910087186557</t>
  </si>
  <si>
    <t>910087219252</t>
  </si>
  <si>
    <t>910087220924</t>
  </si>
  <si>
    <t>910087221339</t>
  </si>
  <si>
    <t>910087222489</t>
  </si>
  <si>
    <t>910087222736</t>
  </si>
  <si>
    <t>910087255652</t>
  </si>
  <si>
    <t>910090432145</t>
  </si>
  <si>
    <t>910094598283</t>
  </si>
  <si>
    <t>910138279126</t>
  </si>
  <si>
    <t>910140386973</t>
  </si>
  <si>
    <t>910144030776</t>
  </si>
  <si>
    <t>910154760447</t>
  </si>
  <si>
    <t>910161779293</t>
  </si>
  <si>
    <t>910165214601</t>
  </si>
  <si>
    <t>910165235367</t>
  </si>
  <si>
    <t>910165237137</t>
  </si>
  <si>
    <t>910167378898</t>
  </si>
  <si>
    <t>910167386731</t>
  </si>
  <si>
    <t>910167387998</t>
  </si>
  <si>
    <t>910167388733</t>
  </si>
  <si>
    <t>910167389700</t>
  </si>
  <si>
    <t>910167390414</t>
  </si>
  <si>
    <t>910167395120</t>
  </si>
  <si>
    <t>910170205861</t>
  </si>
  <si>
    <t>910170381775</t>
  </si>
  <si>
    <t>910170388508</t>
  </si>
  <si>
    <t>910170388582</t>
  </si>
  <si>
    <t>910170399204</t>
  </si>
  <si>
    <t>42533001394286</t>
  </si>
  <si>
    <t>2024-01-02 · 2024-01-04 · 2024-01-05 · 2024-01-08 · 2024-01-10 · 2024-01-12</t>
  </si>
  <si>
    <t>2024-01-16 · 2024-01-17 · 2024-02-05 · 2024-02-06 · 2024-02-09 · 2024-02-13</t>
  </si>
  <si>
    <t>2024-02-16 · 2024-03-05 · 2024-03-06 · 2024-03-07 · 2024-03-11 · 2024-03-13</t>
  </si>
  <si>
    <t>2024-03-18 · 2024-03-31 · 2024-04-03 · 2024-04-04 · 2024-04-09 · 2024-04-11</t>
  </si>
  <si>
    <t>2024-04-16 · 2024-05-03 · 2024-05-06 · 2024-05-09 · 2024-05-14</t>
  </si>
  <si>
    <t>2024-05-17 · 2024-06-05 · 2024-06-06 · 2024-06-10 · 2024-06-12</t>
  </si>
  <si>
    <t>2024-06-17 · 2024-07-03 · 2024-07-05 · 2024-07-08 · 2024-07-09 · 2024-07-10 · 2024-07-12</t>
  </si>
  <si>
    <t>2024-07-18 · 2024-08-05 · 2024-08-06 · 2024-08-07 · 2024-08-08 · 2024-08-09 · 2024-08-13</t>
  </si>
  <si>
    <t>2024-08-16 · 2024-08-25 · 2024-08-29 · 2024-09-05 · 2024-09-06 · 2024-09-10 · 2024-09-11 · 2024-09-13</t>
  </si>
  <si>
    <t>2024-09-17 · 2024-09-29 · 2024-10-03 · 2024-10-04 · 2024-10-07 · 2024-10-08 · 2024-10-09 · 2024-10-14</t>
  </si>
  <si>
    <t>2024-10-17 · 2024-11-05 · 2024-11-06 · 2024-11-07 · 2024-11-08 · 2024-11-09 · 2024-11-12 · 2024-11-14</t>
  </si>
  <si>
    <t>2024-11-15 · 2024-11-21 · 2024-12-04 · 2024-12-05 · 2024-12-06 · 2024-12-09</t>
  </si>
  <si>
    <t>Hunters Run RV Estates (hu116)</t>
  </si>
  <si>
    <t>910085322707</t>
  </si>
  <si>
    <t>910085322905</t>
  </si>
  <si>
    <t>910085371623</t>
  </si>
  <si>
    <t>910087058493</t>
  </si>
  <si>
    <t>910087088415</t>
  </si>
  <si>
    <t>910087121493</t>
  </si>
  <si>
    <t>910087121740</t>
  </si>
  <si>
    <t>910087156618</t>
  </si>
  <si>
    <t>910087185291</t>
  </si>
  <si>
    <t>910087185720</t>
  </si>
  <si>
    <t>910087219442</t>
  </si>
  <si>
    <t>910087220106</t>
  </si>
  <si>
    <t>910087220536</t>
  </si>
  <si>
    <t>910087221602</t>
  </si>
  <si>
    <t>910087222281</t>
  </si>
  <si>
    <t>910087255181</t>
  </si>
  <si>
    <t>910087255397</t>
  </si>
  <si>
    <t>910128567374</t>
  </si>
  <si>
    <t>910139053611</t>
  </si>
  <si>
    <t>910150630054</t>
  </si>
  <si>
    <t>910170388582-deposit</t>
  </si>
  <si>
    <t>910170399204-deposit</t>
  </si>
  <si>
    <t>910177652941</t>
  </si>
  <si>
    <t>910177671671</t>
  </si>
  <si>
    <t>910177671796</t>
  </si>
  <si>
    <t>910177671803</t>
  </si>
  <si>
    <t>910177671845</t>
  </si>
  <si>
    <t>910177671910</t>
  </si>
  <si>
    <t>910177678876</t>
  </si>
  <si>
    <t>910177678917</t>
  </si>
  <si>
    <t>910177678967</t>
  </si>
  <si>
    <t>910177679075</t>
  </si>
  <si>
    <t>910177679091</t>
  </si>
  <si>
    <t>910177679231</t>
  </si>
  <si>
    <t>910177679249</t>
  </si>
  <si>
    <t>910177679257</t>
  </si>
  <si>
    <t>910177679306</t>
  </si>
  <si>
    <t>910177680242</t>
  </si>
  <si>
    <t>910177680367</t>
  </si>
  <si>
    <t>910177680375</t>
  </si>
  <si>
    <t>910177680383</t>
  </si>
  <si>
    <t>910177680424</t>
  </si>
  <si>
    <t>910177680458</t>
  </si>
  <si>
    <t>910177680482</t>
  </si>
  <si>
    <t>910177681326</t>
  </si>
  <si>
    <t>910177681368</t>
  </si>
  <si>
    <t>910177681425</t>
  </si>
  <si>
    <t>910177681491</t>
  </si>
  <si>
    <t>910177686008</t>
  </si>
  <si>
    <t>910177686016</t>
  </si>
  <si>
    <t>910177686024</t>
  </si>
  <si>
    <t>910177691831</t>
  </si>
  <si>
    <t>910177691865</t>
  </si>
  <si>
    <t>910177691873</t>
  </si>
  <si>
    <t>910177692395</t>
  </si>
  <si>
    <t>910177692436</t>
  </si>
  <si>
    <t>910177692452</t>
  </si>
  <si>
    <t>910177692501</t>
  </si>
  <si>
    <t>910177692527</t>
  </si>
  <si>
    <t>910177692577</t>
  </si>
  <si>
    <t>910177692668</t>
  </si>
  <si>
    <t>910177696084</t>
  </si>
  <si>
    <t>910177696117</t>
  </si>
  <si>
    <t>910177696175</t>
  </si>
  <si>
    <t>910177698127</t>
  </si>
  <si>
    <t>910177698185</t>
  </si>
  <si>
    <t>910177698226</t>
  </si>
  <si>
    <t>910177699194</t>
  </si>
  <si>
    <t>910177699235</t>
  </si>
  <si>
    <t>910177699251</t>
  </si>
  <si>
    <t>910177699285</t>
  </si>
  <si>
    <t>910177699293</t>
  </si>
  <si>
    <t>910178682884</t>
  </si>
  <si>
    <t>910179765666</t>
  </si>
  <si>
    <t>910179775345</t>
  </si>
  <si>
    <t>910191808478</t>
  </si>
  <si>
    <t>910194347943</t>
  </si>
  <si>
    <t>910194353834</t>
  </si>
  <si>
    <t>910194353884</t>
  </si>
  <si>
    <t>910194361090</t>
  </si>
  <si>
    <t>910194361165</t>
  </si>
  <si>
    <t>910194363076</t>
  </si>
  <si>
    <t>910194651493</t>
  </si>
  <si>
    <t>910194670272</t>
  </si>
  <si>
    <t>910194670280</t>
  </si>
  <si>
    <t>910194670298</t>
  </si>
  <si>
    <t>910194670347</t>
  </si>
  <si>
    <t>910194671835</t>
  </si>
  <si>
    <t>910194671851</t>
  </si>
  <si>
    <t>910194671926</t>
  </si>
  <si>
    <t>910194671950</t>
  </si>
  <si>
    <t>910194673259</t>
  </si>
  <si>
    <t>910194677857</t>
  </si>
  <si>
    <t>910194677956</t>
  </si>
  <si>
    <t>910194679346</t>
  </si>
  <si>
    <t>910194679370</t>
  </si>
  <si>
    <t>910194679388</t>
  </si>
  <si>
    <t>910194679437</t>
  </si>
  <si>
    <t>910194679510</t>
  </si>
  <si>
    <t>910194681522</t>
  </si>
  <si>
    <t>910194681704</t>
  </si>
  <si>
    <t>910194681829</t>
  </si>
  <si>
    <t>910194682060</t>
  </si>
  <si>
    <t>910194682169</t>
  </si>
  <si>
    <t>910194682185</t>
  </si>
  <si>
    <t>910194682250</t>
  </si>
  <si>
    <t>910194682250-deposit</t>
  </si>
  <si>
    <t>910194683011</t>
  </si>
  <si>
    <t>910194683136</t>
  </si>
  <si>
    <t>910194683136-deposit</t>
  </si>
  <si>
    <t>910194683326</t>
  </si>
  <si>
    <t>910194683326-deposit</t>
  </si>
  <si>
    <t>910194684054</t>
  </si>
  <si>
    <t>910194684145</t>
  </si>
  <si>
    <t>910194684252</t>
  </si>
  <si>
    <t>910194684252-deposit</t>
  </si>
  <si>
    <t>910194685013</t>
  </si>
  <si>
    <t>910194685063</t>
  </si>
  <si>
    <t>910194689827</t>
  </si>
  <si>
    <t>910194689827-deposit</t>
  </si>
  <si>
    <t>910194692096</t>
  </si>
  <si>
    <t>910194692096-deposit</t>
  </si>
  <si>
    <t>Pasco County Utilities</t>
  </si>
  <si>
    <t>2025-01-06 · 2025-01-07 · 2025-01-10 · 2025-01-14</t>
  </si>
  <si>
    <t>2025-01-17 · 2025-02-05 · 2025-02-06 · 2025-02-11 · 2025-02-13</t>
  </si>
  <si>
    <t>2025-02-18 · 2025-03-05 · 2025-03-06 · 2025-03-07 · 2025-03-11 · 2025-03-13</t>
  </si>
  <si>
    <t>2025-03-16 · 2025-03-18 · 2025-03-31 · 2025-04-03 · 2025-04-04 · 2025-04-07 · 2025-04-09 · 2025-04-10 · 2025-04-11 · 2025-04-14</t>
  </si>
  <si>
    <t>2025-04-15 · 2025-04-16 · 2025-04-21 · 2025-04-23 · 2025-05-01 · 2025-05-05 · 2025-05-06 · 2025-05-07 · 2025-05-09 · 2025-05-12 · 2025-05-13 · 2025-05-14</t>
  </si>
  <si>
    <t>2025-05-16 · 2025-05-19 · 2025-05-20 · 2025-05-22 · 2025-05-27 · 2025-06-02 · 2025-06-04 · 2025-06-05 · 2025-06-06 · 2025-06-08 · 2025-06-10 · 2025-06-11 · 2025-06-12 · 2025-06-13</t>
  </si>
  <si>
    <t>2025-06-17 · 2025-06-23 · 2025-06-25 · 2025-07-01 · 2025-07-03 · 2025-07-07 · 2025-07-08 · 2025-07-10 · 2025-07-11 · 2025-07-13 · 2025-07-14</t>
  </si>
  <si>
    <t>2025-07-15 · 2025-07-16 · 2025-07-17 · 2025-07-18 · 2025-07-28 · 2025-08-05 · 2025-08-06 · 2025-08-07 · 2025-08-10 · 2025-08-11 · 2025-08-13</t>
  </si>
  <si>
    <t>2025-08-18 · 2025-08-19 · 2025-08-26 · 2025-09-04 · 2025-09-05 · 2025-09-08 · 2025-09-10 · 2025-09-12</t>
  </si>
  <si>
    <t>2025-09-17 · 2025-09-18 · 2025-09-21 · 2025-09-25 · 2025-10-03 · 2025-10-06 · 2025-10-08 · 2025-10-10 · 2025-10-13 · 2025-10-14</t>
  </si>
  <si>
    <t>2025-10-17 · 2025-10-28 · 2025-11-05 · 2025-11-06 · 2025-11-07 · 2025-11-10 · 2025-11-12</t>
  </si>
  <si>
    <t>2025-11-17 · 2025-11-19 · 2025-11-24 · 2025-12-03 · 2025-12-04 · 2025-12-05 · 2025-12-09 · 2025-12-11</t>
  </si>
  <si>
    <t>2025-12-16 · 2025-12-18 · 2025-12-23 · 2025-12-25 · 2026-01-06 · 2026-01-07 · 2026-01-08 · 2026-01-09 · 2026-01-12 · 2026-01-14</t>
  </si>
  <si>
    <t>2026-01-17 · 2026-01-19 · 2026-02-04 · 2026-02-05 · 2026-02-06 · 2026-02-09 · 2026-02-11</t>
  </si>
  <si>
    <t>2026-02-16 · 2026-03-02 · 2026-03-04 · 2026-03-05 · 2026-03-06 · 2026-03-10 · 2026-03-12</t>
  </si>
  <si>
    <t>2026-03-16 · 2026-03-17</t>
  </si>
  <si>
    <t>Jade Isle (ja068)</t>
  </si>
  <si>
    <t>4886609715</t>
  </si>
  <si>
    <t>12193</t>
  </si>
  <si>
    <t>2025-06-20</t>
  </si>
  <si>
    <t>2025-07-18 · 2025-07-19</t>
  </si>
  <si>
    <t>2025-08-16 · 2025-08-19</t>
  </si>
  <si>
    <t>2025-09-18</t>
  </si>
  <si>
    <t>2025-10-17 · 2025-10-20</t>
  </si>
  <si>
    <t>2025-12-17</t>
  </si>
  <si>
    <t>2026-01-16 · 2026-01-21</t>
  </si>
  <si>
    <t>2026-02-18</t>
  </si>
  <si>
    <t>Jade Isle MHC</t>
  </si>
  <si>
    <t>0350925909-325ROSEDALEAVEL43</t>
  </si>
  <si>
    <t>4886609715-325ROSEDALELFS</t>
  </si>
  <si>
    <t>4886609715-325ROSEDALEOFC</t>
  </si>
  <si>
    <t>20588500012193</t>
  </si>
  <si>
    <t>2024-01-18 · 2024-01-19</t>
  </si>
  <si>
    <t>2024-02-19</t>
  </si>
  <si>
    <t>2024-03-19</t>
  </si>
  <si>
    <t>2024-04-17 · 2024-04-18</t>
  </si>
  <si>
    <t>2024-05-17 · 2024-05-20</t>
  </si>
  <si>
    <t>2024-06-18 · 2024-06-19</t>
  </si>
  <si>
    <t>2024-08-19</t>
  </si>
  <si>
    <t>2024-09-19</t>
  </si>
  <si>
    <t>2024-10-17 · 2024-10-31</t>
  </si>
  <si>
    <t>2024-11-18 · 2024-11-19</t>
  </si>
  <si>
    <t>2024-12-17 · 2024-12-18</t>
  </si>
  <si>
    <t>2025-01-16 · 2025-01-17</t>
  </si>
  <si>
    <t>2025-02-18 · 2025-02-20</t>
  </si>
  <si>
    <t>2025-03-19 · 2025-03-20</t>
  </si>
  <si>
    <t>2025-04-17 · 2025-04-21</t>
  </si>
  <si>
    <t>2025-05-19</t>
  </si>
  <si>
    <t>2025-06-18 · 2025-06-20</t>
  </si>
  <si>
    <t>Kakusha Estates (ka045)</t>
  </si>
  <si>
    <t>910087186127</t>
  </si>
  <si>
    <t>910087186276</t>
  </si>
  <si>
    <t>910147191196</t>
  </si>
  <si>
    <t>910167302103</t>
  </si>
  <si>
    <t>910187853711</t>
  </si>
  <si>
    <t>910188027165</t>
  </si>
  <si>
    <t>Pinellas County Utilities</t>
  </si>
  <si>
    <t>100125703344</t>
  </si>
  <si>
    <t>2025-05-29 · 2025-06-13</t>
  </si>
  <si>
    <t>2025-06-27 · 2025-07-10</t>
  </si>
  <si>
    <t>2025-07-15 · 2025-07-30 · 2025-08-14</t>
  </si>
  <si>
    <t>2025-08-28 · 2025-09-03 · 2025-09-10</t>
  </si>
  <si>
    <t>2025-09-15 · 2025-09-29 · 2025-10-02</t>
  </si>
  <si>
    <t>2025-10-15 · 2025-10-30 · 2025-11-04 · 2025-11-07 · 2025-11-13</t>
  </si>
  <si>
    <t>2025-11-26 · 2025-12-02 · 2025-12-12</t>
  </si>
  <si>
    <t>2025-12-30</t>
  </si>
  <si>
    <t>Kakusha MHC</t>
  </si>
  <si>
    <t>910087185770</t>
  </si>
  <si>
    <t>2024-01-11</t>
  </si>
  <si>
    <t>2024-01-15 · 2024-02-14</t>
  </si>
  <si>
    <t>2024-03-10 · 2024-03-12 · 2024-03-14</t>
  </si>
  <si>
    <t>2024-04-12</t>
  </si>
  <si>
    <t>2024-05-10</t>
  </si>
  <si>
    <t>2024-05-15 · 2024-06-13</t>
  </si>
  <si>
    <t>2024-07-11</t>
  </si>
  <si>
    <t>2024-07-16 · 2024-07-30 · 2024-08-14</t>
  </si>
  <si>
    <t>2024-08-29 · 2024-09-09 · 2024-09-14</t>
  </si>
  <si>
    <t>2024-09-27</t>
  </si>
  <si>
    <t>2024-10-15 · 2024-10-30 · 2024-11-07 · 2024-11-13</t>
  </si>
  <si>
    <t>2024-11-27 · 2024-12-12</t>
  </si>
  <si>
    <t>2024-12-30 · 2025-01-09</t>
  </si>
  <si>
    <t>2025-01-15 · 2025-01-30 · 2025-02-14</t>
  </si>
  <si>
    <t>2025-02-28 · 2025-03-11 · 2025-03-14</t>
  </si>
  <si>
    <t>2025-03-28 · 2025-04-14</t>
  </si>
  <si>
    <t>2025-04-29 · 2025-05-09 · 2025-05-14</t>
  </si>
  <si>
    <t>Lakeside Village</t>
  </si>
  <si>
    <t>1137065342010</t>
  </si>
  <si>
    <t>1137065342150</t>
  </si>
  <si>
    <t>1137065343130</t>
  </si>
  <si>
    <t>1137065343170</t>
  </si>
  <si>
    <t>1137065343350</t>
  </si>
  <si>
    <t>1137065343750</t>
  </si>
  <si>
    <t>1137065344250</t>
  </si>
  <si>
    <t>1137065345490</t>
  </si>
  <si>
    <t>1137065345510</t>
  </si>
  <si>
    <t>1137065346130</t>
  </si>
  <si>
    <t>1137065346150</t>
  </si>
  <si>
    <t>1137065889390</t>
  </si>
  <si>
    <t>1385555342430</t>
  </si>
  <si>
    <t>2024-02-12 · 2024-02-13</t>
  </si>
  <si>
    <t>2024-03-12 · 2024-03-13</t>
  </si>
  <si>
    <t>2024-04-11 · 2024-04-12</t>
  </si>
  <si>
    <t>2024-05-12 · 2024-05-13</t>
  </si>
  <si>
    <t>2024-06-11 · 2024-06-12</t>
  </si>
  <si>
    <t>2024-07-11 · 2024-07-12</t>
  </si>
  <si>
    <t>2024-08-12 · 2024-08-13</t>
  </si>
  <si>
    <t>2024-09-04 · 2024-09-12</t>
  </si>
  <si>
    <t>2024-10-14</t>
  </si>
  <si>
    <t>2024-10-21 · 2024-11-12 · 2024-11-13</t>
  </si>
  <si>
    <t>2024-12-04 · 2024-12-12</t>
  </si>
  <si>
    <t>2025-01-11 · 2025-01-12 · 2025-01-13</t>
  </si>
  <si>
    <t>2025-02-13</t>
  </si>
  <si>
    <t>2025-03-13 · 2025-03-14</t>
  </si>
  <si>
    <t>2025-04-13 · 2025-04-14</t>
  </si>
  <si>
    <t>2025-04-30</t>
  </si>
  <si>
    <t>2025-05-15</t>
  </si>
  <si>
    <t>2025-06-16</t>
  </si>
  <si>
    <t>Lakeside Village (la482)</t>
  </si>
  <si>
    <t>City of Leesburg FL</t>
  </si>
  <si>
    <t>1137065-342010</t>
  </si>
  <si>
    <t>1137065-342150</t>
  </si>
  <si>
    <t>1137065-343130</t>
  </si>
  <si>
    <t>1137065-343170</t>
  </si>
  <si>
    <t>1137065-343350</t>
  </si>
  <si>
    <t>1137065-343750</t>
  </si>
  <si>
    <t>1137065-344250</t>
  </si>
  <si>
    <t>1137065-345490</t>
  </si>
  <si>
    <t>1137065-345510</t>
  </si>
  <si>
    <t>1137065-345750</t>
  </si>
  <si>
    <t>1137065-346130</t>
  </si>
  <si>
    <t>1137065-346150</t>
  </si>
  <si>
    <t>1137065-889390</t>
  </si>
  <si>
    <t>1385555-342330</t>
  </si>
  <si>
    <t>1385555-342430</t>
  </si>
  <si>
    <t>2025-07-16 · 2025-08-13 · 2025-08-14</t>
  </si>
  <si>
    <t>2025-09-15 · 2025-09-16 · 2025-10-06 · 2025-10-14</t>
  </si>
  <si>
    <t>2025-10-15 · 2025-10-30 · 2025-11-13 · 2025-11-14</t>
  </si>
  <si>
    <t>2025-12-16 · 2026-01-14</t>
  </si>
  <si>
    <t>2026-01-15 · 2026-01-16</t>
  </si>
  <si>
    <t>2026-02-16</t>
  </si>
  <si>
    <t>Lakewood Village (la481)</t>
  </si>
  <si>
    <t>00659-69198</t>
  </si>
  <si>
    <t>07234-59228</t>
  </si>
  <si>
    <t>07366-09538</t>
  </si>
  <si>
    <t>08687-39160</t>
  </si>
  <si>
    <t>08791-50175</t>
  </si>
  <si>
    <t>09067-82065</t>
  </si>
  <si>
    <t>09899-45258</t>
  </si>
  <si>
    <t>10024-99570</t>
  </si>
  <si>
    <t>10396-27490</t>
  </si>
  <si>
    <t>10699-37553</t>
  </si>
  <si>
    <t>11245-40376</t>
  </si>
  <si>
    <t>11823-47557</t>
  </si>
  <si>
    <t>14106-68576</t>
  </si>
  <si>
    <t>15421-03062</t>
  </si>
  <si>
    <t>17237-13580</t>
  </si>
  <si>
    <t>18209-03308</t>
  </si>
  <si>
    <t>21469-37293</t>
  </si>
  <si>
    <t>25551-27022</t>
  </si>
  <si>
    <t>27012-76343</t>
  </si>
  <si>
    <t>27657-81576</t>
  </si>
  <si>
    <t>28892-68575</t>
  </si>
  <si>
    <t>30572-69387</t>
  </si>
  <si>
    <t>31650-81575</t>
  </si>
  <si>
    <t>32436-61265</t>
  </si>
  <si>
    <t>34378-66340</t>
  </si>
  <si>
    <t>35865-58573</t>
  </si>
  <si>
    <t>40203-00333</t>
  </si>
  <si>
    <t>41021-92285</t>
  </si>
  <si>
    <t>41383-77272</t>
  </si>
  <si>
    <t>43853-05158</t>
  </si>
  <si>
    <t>49414-78275</t>
  </si>
  <si>
    <t>49975-28098</t>
  </si>
  <si>
    <t>50399-22595</t>
  </si>
  <si>
    <t>50858-52498</t>
  </si>
  <si>
    <t>52293-37299</t>
  </si>
  <si>
    <t>56120-37555</t>
  </si>
  <si>
    <t>56330-09427</t>
  </si>
  <si>
    <t>57746-91082</t>
  </si>
  <si>
    <t>58977-41145</t>
  </si>
  <si>
    <t>59464-81578</t>
  </si>
  <si>
    <t>60460-25208</t>
  </si>
  <si>
    <t>61885-04358</t>
  </si>
  <si>
    <t>63792-03406</t>
  </si>
  <si>
    <t>64912-26053</t>
  </si>
  <si>
    <t>65798-35098</t>
  </si>
  <si>
    <t>71292-92061</t>
  </si>
  <si>
    <t>73521-76486</t>
  </si>
  <si>
    <t>74430-25221</t>
  </si>
  <si>
    <t>75158-08447</t>
  </si>
  <si>
    <t>76303-99223</t>
  </si>
  <si>
    <t>78214-66344</t>
  </si>
  <si>
    <t>79199-73094</t>
  </si>
  <si>
    <t>79332-28269</t>
  </si>
  <si>
    <t>79556-83573</t>
  </si>
  <si>
    <t>79693-91502</t>
  </si>
  <si>
    <t>80611-95148</t>
  </si>
  <si>
    <t>80886-48574</t>
  </si>
  <si>
    <t>82215-71576</t>
  </si>
  <si>
    <t>83326-09158</t>
  </si>
  <si>
    <t>83779-58577</t>
  </si>
  <si>
    <t>84430-03192</t>
  </si>
  <si>
    <t>84431-72484</t>
  </si>
  <si>
    <t>87686-29092</t>
  </si>
  <si>
    <t>88716-70140</t>
  </si>
  <si>
    <t>90023-30034</t>
  </si>
  <si>
    <t>90793-95076</t>
  </si>
  <si>
    <t>91345-26517</t>
  </si>
  <si>
    <t>96272-23275</t>
  </si>
  <si>
    <t>97089-09453</t>
  </si>
  <si>
    <t>98056-37551</t>
  </si>
  <si>
    <t>98623-25017</t>
  </si>
  <si>
    <t>99782-04411</t>
  </si>
  <si>
    <t>Indian River County Utilities</t>
  </si>
  <si>
    <t>1040499-080878</t>
  </si>
  <si>
    <t>1040499-091424</t>
  </si>
  <si>
    <t>2025-04-11</t>
  </si>
  <si>
    <t>2025-04-23</t>
  </si>
  <si>
    <t>2025-05-30 · 2025-06-05 · 2025-06-11 · 2025-06-12</t>
  </si>
  <si>
    <t>2025-07-07 · 2025-07-13 · 2025-07-14</t>
  </si>
  <si>
    <t>2025-08-01 · 2025-08-05 · 2025-08-06 · 2025-08-12 · 2025-08-13</t>
  </si>
  <si>
    <t>2025-09-01 · 2025-09-04 · 2025-09-05 · 2025-09-11 · 2025-09-12 · 2025-09-13</t>
  </si>
  <si>
    <t>2025-09-15 · 2025-09-17 · 2025-09-22 · 2025-09-23 · 2025-09-26 · 2025-10-06 · 2025-10-13 · 2025-10-14</t>
  </si>
  <si>
    <t>2025-11-06 · 2025-11-12</t>
  </si>
  <si>
    <t>2025-11-18 · 2025-12-04 · 2025-12-11 · 2025-12-12</t>
  </si>
  <si>
    <t>2025-12-17 · 2025-12-31 · 2026-01-07 · 2026-01-11 · 2026-01-12</t>
  </si>
  <si>
    <t>2026-01-31 · 2026-02-06 · 2026-02-09 · 2026-02-12</t>
  </si>
  <si>
    <t>2026-02-20 · 2026-02-23 · 2026-03-06 · 2026-03-13</t>
  </si>
  <si>
    <t>2026-03-16 · 2026-03-31</t>
  </si>
  <si>
    <t>Lakewood Village MHC LLC</t>
  </si>
  <si>
    <t>1002499570</t>
  </si>
  <si>
    <t>1039627490</t>
  </si>
  <si>
    <t>1051025128</t>
  </si>
  <si>
    <t>1069937553</t>
  </si>
  <si>
    <t>1124540376</t>
  </si>
  <si>
    <t>1182347557</t>
  </si>
  <si>
    <t>1410668576</t>
  </si>
  <si>
    <t>142961374</t>
  </si>
  <si>
    <t>1488522119</t>
  </si>
  <si>
    <t>1542103062</t>
  </si>
  <si>
    <t>1641212335</t>
  </si>
  <si>
    <t>1671015202</t>
  </si>
  <si>
    <t>1723713580</t>
  </si>
  <si>
    <t>1820903308</t>
  </si>
  <si>
    <t>2146937293</t>
  </si>
  <si>
    <t>2555127022</t>
  </si>
  <si>
    <t>2701276343</t>
  </si>
  <si>
    <t>2765781576</t>
  </si>
  <si>
    <t>2889268575</t>
  </si>
  <si>
    <t>3057269387</t>
  </si>
  <si>
    <t>3165081575</t>
  </si>
  <si>
    <t>3243661265</t>
  </si>
  <si>
    <t>3437866340</t>
  </si>
  <si>
    <t>350615209</t>
  </si>
  <si>
    <t>3586558573</t>
  </si>
  <si>
    <t>4020300333</t>
  </si>
  <si>
    <t>4138377272</t>
  </si>
  <si>
    <t>4341397505</t>
  </si>
  <si>
    <t>4385305158</t>
  </si>
  <si>
    <t>46224374</t>
  </si>
  <si>
    <t>4879980458</t>
  </si>
  <si>
    <t>4941478275</t>
  </si>
  <si>
    <t>4997528098</t>
  </si>
  <si>
    <t>5039922595</t>
  </si>
  <si>
    <t>5085852498</t>
  </si>
  <si>
    <t>5229337299</t>
  </si>
  <si>
    <t>5245313365</t>
  </si>
  <si>
    <t>5612037555</t>
  </si>
  <si>
    <t>5633009427</t>
  </si>
  <si>
    <t>5774691082</t>
  </si>
  <si>
    <t>5946481578</t>
  </si>
  <si>
    <t>6046025208</t>
  </si>
  <si>
    <t>6144999460</t>
  </si>
  <si>
    <t>6188504358</t>
  </si>
  <si>
    <t>63764518</t>
  </si>
  <si>
    <t>6379203406</t>
  </si>
  <si>
    <t>6491226053</t>
  </si>
  <si>
    <t>6505889573</t>
  </si>
  <si>
    <t>65969198</t>
  </si>
  <si>
    <t>6663972260</t>
  </si>
  <si>
    <t>6901425170</t>
  </si>
  <si>
    <t>7129292061</t>
  </si>
  <si>
    <t>723459228</t>
  </si>
  <si>
    <t>7352176486</t>
  </si>
  <si>
    <t>7355503066</t>
  </si>
  <si>
    <t>736609538</t>
  </si>
  <si>
    <t>7443025221</t>
  </si>
  <si>
    <t>7515808447</t>
  </si>
  <si>
    <t>7617195339</t>
  </si>
  <si>
    <t>7630399223</t>
  </si>
  <si>
    <t>7821466344</t>
  </si>
  <si>
    <t>7907083575</t>
  </si>
  <si>
    <t>7919973094</t>
  </si>
  <si>
    <t>7955683573</t>
  </si>
  <si>
    <t>7969391502</t>
  </si>
  <si>
    <t>8061195148</t>
  </si>
  <si>
    <t>8088648574</t>
  </si>
  <si>
    <t>8221571576</t>
  </si>
  <si>
    <t>8332609158</t>
  </si>
  <si>
    <t>8377958577</t>
  </si>
  <si>
    <t>8380847304</t>
  </si>
  <si>
    <t>8443003192</t>
  </si>
  <si>
    <t>8443172484</t>
  </si>
  <si>
    <t>868739160</t>
  </si>
  <si>
    <t>873480453</t>
  </si>
  <si>
    <t>8768629092</t>
  </si>
  <si>
    <t>879150175</t>
  </si>
  <si>
    <t>8859746391</t>
  </si>
  <si>
    <t>8871670140</t>
  </si>
  <si>
    <t>9002330034</t>
  </si>
  <si>
    <t>906782065</t>
  </si>
  <si>
    <t>9079395076</t>
  </si>
  <si>
    <t>9134526517</t>
  </si>
  <si>
    <t>9157251019</t>
  </si>
  <si>
    <t>9195200085</t>
  </si>
  <si>
    <t>9255899578</t>
  </si>
  <si>
    <t>9627223275</t>
  </si>
  <si>
    <t>9708909453</t>
  </si>
  <si>
    <t>9805637551</t>
  </si>
  <si>
    <t>9862325017</t>
  </si>
  <si>
    <t>989945258</t>
  </si>
  <si>
    <t>9978204411</t>
  </si>
  <si>
    <t>1040499080878</t>
  </si>
  <si>
    <t>1040499091424</t>
  </si>
  <si>
    <t>2024-01-08 · 2024-01-11 · 2024-01-12</t>
  </si>
  <si>
    <t>2024-01-24 · 2024-02-02 · 2024-02-06 · 2024-02-12 · 2024-02-13</t>
  </si>
  <si>
    <t>2024-03-06 · 2024-03-07 · 2024-03-12 · 2024-03-13</t>
  </si>
  <si>
    <t>2024-03-19 · 2024-04-04 · 2024-04-12</t>
  </si>
  <si>
    <t>2024-04-16 · 2024-04-29 · 2024-05-06 · 2024-05-13 · 2024-05-14</t>
  </si>
  <si>
    <t>2024-05-17 · 2024-06-06 · 2024-06-11 · 2024-06-13</t>
  </si>
  <si>
    <t>2024-07-05 · 2024-07-12</t>
  </si>
  <si>
    <t>2024-07-15 · 2024-08-06 · 2024-08-12 · 2024-08-13</t>
  </si>
  <si>
    <t>2024-08-20 · 2024-09-06 · 2024-09-11 · 2024-09-12</t>
  </si>
  <si>
    <t>2024-10-07 · 2024-10-10 · 2024-10-14</t>
  </si>
  <si>
    <t>2024-10-15 · 2024-10-26 · 2024-11-07 · 2024-11-12 · 2024-11-13</t>
  </si>
  <si>
    <t>2024-11-18 · 2024-11-21 · 2024-11-30 · 2024-12-06 · 2024-12-12</t>
  </si>
  <si>
    <t>2025-01-07 · 2025-01-13</t>
  </si>
  <si>
    <t>2025-01-17 · 2025-01-31 · 2025-02-03 · 2025-02-10 · 2025-02-13</t>
  </si>
  <si>
    <t>2025-03-04 · 2025-03-07 · 2025-03-08 · 2025-03-12 · 2025-03-13</t>
  </si>
  <si>
    <t>2025-03-20 · 2025-03-25 · 2025-04-04 · 2025-04-11</t>
  </si>
  <si>
    <t>2025-04-23 · 2025-04-30 · 2025-05-06 · 2025-05-11 · 2025-05-13</t>
  </si>
  <si>
    <t>2025-05-23 · 2025-05-30 · 2025-06-05 · 2025-06-11 · 2025-06-12</t>
  </si>
  <si>
    <t>Maple Corner</t>
  </si>
  <si>
    <t>1411083593</t>
  </si>
  <si>
    <t>1623060538</t>
  </si>
  <si>
    <t>19516467</t>
  </si>
  <si>
    <t>2230766129</t>
  </si>
  <si>
    <t>285375184</t>
  </si>
  <si>
    <t>286116462</t>
  </si>
  <si>
    <t>3822626333</t>
  </si>
  <si>
    <t>4253495008</t>
  </si>
  <si>
    <t>4416206466</t>
  </si>
  <si>
    <t>4730619071</t>
  </si>
  <si>
    <t>4827615495</t>
  </si>
  <si>
    <t>504643560</t>
  </si>
  <si>
    <t>5155712325</t>
  </si>
  <si>
    <t>5280073593</t>
  </si>
  <si>
    <t>5517461595</t>
  </si>
  <si>
    <t>5643916330</t>
  </si>
  <si>
    <t>5916463598</t>
  </si>
  <si>
    <t>6268735492</t>
  </si>
  <si>
    <t>6426235492</t>
  </si>
  <si>
    <t>6505148293</t>
  </si>
  <si>
    <t>6872806465</t>
  </si>
  <si>
    <t>7395552040</t>
  </si>
  <si>
    <t>7908010213</t>
  </si>
  <si>
    <t>8099125497</t>
  </si>
  <si>
    <t>8101536335</t>
  </si>
  <si>
    <t>8147738291</t>
  </si>
  <si>
    <t>9528300214</t>
  </si>
  <si>
    <t>2024-01-16 · 2024-01-17</t>
  </si>
  <si>
    <t>2024-02-15 · 2024-02-16 · 2024-03-02</t>
  </si>
  <si>
    <t>2024-03-15 · 2024-03-18 · 2024-03-19 · 2024-03-20 · 2024-04-02</t>
  </si>
  <si>
    <t>2024-04-16 · 2024-04-17</t>
  </si>
  <si>
    <t>2024-05-16 · 2024-05-17</t>
  </si>
  <si>
    <t>2024-06-15 · 2024-06-17</t>
  </si>
  <si>
    <t>2024-07-17 · 2024-07-18</t>
  </si>
  <si>
    <t>2024-08-15 · 2024-08-16</t>
  </si>
  <si>
    <t>2024-09-16 · 2024-09-17 · 2024-10-01</t>
  </si>
  <si>
    <t>2024-10-16 · 2024-10-17 · 2024-11-14</t>
  </si>
  <si>
    <t>2024-12-16 · 2024-12-17</t>
  </si>
  <si>
    <t>2025-01-15 · 2025-01-16</t>
  </si>
  <si>
    <t>2025-02-17 · 2025-02-18</t>
  </si>
  <si>
    <t>2025-03-17 · 2025-03-18</t>
  </si>
  <si>
    <t>2025-04-15 · 2025-04-16</t>
  </si>
  <si>
    <t>2025-05-15 · 2025-05-16</t>
  </si>
  <si>
    <t>2025-06-16 · 2025-06-17</t>
  </si>
  <si>
    <t>Maple Corner (ma490)</t>
  </si>
  <si>
    <t>00195-16467</t>
  </si>
  <si>
    <t>02853-75184</t>
  </si>
  <si>
    <t>02861-16462</t>
  </si>
  <si>
    <t>05046-43560</t>
  </si>
  <si>
    <t>14110-83593</t>
  </si>
  <si>
    <t>22307-66129</t>
  </si>
  <si>
    <t>38226-26333</t>
  </si>
  <si>
    <t>44162-06466</t>
  </si>
  <si>
    <t>47306-19071</t>
  </si>
  <si>
    <t>51557-12325</t>
  </si>
  <si>
    <t>55174-61595</t>
  </si>
  <si>
    <t>56439-16330</t>
  </si>
  <si>
    <t>64262-35492</t>
  </si>
  <si>
    <t>65051-48293</t>
  </si>
  <si>
    <t>68728-06465</t>
  </si>
  <si>
    <t>80991-25497</t>
  </si>
  <si>
    <t>81015-36335</t>
  </si>
  <si>
    <t>2025-07-16 · 2025-07-17 · 2025-07-24</t>
  </si>
  <si>
    <t>2025-08-15 · 2025-08-18 · 2025-08-21</t>
  </si>
  <si>
    <t>2025-09-16 · 2025-09-17</t>
  </si>
  <si>
    <t>2025-10-16 · 2025-10-17 · 2025-11-14</t>
  </si>
  <si>
    <t>2025-11-15 · 2025-11-19 · 2025-12-13</t>
  </si>
  <si>
    <t>2025-12-15 · 2026-01-14</t>
  </si>
  <si>
    <t>2026-02-16 · 2026-02-17 · 2026-02-20 · 2026-03-04</t>
  </si>
  <si>
    <t>2026-03-17 · 2026-03-18</t>
  </si>
  <si>
    <t>Marlboro Court (ma489)</t>
  </si>
  <si>
    <t>11461-19530</t>
  </si>
  <si>
    <t>24423-65116</t>
  </si>
  <si>
    <t>63065-91444</t>
  </si>
  <si>
    <t>Village of Palm Springs FL</t>
  </si>
  <si>
    <t>1219426103</t>
  </si>
  <si>
    <t>2025-05-29 · 2025-06-03</t>
  </si>
  <si>
    <t>2025-06-27 · 2025-07-02</t>
  </si>
  <si>
    <t>2025-07-31 · 2025-08-04</t>
  </si>
  <si>
    <t>2025-09-03</t>
  </si>
  <si>
    <t>2025-09-30 · 2025-10-03</t>
  </si>
  <si>
    <t>2025-10-29 · 2025-11-03</t>
  </si>
  <si>
    <t>2025-12-01 · 2025-12-02</t>
  </si>
  <si>
    <t>2026-01-03 · 2026-01-12</t>
  </si>
  <si>
    <t>2026-02-02 · 2026-02-03</t>
  </si>
  <si>
    <t>2026-03-04 · 2026-03-10</t>
  </si>
  <si>
    <t>Marlboro Court MHC LLC</t>
  </si>
  <si>
    <t>1146119530</t>
  </si>
  <si>
    <t>2442365116</t>
  </si>
  <si>
    <t>6306591444</t>
  </si>
  <si>
    <t>2024-01-03</t>
  </si>
  <si>
    <t>2024-02-01 · 2024-02-02</t>
  </si>
  <si>
    <t>2024-02-29 · 2024-03-04</t>
  </si>
  <si>
    <t>2024-04-01 · 2024-04-02</t>
  </si>
  <si>
    <t>2024-05-01 · 2024-05-02</t>
  </si>
  <si>
    <t>2024-05-30 · 2024-06-04</t>
  </si>
  <si>
    <t>2024-07-01 · 2024-07-03</t>
  </si>
  <si>
    <t>2024-08-01 · 2024-08-02</t>
  </si>
  <si>
    <t>2024-09-03 · 2024-09-04</t>
  </si>
  <si>
    <t>2024-09-30 · 2024-10-02</t>
  </si>
  <si>
    <t>2024-10-29 · 2024-11-02</t>
  </si>
  <si>
    <t>2024-12-02 · 2024-12-03</t>
  </si>
  <si>
    <t>2025-02-04 · 2025-02-05</t>
  </si>
  <si>
    <t>2025-03-04 · 2025-03-05</t>
  </si>
  <si>
    <t>2025-04-02</t>
  </si>
  <si>
    <t>2025-05-02</t>
  </si>
  <si>
    <t>2025-06-03</t>
  </si>
  <si>
    <t>May Manor</t>
  </si>
  <si>
    <t>3604493</t>
  </si>
  <si>
    <t>3604551</t>
  </si>
  <si>
    <t>3604554</t>
  </si>
  <si>
    <t>3604555</t>
  </si>
  <si>
    <t>3604556-320BIRDAV</t>
  </si>
  <si>
    <t>3604556-428DAWNST</t>
  </si>
  <si>
    <t>3604557-312JEANAV</t>
  </si>
  <si>
    <t>3604557-423NGRADYAVE</t>
  </si>
  <si>
    <t>3604558</t>
  </si>
  <si>
    <t>3604559</t>
  </si>
  <si>
    <t>3604560</t>
  </si>
  <si>
    <t>3604561</t>
  </si>
  <si>
    <t>3604562</t>
  </si>
  <si>
    <t>3604564</t>
  </si>
  <si>
    <t>3625215-233KENAV</t>
  </si>
  <si>
    <t>3625215-428DAWNST</t>
  </si>
  <si>
    <t>3625216-347CHUBST</t>
  </si>
  <si>
    <t>3625217</t>
  </si>
  <si>
    <t>3625217-464DAWNST</t>
  </si>
  <si>
    <t>3625218</t>
  </si>
  <si>
    <t>3625218-303KENAV</t>
  </si>
  <si>
    <t>3625219</t>
  </si>
  <si>
    <t>3625220-423NGRADYAVE</t>
  </si>
  <si>
    <t>3629681-323KENAVE</t>
  </si>
  <si>
    <t>3637884</t>
  </si>
  <si>
    <t>3637885</t>
  </si>
  <si>
    <t>3637886-449DAWNST</t>
  </si>
  <si>
    <t>3637887</t>
  </si>
  <si>
    <t>3637888-228CARLAV</t>
  </si>
  <si>
    <t>3637889-443DAWNST</t>
  </si>
  <si>
    <t>3655439-446DAWNST</t>
  </si>
  <si>
    <t>3655440-532NGRADYAV</t>
  </si>
  <si>
    <t>3655443</t>
  </si>
  <si>
    <t>3657010</t>
  </si>
  <si>
    <t>3657499</t>
  </si>
  <si>
    <t>3657500</t>
  </si>
  <si>
    <t>3661416-325CARLAV</t>
  </si>
  <si>
    <t>3661417-316CARLAV</t>
  </si>
  <si>
    <t>3661418-304CARLAV</t>
  </si>
  <si>
    <t>3670440-315NOBLEAVE</t>
  </si>
  <si>
    <t>3679315-323LISAST</t>
  </si>
  <si>
    <t>3604552</t>
  </si>
  <si>
    <t>3655441-304CARLAV</t>
  </si>
  <si>
    <t>2023-01-16</t>
  </si>
  <si>
    <t>2024-01-16 · 2024-01-17 · 2024-01-18 · 2024-01-20 · 2024-02-06</t>
  </si>
  <si>
    <t>2024-02-16 · 2024-02-18 · 2024-02-19 · 2024-02-20 · 2024-02-26</t>
  </si>
  <si>
    <t>2024-03-16 · 2024-03-18 · 2024-03-19 · 2024-03-20 · 2024-03-21 · 2024-03-30 · 2024-04-11</t>
  </si>
  <si>
    <t>2024-04-16 · 2024-04-18 · 2024-04-20 · 2024-05-01</t>
  </si>
  <si>
    <t>2024-05-16 · 2024-05-18 · 2024-05-20 · 2024-05-30</t>
  </si>
  <si>
    <t>2024-06-16 · 2024-06-18 · 2024-06-19 · 2024-06-20</t>
  </si>
  <si>
    <t>2024-07-16 · 2024-07-18 · 2024-07-19 · 2024-07-20 · 2024-08-14</t>
  </si>
  <si>
    <t>2024-08-16 · 2024-08-18 · 2024-08-20 · 2024-09-10 · 2024-09-11 · 2024-09-12</t>
  </si>
  <si>
    <t>2024-09-16 · 2024-09-17 · 2024-09-18 · 2024-09-19 · 2024-09-20 · 2024-09-23</t>
  </si>
  <si>
    <t>2024-10-16 · 2024-10-18 · 2024-10-20 · 2024-10-22</t>
  </si>
  <si>
    <t>2024-11-16 · 2024-11-18 · 2024-11-19 · 2024-11-20</t>
  </si>
  <si>
    <t>2024-12-16 · 2024-12-18 · 2024-12-19 · 2024-12-20</t>
  </si>
  <si>
    <t>2025-01-16 · 2025-01-18 · 2025-01-20 · 2025-01-21</t>
  </si>
  <si>
    <t>2025-02-16 · 2025-02-17 · 2025-02-18 · 2025-02-19 · 2025-02-20</t>
  </si>
  <si>
    <t>2025-03-16 · 2025-03-18 · 2025-03-19 · 2025-03-20 · 2025-03-31</t>
  </si>
  <si>
    <t>2025-04-16 · 2025-04-17 · 2025-04-18 · 2025-04-20</t>
  </si>
  <si>
    <t>2025-05-16 · 2025-05-18 · 2025-05-20</t>
  </si>
  <si>
    <t>May Manor (ma488)</t>
  </si>
  <si>
    <t>Lakeland Electric</t>
  </si>
  <si>
    <t>3604556</t>
  </si>
  <si>
    <t>3604557</t>
  </si>
  <si>
    <t>3625216-ma488</t>
  </si>
  <si>
    <t>3625220</t>
  </si>
  <si>
    <t>3637889</t>
  </si>
  <si>
    <t>3655440</t>
  </si>
  <si>
    <t>3655442</t>
  </si>
  <si>
    <t>3661416</t>
  </si>
  <si>
    <t>3661417</t>
  </si>
  <si>
    <t>3661418</t>
  </si>
  <si>
    <t>3670440</t>
  </si>
  <si>
    <t>3679315</t>
  </si>
  <si>
    <t>3655441</t>
  </si>
  <si>
    <t>2025-05-18</t>
  </si>
  <si>
    <t>2025-06-16 · 2025-06-18 · 2025-06-20</t>
  </si>
  <si>
    <t>2025-07-16 · 2025-07-18 · 2025-07-20 · 2025-07-31</t>
  </si>
  <si>
    <t>2025-08-15 · 2025-08-17 · 2025-08-18 · 2025-08-19 · 2025-08-21 · 2025-08-26 · 2025-08-27 · 2025-08-31 · 2025-09-03</t>
  </si>
  <si>
    <t>2025-09-16 · 2025-09-18 · 2025-09-20 · 2025-09-30</t>
  </si>
  <si>
    <t>2025-10-16 · 2025-10-18 · 2025-10-20 · 2025-10-31 · 2025-11-12</t>
  </si>
  <si>
    <t>2025-11-16 · 2025-11-18 · 2025-11-20 · 2025-11-30</t>
  </si>
  <si>
    <t>2025-12-16 · 2025-12-18 · 2025-12-20 · 2025-12-31</t>
  </si>
  <si>
    <t>2026-01-15 · 2026-01-16 · 2026-01-18 · 2026-01-20 · 2026-01-31</t>
  </si>
  <si>
    <t>2026-02-15 · 2026-02-16 · 2026-02-18 · 2026-02-20 · 2026-02-28 · 2026-03-12</t>
  </si>
  <si>
    <t>2026-03-16 · 2026-03-18 · 2026-03-19 · 2026-03-31</t>
  </si>
  <si>
    <t>Mobiland by the Sea (mo320)</t>
  </si>
  <si>
    <t>04090-96492</t>
  </si>
  <si>
    <t>09142-46491</t>
  </si>
  <si>
    <t>27946-79288</t>
  </si>
  <si>
    <t>29490-99143</t>
  </si>
  <si>
    <t>52792-56522</t>
  </si>
  <si>
    <t>58613-86497</t>
  </si>
  <si>
    <t>60285-07454</t>
  </si>
  <si>
    <t>66604-76497</t>
  </si>
  <si>
    <t>90517-96499</t>
  </si>
  <si>
    <t>City of Melbourne FL</t>
  </si>
  <si>
    <t>117566-295655</t>
  </si>
  <si>
    <t>2025-05-12</t>
  </si>
  <si>
    <t>2025-06-13</t>
  </si>
  <si>
    <t>2025-06-16 · 2025-07-14</t>
  </si>
  <si>
    <t>2025-07-15 · 2025-08-14</t>
  </si>
  <si>
    <t>2025-08-18</t>
  </si>
  <si>
    <t>2025-09-15 · 2025-10-13</t>
  </si>
  <si>
    <t>2025-10-15 · 2025-11-13</t>
  </si>
  <si>
    <t>2025-11-17 · 2025-12-12</t>
  </si>
  <si>
    <t>2025-12-15 · 2026-01-13</t>
  </si>
  <si>
    <t>2026-01-20 · 2026-02-13</t>
  </si>
  <si>
    <t>Mobiland By The Sea MHC</t>
  </si>
  <si>
    <t>203635086</t>
  </si>
  <si>
    <t>2794679288</t>
  </si>
  <si>
    <t>2949099143</t>
  </si>
  <si>
    <t>409096492</t>
  </si>
  <si>
    <t>5279256522</t>
  </si>
  <si>
    <t>5861386497</t>
  </si>
  <si>
    <t>6028507454</t>
  </si>
  <si>
    <t>6660476497</t>
  </si>
  <si>
    <t>9051796499</t>
  </si>
  <si>
    <t>914246491</t>
  </si>
  <si>
    <t>117566295655</t>
  </si>
  <si>
    <t>2023-12-18 · 2024-01-12</t>
  </si>
  <si>
    <t>2024-01-16 · 2024-01-25 · 2024-02-14</t>
  </si>
  <si>
    <t>2024-02-19 · 2024-03-14</t>
  </si>
  <si>
    <t>2024-04-15</t>
  </si>
  <si>
    <t>2024-05-15 · 2024-05-20 · 2024-06-07 · 2024-06-14</t>
  </si>
  <si>
    <t>2024-06-17</t>
  </si>
  <si>
    <t>2024-07-15 · 2024-07-16 · 2024-08-14</t>
  </si>
  <si>
    <t>2024-08-19 · 2024-08-28 · 2024-09-13</t>
  </si>
  <si>
    <t>2024-09-16 · 2024-10-13</t>
  </si>
  <si>
    <t>2024-10-15 · 2024-11-13</t>
  </si>
  <si>
    <t>2024-11-18 · 2024-12-13</t>
  </si>
  <si>
    <t>2024-12-15 · 2025-01-14</t>
  </si>
  <si>
    <t>2025-01-16 · 2025-01-21 · 2025-02-14</t>
  </si>
  <si>
    <t>2025-02-17 · 2025-03-14</t>
  </si>
  <si>
    <t>2025-03-17 · 2025-04-01 · 2025-04-14</t>
  </si>
  <si>
    <t>2025-04-28 · 2025-05-12 · 2025-05-14</t>
  </si>
  <si>
    <t>2025-06-12 · 2025-06-13</t>
  </si>
  <si>
    <t>Moss Landing</t>
  </si>
  <si>
    <t>107370462</t>
  </si>
  <si>
    <t>1237557010</t>
  </si>
  <si>
    <t>1409811138</t>
  </si>
  <si>
    <t>1495837146</t>
  </si>
  <si>
    <t>1654739166</t>
  </si>
  <si>
    <t>1791036211</t>
  </si>
  <si>
    <t>230970469</t>
  </si>
  <si>
    <t>2430167243</t>
  </si>
  <si>
    <t>250839008</t>
  </si>
  <si>
    <t>3305403507</t>
  </si>
  <si>
    <t>428426217</t>
  </si>
  <si>
    <t>4813605336</t>
  </si>
  <si>
    <t>4881699112</t>
  </si>
  <si>
    <t>5033046326</t>
  </si>
  <si>
    <t>5145141106</t>
  </si>
  <si>
    <t>5585547523</t>
  </si>
  <si>
    <t>6376368509</t>
  </si>
  <si>
    <t>6976225448</t>
  </si>
  <si>
    <t>7146349258</t>
  </si>
  <si>
    <t>7492802199</t>
  </si>
  <si>
    <t>8417774422</t>
  </si>
  <si>
    <t>929379519</t>
  </si>
  <si>
    <t>9400157245</t>
  </si>
  <si>
    <t>9424056597</t>
  </si>
  <si>
    <t>948592076</t>
  </si>
  <si>
    <t>21741</t>
  </si>
  <si>
    <t>22401</t>
  </si>
  <si>
    <t>22577</t>
  </si>
  <si>
    <t>22662</t>
  </si>
  <si>
    <t>22892</t>
  </si>
  <si>
    <t>22943</t>
  </si>
  <si>
    <t>23381</t>
  </si>
  <si>
    <t>23691</t>
  </si>
  <si>
    <t>24341</t>
  </si>
  <si>
    <t>2023-12-28 · 2023-12-31 · 2024-01-03</t>
  </si>
  <si>
    <t>2024-01-16 · 2024-01-26 · 2024-01-31</t>
  </si>
  <si>
    <t>2024-02-15 · 2024-02-23 · 2024-02-29 · 2024-03-05</t>
  </si>
  <si>
    <t>2024-03-15 · 2024-03-25 · 2024-03-31 · 2024-04-01</t>
  </si>
  <si>
    <t>2024-04-16 · 2024-04-24 · 2024-04-30</t>
  </si>
  <si>
    <t>2024-05-16 · 2024-05-20 · 2024-05-24 · 2024-05-31</t>
  </si>
  <si>
    <t>2024-06-15 · 2024-06-30</t>
  </si>
  <si>
    <t>2024-07-17 · 2024-07-31</t>
  </si>
  <si>
    <t>2024-08-15 · 2024-08-26 · 2024-08-30 · 2024-08-31</t>
  </si>
  <si>
    <t>2024-09-16 · 2024-09-17 · 2024-09-23 · 2024-09-27 · 2024-09-28 · 2024-09-30</t>
  </si>
  <si>
    <t>2024-10-16 · 2024-10-17 · 2024-10-23 · 2024-10-25 · 2024-10-30 · 2024-10-31 · 2024-11-14</t>
  </si>
  <si>
    <t>2024-11-15 · 2024-11-18 · 2024-11-19 · 2024-11-25 · 2024-11-26 · 2024-11-30</t>
  </si>
  <si>
    <t>2024-12-16 · 2024-12-17 · 2024-12-30 · 2024-12-31 · 2025-01-06</t>
  </si>
  <si>
    <t>2025-01-15 · 2025-01-16 · 2025-01-29 · 2025-01-31</t>
  </si>
  <si>
    <t>2025-02-17 · 2025-02-18 · 2025-02-28</t>
  </si>
  <si>
    <t>2025-03-17 · 2025-03-18 · 2025-03-25 · 2025-03-27 · 2025-03-28 · 2025-03-31</t>
  </si>
  <si>
    <t>2025-04-15 · 2025-04-16 · 2025-04-24 · 2025-04-28 · 2025-04-30</t>
  </si>
  <si>
    <t>2025-05-15 · 2025-05-16 · 2025-05-27 · 2025-05-29 · 2025-05-31</t>
  </si>
  <si>
    <t>Moss Landing (mo321)</t>
  </si>
  <si>
    <t>01073-70462</t>
  </si>
  <si>
    <t>02309-70469</t>
  </si>
  <si>
    <t>02508-39008</t>
  </si>
  <si>
    <t>04284-26217</t>
  </si>
  <si>
    <t>09293-79519</t>
  </si>
  <si>
    <t>12375-57010</t>
  </si>
  <si>
    <t>14098-11138</t>
  </si>
  <si>
    <t>14989-56448</t>
  </si>
  <si>
    <t>16547-39166</t>
  </si>
  <si>
    <t>17910-36211</t>
  </si>
  <si>
    <t>24301-67243</t>
  </si>
  <si>
    <t>33054-03507</t>
  </si>
  <si>
    <t>48816-99112</t>
  </si>
  <si>
    <t>50330-46326</t>
  </si>
  <si>
    <t>63763-68509</t>
  </si>
  <si>
    <t>69762-25448</t>
  </si>
  <si>
    <t>71463-49258</t>
  </si>
  <si>
    <t>74928-02199</t>
  </si>
  <si>
    <t>94001-57245</t>
  </si>
  <si>
    <t>94240-56597</t>
  </si>
  <si>
    <t>City of LaBelle - Water &amp; Sanitation</t>
  </si>
  <si>
    <t>2174-1-mo321</t>
  </si>
  <si>
    <t>2201-4</t>
  </si>
  <si>
    <t>2240-1</t>
  </si>
  <si>
    <t>2257-7</t>
  </si>
  <si>
    <t>2266-2</t>
  </si>
  <si>
    <t>2294-3</t>
  </si>
  <si>
    <t>2338-1-mo321</t>
  </si>
  <si>
    <t>2369-1</t>
  </si>
  <si>
    <t>2434-1</t>
  </si>
  <si>
    <t>2025-04-24 · 2025-04-30</t>
  </si>
  <si>
    <t>2025-05-24 · 2025-05-27 · 2025-05-30 · 2025-05-31</t>
  </si>
  <si>
    <t>2025-06-16 · 2025-06-17 · 2025-06-30</t>
  </si>
  <si>
    <t>2025-07-16 · 2025-07-17 · 2025-07-31</t>
  </si>
  <si>
    <t>2025-08-15 · 2025-08-18 · 2025-08-21 · 2025-08-31 · 2025-09-02</t>
  </si>
  <si>
    <t>2025-09-16 · 2025-09-17 · 2025-09-26 · 2025-09-28 · 2025-09-30</t>
  </si>
  <si>
    <t>2025-10-16 · 2025-10-17 · 2025-10-30 · 2025-10-31 · 2025-11-14</t>
  </si>
  <si>
    <t>2025-11-15 · 2025-11-28 · 2025-11-30 · 2025-12-13</t>
  </si>
  <si>
    <t>2025-12-15 · 2025-12-20 · 2025-12-31 · 2026-01-14</t>
  </si>
  <si>
    <t>2026-01-15 · 2026-01-26 · 2026-01-31 · 2026-02-04 · 2026-02-12</t>
  </si>
  <si>
    <t>2026-02-16 · 2026-02-17 · 2026-02-28</t>
  </si>
  <si>
    <t>Oak Springs</t>
  </si>
  <si>
    <t>910081212706</t>
  </si>
  <si>
    <t>910081212970</t>
  </si>
  <si>
    <t>910081213161</t>
  </si>
  <si>
    <t>910081213343</t>
  </si>
  <si>
    <t>910081213666</t>
  </si>
  <si>
    <t>910081214229</t>
  </si>
  <si>
    <t>910081214568</t>
  </si>
  <si>
    <t>910093216703</t>
  </si>
  <si>
    <t>910094133143</t>
  </si>
  <si>
    <t>910138469972</t>
  </si>
  <si>
    <t>910139295229</t>
  </si>
  <si>
    <t>910143848411</t>
  </si>
  <si>
    <t>910147285935</t>
  </si>
  <si>
    <t>910149364171</t>
  </si>
  <si>
    <t>910150604367</t>
  </si>
  <si>
    <t>910153367331</t>
  </si>
  <si>
    <t>910153374174</t>
  </si>
  <si>
    <t>910154088878</t>
  </si>
  <si>
    <t>910156535430</t>
  </si>
  <si>
    <t>910156791624</t>
  </si>
  <si>
    <t>910156798209</t>
  </si>
  <si>
    <t>910156849063</t>
  </si>
  <si>
    <t>910157907408</t>
  </si>
  <si>
    <t>910158151486</t>
  </si>
  <si>
    <t>910160366408</t>
  </si>
  <si>
    <t>910162713760</t>
  </si>
  <si>
    <t>910163707964</t>
  </si>
  <si>
    <t>910164233220</t>
  </si>
  <si>
    <t>910164288465</t>
  </si>
  <si>
    <t>910166069141</t>
  </si>
  <si>
    <t>910166233517</t>
  </si>
  <si>
    <t>910166234261</t>
  </si>
  <si>
    <t>910166234302</t>
  </si>
  <si>
    <t>910166238207</t>
  </si>
  <si>
    <t>910169627597</t>
  </si>
  <si>
    <t>910169631808</t>
  </si>
  <si>
    <t>910169698716</t>
  </si>
  <si>
    <t>910171128299</t>
  </si>
  <si>
    <t>910173585850</t>
  </si>
  <si>
    <t>910173640248</t>
  </si>
  <si>
    <t>910180363455</t>
  </si>
  <si>
    <t>910182962161</t>
  </si>
  <si>
    <t>2023-12-28 · 2024-01-04 · 2024-01-09 · 2024-01-12</t>
  </si>
  <si>
    <t>2024-01-15 · 2024-01-17 · 2024-01-29 · 2024-01-31 · 2024-02-08 · 2024-02-13 · 2024-02-14</t>
  </si>
  <si>
    <t>2024-02-16 · 2024-02-27 · 2024-03-08 · 2024-03-13 · 2024-03-14</t>
  </si>
  <si>
    <t>2024-03-15 · 2024-03-18 · 2024-03-27 · 2024-04-08 · 2024-04-09 · 2024-04-11 · 2024-04-12</t>
  </si>
  <si>
    <t>2024-04-16 · 2024-04-26 · 2024-04-28 · 2024-05-01 · 2024-05-08 · 2024-05-14</t>
  </si>
  <si>
    <t>2024-05-15 · 2024-05-17 · 2024-05-29 · 2024-06-08 · 2024-06-12 · 2024-06-13</t>
  </si>
  <si>
    <t>2024-06-17 · 2024-06-26 · 2024-06-28 · 2024-07-02 · 2024-07-08 · 2024-07-09 · 2024-07-12</t>
  </si>
  <si>
    <t>2024-07-16 · 2024-07-18 · 2024-07-21 · 2024-07-29 · 2024-07-31 · 2024-08-08 · 2024-08-13 · 2024-08-14</t>
  </si>
  <si>
    <t>2024-08-16 · 2024-08-18 · 2024-08-19 · 2024-08-28 · 2024-08-29 · 2024-08-30 · 2024-09-10 · 2024-09-13</t>
  </si>
  <si>
    <t>2024-09-17 · 2024-09-22 · 2024-09-26 · 2024-09-27 · 2024-10-08 · 2024-10-11</t>
  </si>
  <si>
    <t>2024-10-17 · 2024-10-29 · 2024-11-08 · 2024-11-12</t>
  </si>
  <si>
    <t>2024-11-15 · 2024-11-26 · 2024-11-29 · 2024-12-07 · 2024-12-11</t>
  </si>
  <si>
    <t>2024-12-16 · 2024-12-27 · 2025-01-09 · 2025-01-14</t>
  </si>
  <si>
    <t>2025-01-17 · 2025-01-29 · 2025-02-10 · 2025-02-13</t>
  </si>
  <si>
    <t>2025-02-16 · 2025-02-18 · 2025-02-27 · 2025-03-10 · 2025-03-13</t>
  </si>
  <si>
    <t>2025-03-18 · 2025-03-27 · 2025-04-02 · 2025-04-08 · 2025-04-11</t>
  </si>
  <si>
    <t>2025-04-16 · 2025-04-23 · 2025-04-28 · 2025-05-08 · 2025-05-12 · 2025-05-13</t>
  </si>
  <si>
    <t>2025-05-16 · 2025-05-17 · 2025-05-22 · 2025-05-24 · 2025-05-28 · 2025-06-08 · 2025-06-09 · 2025-06-12</t>
  </si>
  <si>
    <t>2025-06-16 · 2025-06-17 · 2025-06-26</t>
  </si>
  <si>
    <t>Oak Springs MHC (oa150)</t>
  </si>
  <si>
    <t>910128055854</t>
  </si>
  <si>
    <t>2025-05-24 · 2025-06-08</t>
  </si>
  <si>
    <t>2025-06-17 · 2025-06-26 · 2025-07-09 · 2025-07-14</t>
  </si>
  <si>
    <t>2025-07-17 · 2025-07-29 · 2025-08-08 · 2025-08-13</t>
  </si>
  <si>
    <t>2025-08-18 · 2025-08-27 · 2025-09-09 · 2025-09-12</t>
  </si>
  <si>
    <t>2025-09-17 · 2025-09-26 · 2025-10-09 · 2025-10-14</t>
  </si>
  <si>
    <t>2025-10-17 · 2025-10-29 · 2025-11-08 · 2025-11-12</t>
  </si>
  <si>
    <t>2025-11-17 · 2025-11-25 · 2025-12-08 · 2025-12-09 · 2025-12-10 · 2025-12-11</t>
  </si>
  <si>
    <t>2025-12-16 · 2025-12-28 · 2025-12-29 · 2026-01-09 · 2026-01-12 · 2026-01-14</t>
  </si>
  <si>
    <t>2026-01-17 · 2026-01-28 · 2026-02-07 · 2026-02-11</t>
  </si>
  <si>
    <t>2026-02-16 · 2026-02-25 · 2026-03-04 · 2026-03-12</t>
  </si>
  <si>
    <t>2026-03-17</t>
  </si>
  <si>
    <t>Orange Manor East</t>
  </si>
  <si>
    <t>211017479711</t>
  </si>
  <si>
    <t>211017489678</t>
  </si>
  <si>
    <t>211020974294</t>
  </si>
  <si>
    <t>221008739072</t>
  </si>
  <si>
    <t>221009278997</t>
  </si>
  <si>
    <t>221009313398</t>
  </si>
  <si>
    <t>82593000001</t>
  </si>
  <si>
    <t>2023-12-29 · 2024-01-10 · 2024-01-11</t>
  </si>
  <si>
    <t>2024-01-26 · 2024-02-08 · 2024-02-09</t>
  </si>
  <si>
    <t>2024-02-23 · 2024-03-08 · 2024-03-11</t>
  </si>
  <si>
    <t>2024-03-29 · 2024-04-09 · 2024-04-10</t>
  </si>
  <si>
    <t>2024-04-26 · 2024-05-08 · 2024-05-09</t>
  </si>
  <si>
    <t>2024-05-31 · 2024-06-07 · 2024-06-10</t>
  </si>
  <si>
    <t>2024-06-28 · 2024-07-09 · 2024-07-10</t>
  </si>
  <si>
    <t>2024-07-26 · 2024-08-07 · 2024-08-08</t>
  </si>
  <si>
    <t>2024-08-29 · 2024-09-09 · 2024-09-10</t>
  </si>
  <si>
    <t>2024-09-28 · 2024-10-08 · 2024-10-09</t>
  </si>
  <si>
    <t>2024-10-25 · 2024-11-07 · 2024-11-08</t>
  </si>
  <si>
    <t>2024-11-26 · 2024-12-09 · 2024-12-10</t>
  </si>
  <si>
    <t>2024-12-27 · 2025-01-09 · 2025-01-10</t>
  </si>
  <si>
    <t>2025-01-31 · 2025-02-07 · 2025-02-10</t>
  </si>
  <si>
    <t>2025-02-28 · 2025-03-10 · 2025-03-11</t>
  </si>
  <si>
    <t>2025-03-24 · 2025-04-08 · 2025-04-09</t>
  </si>
  <si>
    <t>2025-04-21 · 2025-05-08 · 2025-05-09</t>
  </si>
  <si>
    <t>2025-05-27 · 2025-06-09 · 2025-06-10</t>
  </si>
  <si>
    <t>Orange Manor East (or125)</t>
  </si>
  <si>
    <t>211035652414</t>
  </si>
  <si>
    <t>211035652414-deposit</t>
  </si>
  <si>
    <t>211035711863</t>
  </si>
  <si>
    <t>Winter Haven Water Department</t>
  </si>
  <si>
    <t>82593000-001</t>
  </si>
  <si>
    <t>2025-06-09 · 2025-06-10</t>
  </si>
  <si>
    <t>2025-06-19 · 2025-06-21 · 2025-07-09 · 2025-07-10</t>
  </si>
  <si>
    <t>2025-07-21 · 2025-08-07 · 2025-08-08</t>
  </si>
  <si>
    <t>2025-08-25 · 2025-09-08 · 2025-09-09 · 2025-09-12</t>
  </si>
  <si>
    <t>2025-09-26 · 2025-10-07 · 2025-10-08</t>
  </si>
  <si>
    <t>2025-10-31 · 2025-11-07 · 2025-11-10</t>
  </si>
  <si>
    <t>2025-11-26 · 2025-12-09 · 2025-12-10</t>
  </si>
  <si>
    <t>2025-12-26 · 2026-01-06 · 2026-01-09 · 2026-01-12</t>
  </si>
  <si>
    <t>2026-01-29 · 2026-01-30 · 2026-02-09 · 2026-02-10</t>
  </si>
  <si>
    <t>2026-02-27 · 2026-03-10 · 2026-03-11</t>
  </si>
  <si>
    <t>Pacific Manor</t>
  </si>
  <si>
    <t>910001663133</t>
  </si>
  <si>
    <t>910001663176</t>
  </si>
  <si>
    <t>118069002</t>
  </si>
  <si>
    <t>238369009</t>
  </si>
  <si>
    <t>486139002</t>
  </si>
  <si>
    <t>530798001</t>
  </si>
  <si>
    <t>549488001</t>
  </si>
  <si>
    <t>722569004</t>
  </si>
  <si>
    <t>731289005</t>
  </si>
  <si>
    <t>737639002</t>
  </si>
  <si>
    <t>914179006</t>
  </si>
  <si>
    <t>945898008</t>
  </si>
  <si>
    <t>972967004</t>
  </si>
  <si>
    <t>993539008</t>
  </si>
  <si>
    <t>995527009</t>
  </si>
  <si>
    <t>1012285194808</t>
  </si>
  <si>
    <t>2024-01-02 · 2024-01-05 · 2024-01-09 · 2024-01-11 · 2024-01-12</t>
  </si>
  <si>
    <t>2024-01-25 · 2024-02-02 · 2024-02-07 · 2024-02-12</t>
  </si>
  <si>
    <t>2024-02-20 · 2024-02-26 · 2024-03-02 · 2024-03-09 · 2024-03-13</t>
  </si>
  <si>
    <t>2024-03-26 · 2024-04-02 · 2024-04-08 · 2024-04-11 · 2024-04-12</t>
  </si>
  <si>
    <t>2024-04-24 · 2024-05-02 · 2024-05-09 · 2024-05-10</t>
  </si>
  <si>
    <t>2024-05-23 · 2024-06-02 · 2024-06-08 · 2024-06-11</t>
  </si>
  <si>
    <t>2024-06-24 · 2024-07-02 · 2024-07-09 · 2024-07-11</t>
  </si>
  <si>
    <t>2024-07-15 · 2024-07-24 · 2024-08-02 · 2024-08-09</t>
  </si>
  <si>
    <t>2024-08-22 · 2024-09-02 · 2024-09-08 · 2024-09-10</t>
  </si>
  <si>
    <t>2024-09-23 · 2024-10-02 · 2024-10-09</t>
  </si>
  <si>
    <t>2024-10-22 · 2024-10-29 · 2024-11-02 · 2024-11-07 · 2024-11-08 · 2024-11-13</t>
  </si>
  <si>
    <t>2024-11-21 · 2024-12-02 · 2024-12-05 · 2024-12-09 · 2024-12-10</t>
  </si>
  <si>
    <t>2024-12-23 · 2025-01-02 · 2025-01-09</t>
  </si>
  <si>
    <t>2025-01-24 · 2025-02-02 · 2025-02-06 · 2025-02-10</t>
  </si>
  <si>
    <t>2025-02-25 · 2025-03-02 · 2025-03-09 · 2025-03-12</t>
  </si>
  <si>
    <t>2025-03-26 · 2025-04-02 · 2025-04-08 · 2025-04-10</t>
  </si>
  <si>
    <t>2025-04-23 · 2025-04-24 · 2025-05-02 · 2025-05-09</t>
  </si>
  <si>
    <t>2025-05-23 · 2025-06-02 · 2025-06-08 · 2025-06-09</t>
  </si>
  <si>
    <t>Pacific Manor (pa602)</t>
  </si>
  <si>
    <t>118-069-002</t>
  </si>
  <si>
    <t>224-349-001</t>
  </si>
  <si>
    <t>238-369-009</t>
  </si>
  <si>
    <t>321-100-107</t>
  </si>
  <si>
    <t>467-989-002</t>
  </si>
  <si>
    <t>467-989-002-deposit</t>
  </si>
  <si>
    <t>486-139-002</t>
  </si>
  <si>
    <t>549-488-001</t>
  </si>
  <si>
    <t>737-639-002</t>
  </si>
  <si>
    <t>804-689-007</t>
  </si>
  <si>
    <t>804-689-007-deposit</t>
  </si>
  <si>
    <t>904-689-007</t>
  </si>
  <si>
    <t>904-689-007-deposit</t>
  </si>
  <si>
    <t>972-967-004</t>
  </si>
  <si>
    <t>995-527-009</t>
  </si>
  <si>
    <t>1012285-194808</t>
  </si>
  <si>
    <t>2025-05-09</t>
  </si>
  <si>
    <t>2025-06-24 · 2025-07-02 · 2025-07-09 · 2025-07-11</t>
  </si>
  <si>
    <t>2025-07-24 · 2025-08-02 · 2025-08-09 · 2025-08-11</t>
  </si>
  <si>
    <t>2025-08-22 · 2025-09-02 · 2025-09-04 · 2025-09-08 · 2025-09-10</t>
  </si>
  <si>
    <t>2025-09-22 · 2025-10-02 · 2025-10-06 · 2025-10-09</t>
  </si>
  <si>
    <t>2025-10-22 · 2025-10-23 · 2025-10-31 · 2025-11-02 · 2025-11-07 · 2025-11-08 · 2025-11-12</t>
  </si>
  <si>
    <t>2025-11-21 · 2025-12-02 · 2025-12-09 · 2025-12-10</t>
  </si>
  <si>
    <t>2025-12-15 · 2025-12-23 · 2026-01-02 · 2026-01-09</t>
  </si>
  <si>
    <t>2026-01-26 · 2026-02-02 · 2026-02-06 · 2026-02-10 · 2026-02-12</t>
  </si>
  <si>
    <t>2026-02-25 · 2026-03-02 · 2026-03-09 · 2026-03-13</t>
  </si>
  <si>
    <t>Parkhaven</t>
  </si>
  <si>
    <t>910001222480</t>
  </si>
  <si>
    <t>910001653582</t>
  </si>
  <si>
    <t>910001653631</t>
  </si>
  <si>
    <t>910001653640</t>
  </si>
  <si>
    <t>910001653787</t>
  </si>
  <si>
    <t>910001653788</t>
  </si>
  <si>
    <t>910001653791</t>
  </si>
  <si>
    <t>910004488754</t>
  </si>
  <si>
    <t>910004502232</t>
  </si>
  <si>
    <t>910004617320</t>
  </si>
  <si>
    <t>102767005</t>
  </si>
  <si>
    <t>10648001</t>
  </si>
  <si>
    <t>111088002</t>
  </si>
  <si>
    <t>131688009</t>
  </si>
  <si>
    <t>159127007</t>
  </si>
  <si>
    <t>171327009</t>
  </si>
  <si>
    <t>182967006</t>
  </si>
  <si>
    <t>205279003</t>
  </si>
  <si>
    <t>246427003</t>
  </si>
  <si>
    <t>258027002</t>
  </si>
  <si>
    <t>27929005</t>
  </si>
  <si>
    <t>282669003</t>
  </si>
  <si>
    <t>306010104</t>
  </si>
  <si>
    <t>309049007</t>
  </si>
  <si>
    <t>337128000</t>
  </si>
  <si>
    <t>347648001</t>
  </si>
  <si>
    <t>35589008</t>
  </si>
  <si>
    <t>356427003</t>
  </si>
  <si>
    <t>358027002</t>
  </si>
  <si>
    <t>364086001</t>
  </si>
  <si>
    <t>380288008</t>
  </si>
  <si>
    <t>414776000</t>
  </si>
  <si>
    <t>453039005</t>
  </si>
  <si>
    <t>458027002</t>
  </si>
  <si>
    <t>492588003</t>
  </si>
  <si>
    <t>494199009</t>
  </si>
  <si>
    <t>514776000</t>
  </si>
  <si>
    <t>523648001</t>
  </si>
  <si>
    <t>543339000</t>
  </si>
  <si>
    <t>544086001</t>
  </si>
  <si>
    <t>545840104</t>
  </si>
  <si>
    <t>55427008</t>
  </si>
  <si>
    <t>562929006</t>
  </si>
  <si>
    <t>565548000</t>
  </si>
  <si>
    <t>602789004</t>
  </si>
  <si>
    <t>638667004</t>
  </si>
  <si>
    <t>644086001</t>
  </si>
  <si>
    <t>648459000</t>
  </si>
  <si>
    <t>681767005</t>
  </si>
  <si>
    <t>704776000</t>
  </si>
  <si>
    <t>735769008</t>
  </si>
  <si>
    <t>738667004</t>
  </si>
  <si>
    <t>758027002</t>
  </si>
  <si>
    <t>779829006</t>
  </si>
  <si>
    <t>78027002</t>
  </si>
  <si>
    <t>799899002</t>
  </si>
  <si>
    <t>820888008</t>
  </si>
  <si>
    <t>823968001</t>
  </si>
  <si>
    <t>875139006</t>
  </si>
  <si>
    <t>892829001</t>
  </si>
  <si>
    <t>897888009</t>
  </si>
  <si>
    <t>904776000</t>
  </si>
  <si>
    <t>910427007</t>
  </si>
  <si>
    <t>910689007</t>
  </si>
  <si>
    <t>928667004</t>
  </si>
  <si>
    <t>951339005</t>
  </si>
  <si>
    <t>960048001</t>
  </si>
  <si>
    <t>961327009</t>
  </si>
  <si>
    <t>968210105</t>
  </si>
  <si>
    <t>1012285109760</t>
  </si>
  <si>
    <t>1012285184451</t>
  </si>
  <si>
    <t>2023-12-28 · 2023-12-29 · 2024-01-02 · 2024-01-05</t>
  </si>
  <si>
    <t>2024-01-20 · 2024-01-28 · 2024-01-29 · 2024-01-30 · 2024-02-01 · 2024-02-02 · 2024-02-05</t>
  </si>
  <si>
    <t>2024-02-20 · 2024-02-26 · 2024-02-27 · 2024-02-29 · 2024-03-02 · 2024-03-05 · 2024-03-06 · 2024-03-13</t>
  </si>
  <si>
    <t>2024-03-20 · 2024-03-28 · 2024-03-29 · 2024-04-02 · 2024-04-03 · 2024-04-04 · 2024-04-05</t>
  </si>
  <si>
    <t>2024-04-20 · 2024-04-27 · 2024-04-28 · 2024-04-29 · 2024-05-02 · 2024-05-03 · 2024-05-05</t>
  </si>
  <si>
    <t>2024-05-20 · 2024-05-26 · 2024-05-28 · 2024-05-29 · 2024-06-02 · 2024-06-04 · 2024-06-05</t>
  </si>
  <si>
    <t>2024-06-20 · 2024-06-26 · 2024-06-27 · 2024-06-28 · 2024-07-02 · 2024-07-03 · 2024-07-05</t>
  </si>
  <si>
    <t>2024-07-20 · 2024-07-26 · 2024-07-28 · 2024-07-29 · 2024-08-02 · 2024-08-05</t>
  </si>
  <si>
    <t>2024-08-20 · 2024-08-27 · 2024-08-28 · 2024-08-29 · 2024-09-02 · 2024-09-04 · 2024-09-05</t>
  </si>
  <si>
    <t>2024-09-20 · 2024-09-24 · 2024-09-26 · 2024-09-27 · 2024-09-28 · 2024-10-02 · 2024-10-05</t>
  </si>
  <si>
    <t>2024-10-20 · 2024-10-25 · 2024-10-28 · 2024-10-29 · 2024-10-30 · 2024-11-02 · 2024-11-05</t>
  </si>
  <si>
    <t>2024-11-20 · 2024-11-25 · 2024-11-27 · 2024-11-28 · 2024-12-02 · 2024-12-04 · 2024-12-05</t>
  </si>
  <si>
    <t>2024-12-20 · 2024-12-27 · 2024-12-28 · 2024-12-29 · 2025-01-02 · 2025-01-05 · 2025-01-06</t>
  </si>
  <si>
    <t>2025-01-20 · 2025-01-28 · 2025-01-29 · 2025-02-02 · 2025-02-04 · 2025-02-05</t>
  </si>
  <si>
    <t>2025-02-20 · 2025-02-25 · 2025-02-26 · 2025-02-27 · 2025-03-02 · 2025-03-05 · 2025-03-06</t>
  </si>
  <si>
    <t>2025-03-20 · 2025-03-28 · 2025-03-29 · 2025-04-02 · 2025-04-04 · 2025-04-05 · 2025-04-08</t>
  </si>
  <si>
    <t>2025-04-20 · 2025-04-27 · 2025-04-28 · 2025-04-30 · 2025-05-02 · 2025-05-05 · 2025-05-09</t>
  </si>
  <si>
    <t>2025-05-20 · 2025-05-28 · 2025-05-29 · 2025-06-02 · 2025-06-04 · 2025-06-05 · 2025-06-08</t>
  </si>
  <si>
    <t>2025-06-20 · 2025-06-26 · 2025-06-27 · 2025-06-28 · 2025-07-01 · 2025-07-02 · 2025-07-03 · 2025-07-05 · 2025-07-09</t>
  </si>
  <si>
    <t>2025-07-20 · 2025-07-28 · 2025-07-29 · 2025-08-02 · 2025-08-04 · 2025-08-05 · 2025-08-09</t>
  </si>
  <si>
    <t>2025-08-20 · 2025-08-27 · 2025-08-28 · 2025-08-29 · 2025-09-02 · 2025-09-04 · 2025-09-05 · 2025-09-08</t>
  </si>
  <si>
    <t>2025-09-20 · 2025-09-22 · 2025-09-26 · 2025-09-27 · 2025-09-28 · 2025-10-01 · 2025-10-02 · 2025-10-05 · 2025-10-09</t>
  </si>
  <si>
    <t>2025-10-20 · 2025-10-27 · 2025-10-28 · 2025-10-29 · 2025-10-31 · 2025-11-02 · 2025-11-05 · 2025-11-08</t>
  </si>
  <si>
    <t>2025-11-20 · 2025-11-25 · 2025-11-27 · 2025-11-28 · 2025-12-02 · 2025-12-04 · 2025-12-05 · 2025-12-07 · 2025-12-09</t>
  </si>
  <si>
    <t>2025-12-20 · 2025-12-28 · 2025-12-29 · 2026-01-02 · 2026-01-05 · 2026-01-06 · 2026-01-09</t>
  </si>
  <si>
    <t>2026-01-20 · 2026-01-27 · 2026-01-28 · 2026-01-29 · 2026-02-01 · 2026-02-02 · 2026-02-03 · 2026-02-04 · 2026-02-05 · 2026-02-06</t>
  </si>
  <si>
    <t>2026-02-20 · 2026-02-25 · 2026-02-26 · 2026-02-27 · 2026-03-02 · 2026-03-03 · 2026-03-05 · 2026-03-06 · 2026-03-09</t>
  </si>
  <si>
    <t>Ridgecrest</t>
  </si>
  <si>
    <t>4000381107</t>
  </si>
  <si>
    <t>4010171303</t>
  </si>
  <si>
    <t>4582400014</t>
  </si>
  <si>
    <t>4582420013</t>
  </si>
  <si>
    <t>4582440013</t>
  </si>
  <si>
    <t>4582445013</t>
  </si>
  <si>
    <t>4582540021</t>
  </si>
  <si>
    <t>4582575013</t>
  </si>
  <si>
    <t>4582630013</t>
  </si>
  <si>
    <t>4582760013</t>
  </si>
  <si>
    <t>4582788013</t>
  </si>
  <si>
    <t>4582790013</t>
  </si>
  <si>
    <t>4582796817</t>
  </si>
  <si>
    <t>9605948801</t>
  </si>
  <si>
    <t>9606098901</t>
  </si>
  <si>
    <t>9607426501</t>
  </si>
  <si>
    <t>9607729301</t>
  </si>
  <si>
    <t>9609897701</t>
  </si>
  <si>
    <t>9610284601</t>
  </si>
  <si>
    <t>9610423801</t>
  </si>
  <si>
    <t>9610516801</t>
  </si>
  <si>
    <t>9610517001</t>
  </si>
  <si>
    <t>9610517101</t>
  </si>
  <si>
    <t>2024-01-09</t>
  </si>
  <si>
    <t>2024-02-07 · 2024-02-08</t>
  </si>
  <si>
    <t>2024-03-11</t>
  </si>
  <si>
    <t>2024-04-09 · 2024-04-10</t>
  </si>
  <si>
    <t>2024-05-09</t>
  </si>
  <si>
    <t>2024-06-09 · 2024-06-11</t>
  </si>
  <si>
    <t>2024-07-10 · 2024-07-11</t>
  </si>
  <si>
    <t>2024-08-09 · 2024-08-12</t>
  </si>
  <si>
    <t>2024-09-03 · 2024-09-10</t>
  </si>
  <si>
    <t>2024-10-09</t>
  </si>
  <si>
    <t>2024-11-07 · 2024-11-10</t>
  </si>
  <si>
    <t>2024-12-09</t>
  </si>
  <si>
    <t>2024-12-19 · 2025-01-08 · 2025-01-13</t>
  </si>
  <si>
    <t>2025-01-31 · 2025-02-09</t>
  </si>
  <si>
    <t>2025-03-11</t>
  </si>
  <si>
    <t>2025-04-09 · 2025-04-11</t>
  </si>
  <si>
    <t>2025-05-08</t>
  </si>
  <si>
    <t>2025-06-09</t>
  </si>
  <si>
    <t>2025-07-08</t>
  </si>
  <si>
    <t>2025-08-08</t>
  </si>
  <si>
    <t>2025-09-09</t>
  </si>
  <si>
    <t>2025-10-08</t>
  </si>
  <si>
    <t>2025-11-07</t>
  </si>
  <si>
    <t>2025-12-07 · 2025-12-08</t>
  </si>
  <si>
    <t>2026-01-08</t>
  </si>
  <si>
    <t>2026-02-06</t>
  </si>
  <si>
    <t>2026-03-10</t>
  </si>
  <si>
    <t>Riverest</t>
  </si>
  <si>
    <t>910085371392</t>
  </si>
  <si>
    <t>910094019845</t>
  </si>
  <si>
    <t>910138702823</t>
  </si>
  <si>
    <t>910161757370</t>
  </si>
  <si>
    <t>910186483571</t>
  </si>
  <si>
    <t>910186483589</t>
  </si>
  <si>
    <t>910190114158</t>
  </si>
  <si>
    <t>910194519797</t>
  </si>
  <si>
    <t>910194520849</t>
  </si>
  <si>
    <t>910194520873</t>
  </si>
  <si>
    <t>910196249528</t>
  </si>
  <si>
    <t>910196249734</t>
  </si>
  <si>
    <t>5488517110</t>
  </si>
  <si>
    <t>2024-01-05 · 2024-01-08</t>
  </si>
  <si>
    <t>2024-01-26 · 2024-02-05 · 2024-02-07</t>
  </si>
  <si>
    <t>2024-02-26 · 2024-03-05 · 2024-03-07</t>
  </si>
  <si>
    <t>2024-03-26 · 2024-04-05</t>
  </si>
  <si>
    <t>2024-04-15 · 2024-04-25 · 2024-05-06 · 2024-05-07</t>
  </si>
  <si>
    <t>2024-05-21 · 2024-05-28 · 2024-06-04 · 2024-06-07</t>
  </si>
  <si>
    <t>2024-06-25 · 2024-07-03 · 2024-07-08</t>
  </si>
  <si>
    <t>2024-07-26 · 2024-08-06 · 2024-08-07</t>
  </si>
  <si>
    <t>2024-08-27 · 2024-09-06 · 2024-09-09</t>
  </si>
  <si>
    <t>2024-09-25 · 2024-10-06 · 2024-10-07</t>
  </si>
  <si>
    <t>2024-10-28 · 2024-11-05 · 2024-11-07</t>
  </si>
  <si>
    <t>2024-11-25 · 2024-12-06</t>
  </si>
  <si>
    <t>2024-12-26 · 2025-01-06 · 2025-01-08</t>
  </si>
  <si>
    <t>2025-01-28 · 2025-02-06 · 2025-02-07 · 2025-02-08</t>
  </si>
  <si>
    <t>2025-02-26 · 2025-03-06 · 2025-03-07</t>
  </si>
  <si>
    <t>2025-03-26 · 2025-04-04 · 2025-04-07</t>
  </si>
  <si>
    <t>2025-04-25 · 2025-05-06 · 2025-05-07</t>
  </si>
  <si>
    <t>2025-05-27 · 2025-06-05 · 2025-06-06</t>
  </si>
  <si>
    <t>2025-06-25 · 2025-07-07 · 2025-07-08</t>
  </si>
  <si>
    <t>2025-07-28 · 2025-07-30 · 2025-08-04 · 2025-08-07</t>
  </si>
  <si>
    <t>2025-08-26 · 2025-08-28 · 2025-09-04 · 2025-09-08</t>
  </si>
  <si>
    <t>2025-09-25 · 2025-09-29 · 2025-10-03 · 2025-10-08 · 2025-10-14</t>
  </si>
  <si>
    <t>2025-10-30 · 2025-11-04 · 2025-11-07</t>
  </si>
  <si>
    <t>2025-11-24 · 2025-11-26 · 2025-12-04 · 2025-12-05</t>
  </si>
  <si>
    <t>2025-12-18 · 2025-12-30 · 2026-01-06 · 2026-01-08</t>
  </si>
  <si>
    <t>2026-01-27 · 2026-01-29 · 2026-02-06</t>
  </si>
  <si>
    <t>2026-02-24 · 2026-02-26 · 2026-03-06</t>
  </si>
  <si>
    <t>Riverview MHRV LLC</t>
  </si>
  <si>
    <t>203634871</t>
  </si>
  <si>
    <t>284918315</t>
  </si>
  <si>
    <t>324890086</t>
  </si>
  <si>
    <t>3408701088</t>
  </si>
  <si>
    <t>555190081</t>
  </si>
  <si>
    <t>5702011296</t>
  </si>
  <si>
    <t>7079449349</t>
  </si>
  <si>
    <t>8340914111</t>
  </si>
  <si>
    <t>8983684013</t>
  </si>
  <si>
    <t>113172295610</t>
  </si>
  <si>
    <t>113693295610</t>
  </si>
  <si>
    <t>115709295610</t>
  </si>
  <si>
    <t>127377295610</t>
  </si>
  <si>
    <t>127378295610</t>
  </si>
  <si>
    <t>127380295610</t>
  </si>
  <si>
    <t>127381295610</t>
  </si>
  <si>
    <t>136393295610</t>
  </si>
  <si>
    <t>145214295610</t>
  </si>
  <si>
    <t>148464295610</t>
  </si>
  <si>
    <t>149461295610</t>
  </si>
  <si>
    <t>2023-12-18 · 2024-01-05 · 2024-01-12</t>
  </si>
  <si>
    <t>2024-01-16 · 2024-02-14</t>
  </si>
  <si>
    <t>2024-02-19 · 2024-02-23 · 2024-02-29 · 2024-03-14</t>
  </si>
  <si>
    <t>2024-04-15 · 2024-04-25</t>
  </si>
  <si>
    <t>2024-05-15 · 2024-05-20 · 2024-06-14</t>
  </si>
  <si>
    <t>2024-06-17 · 2024-07-05</t>
  </si>
  <si>
    <t>2024-08-19 · 2024-09-13</t>
  </si>
  <si>
    <t>2024-09-16 · 2024-10-14</t>
  </si>
  <si>
    <t>2024-11-18 · 2024-11-26 · 2024-12-13</t>
  </si>
  <si>
    <t>2024-12-16 · 2025-01-14</t>
  </si>
  <si>
    <t>2025-01-21 · 2025-02-11 · 2025-02-14</t>
  </si>
  <si>
    <t>2025-03-17 · 2025-04-14</t>
  </si>
  <si>
    <t>2025-05-12 · 2025-05-14</t>
  </si>
  <si>
    <t>Rosehaven</t>
  </si>
  <si>
    <t>910001663479</t>
  </si>
  <si>
    <t>910001893057</t>
  </si>
  <si>
    <t>910001893118</t>
  </si>
  <si>
    <t>910001893119</t>
  </si>
  <si>
    <t>910001918071</t>
  </si>
  <si>
    <t>910001918072</t>
  </si>
  <si>
    <t>910001918075</t>
  </si>
  <si>
    <t>910001918077</t>
  </si>
  <si>
    <t>910001918078</t>
  </si>
  <si>
    <t>910001918081</t>
  </si>
  <si>
    <t>910001918082</t>
  </si>
  <si>
    <t>910001918084</t>
  </si>
  <si>
    <t>910001918085</t>
  </si>
  <si>
    <t>910001918086</t>
  </si>
  <si>
    <t>910001918087</t>
  </si>
  <si>
    <t>910002215030</t>
  </si>
  <si>
    <t>910002943421</t>
  </si>
  <si>
    <t>910003509984</t>
  </si>
  <si>
    <t>910003689238</t>
  </si>
  <si>
    <t>910004001064</t>
  </si>
  <si>
    <t>115427009</t>
  </si>
  <si>
    <t>127158009</t>
  </si>
  <si>
    <t>12767005</t>
  </si>
  <si>
    <t>138818005</t>
  </si>
  <si>
    <t>176077006</t>
  </si>
  <si>
    <t>235269009</t>
  </si>
  <si>
    <t>254348003</t>
  </si>
  <si>
    <t>303977004</t>
  </si>
  <si>
    <t>305867005</t>
  </si>
  <si>
    <t>313579006</t>
  </si>
  <si>
    <t>316768001</t>
  </si>
  <si>
    <t>336478002</t>
  </si>
  <si>
    <t>34188000</t>
  </si>
  <si>
    <t>371300108</t>
  </si>
  <si>
    <t>376427003</t>
  </si>
  <si>
    <t>3848008</t>
  </si>
  <si>
    <t>389127008</t>
  </si>
  <si>
    <t>402347002</t>
  </si>
  <si>
    <t>423327007</t>
  </si>
  <si>
    <t>470949001</t>
  </si>
  <si>
    <t>476427003</t>
  </si>
  <si>
    <t>489637009</t>
  </si>
  <si>
    <t>491327009</t>
  </si>
  <si>
    <t>495996001</t>
  </si>
  <si>
    <t>505278001</t>
  </si>
  <si>
    <t>505427009</t>
  </si>
  <si>
    <t>50859007</t>
  </si>
  <si>
    <t>549527003</t>
  </si>
  <si>
    <t>566077006</t>
  </si>
  <si>
    <t>577848009</t>
  </si>
  <si>
    <t>5867005</t>
  </si>
  <si>
    <t>586876000</t>
  </si>
  <si>
    <t>591327009</t>
  </si>
  <si>
    <t>604897005</t>
  </si>
  <si>
    <t>623327007</t>
  </si>
  <si>
    <t>630858009</t>
  </si>
  <si>
    <t>649527003</t>
  </si>
  <si>
    <t>666077006</t>
  </si>
  <si>
    <t>681658009</t>
  </si>
  <si>
    <t>686876000</t>
  </si>
  <si>
    <t>691327009</t>
  </si>
  <si>
    <t>701898006</t>
  </si>
  <si>
    <t>71867004</t>
  </si>
  <si>
    <t>723327007</t>
  </si>
  <si>
    <t>766077006</t>
  </si>
  <si>
    <t>780829009</t>
  </si>
  <si>
    <t>794867005</t>
  </si>
  <si>
    <t>806909004</t>
  </si>
  <si>
    <t>81730105</t>
  </si>
  <si>
    <t>856596001</t>
  </si>
  <si>
    <t>861867004</t>
  </si>
  <si>
    <t>863029001</t>
  </si>
  <si>
    <t>866077006</t>
  </si>
  <si>
    <t>890829009</t>
  </si>
  <si>
    <t>891327009</t>
  </si>
  <si>
    <t>932300104</t>
  </si>
  <si>
    <t>949527003</t>
  </si>
  <si>
    <t>966077006</t>
  </si>
  <si>
    <t>96876000</t>
  </si>
  <si>
    <t>969688001</t>
  </si>
  <si>
    <t>98740104</t>
  </si>
  <si>
    <t>991327009</t>
  </si>
  <si>
    <t>2155528004</t>
  </si>
  <si>
    <t>2155562004</t>
  </si>
  <si>
    <t>2155565007</t>
  </si>
  <si>
    <t>2023-12-23 · 2024-01-02 · 2024-01-03 · 2024-01-09</t>
  </si>
  <si>
    <t>2024-01-25 · 2024-01-29 · 2024-02-01 · 2024-02-02 · 2024-02-07</t>
  </si>
  <si>
    <t>2024-02-23 · 2024-02-26 · 2024-02-27 · 2024-03-01 · 2024-03-02 · 2024-03-03 · 2024-03-09</t>
  </si>
  <si>
    <t>2024-03-15 · 2024-03-26 · 2024-03-29 · 2024-04-02 · 2024-04-08</t>
  </si>
  <si>
    <t>2024-04-24 · 2024-04-30 · 2024-05-02 · 2024-05-09</t>
  </si>
  <si>
    <t>2024-05-22 · 2024-05-23 · 2024-05-31 · 2024-06-02 · 2024-06-08</t>
  </si>
  <si>
    <t>2024-06-24 · 2024-06-28 · 2024-07-02 · 2024-07-09</t>
  </si>
  <si>
    <t>2024-07-18 · 2024-07-19 · 2024-07-24 · 2024-07-31 · 2024-08-02 · 2024-08-09</t>
  </si>
  <si>
    <t>2024-08-22 · 2024-08-30 · 2024-09-02 · 2024-09-08</t>
  </si>
  <si>
    <t>2024-09-23 · 2024-09-30 · 2024-10-02 · 2024-10-09</t>
  </si>
  <si>
    <t>2024-10-22 · 2024-10-31 · 2024-11-02 · 2024-11-08</t>
  </si>
  <si>
    <t>2024-11-21 · 2024-12-02 · 2024-12-03 · 2024-12-09</t>
  </si>
  <si>
    <t>2024-12-23 · 2025-01-02 · 2025-01-03 · 2025-01-09</t>
  </si>
  <si>
    <t>2025-01-24 · 2025-02-02 · 2025-02-03 · 2025-02-05 · 2025-02-06</t>
  </si>
  <si>
    <t>2025-02-25 · 2025-02-27 · 2025-03-02 · 2025-03-04 · 2025-03-09</t>
  </si>
  <si>
    <t>2025-03-26 · 2025-04-01 · 2025-04-02 · 2025-04-08</t>
  </si>
  <si>
    <t>2025-04-24 · 2025-04-30 · 2025-05-02 · 2025-05-09</t>
  </si>
  <si>
    <t>2025-05-23 · 2025-06-02 · 2025-06-08</t>
  </si>
  <si>
    <t>2025-06-20 · 2025-06-23 · 2025-06-24 · 2025-07-01 · 2025-07-02 · 2025-07-09</t>
  </si>
  <si>
    <t>2025-07-24 · 2025-07-31 · 2025-08-02 · 2025-08-09</t>
  </si>
  <si>
    <t>2025-08-22 · 2025-08-29 · 2025-09-02 · 2025-09-08</t>
  </si>
  <si>
    <t>2025-09-17 · 2025-09-22 · 2025-09-30 · 2025-10-02 · 2025-10-09 · 2025-10-10</t>
  </si>
  <si>
    <t>2025-10-22 · 2025-10-30 · 2025-11-02 · 2025-11-08</t>
  </si>
  <si>
    <t>2025-11-21 · 2025-12-02 · 2025-12-03 · 2025-12-09</t>
  </si>
  <si>
    <t>2025-12-23 · 2025-12-31 · 2026-01-02 · 2026-01-05 · 2026-01-09</t>
  </si>
  <si>
    <t>2026-01-16 · 2026-01-26 · 2026-02-02 · 2026-02-06 · 2026-02-10</t>
  </si>
  <si>
    <t>2026-02-25 · 2026-03-02 · 2026-03-04 · 2026-03-09 · 2026-03-10</t>
  </si>
  <si>
    <t>Sanctuary RV Resort</t>
  </si>
  <si>
    <t>3081897</t>
  </si>
  <si>
    <t>1005911191</t>
  </si>
  <si>
    <t>1036539136</t>
  </si>
  <si>
    <t>1084672326</t>
  </si>
  <si>
    <t>1086702121</t>
  </si>
  <si>
    <t>1103133144</t>
  </si>
  <si>
    <t>1122480468</t>
  </si>
  <si>
    <t>1231024215</t>
  </si>
  <si>
    <t>1247997040</t>
  </si>
  <si>
    <t>1323736122</t>
  </si>
  <si>
    <t>1377576291</t>
  </si>
  <si>
    <t>142378371</t>
  </si>
  <si>
    <t>1425362306</t>
  </si>
  <si>
    <t>1506416484</t>
  </si>
  <si>
    <t>1538546209</t>
  </si>
  <si>
    <t>1555121597</t>
  </si>
  <si>
    <t>1558334353</t>
  </si>
  <si>
    <t>1706475165</t>
  </si>
  <si>
    <t>1749419378</t>
  </si>
  <si>
    <t>1756644413</t>
  </si>
  <si>
    <t>1934421072</t>
  </si>
  <si>
    <t>1998314296</t>
  </si>
  <si>
    <t>2060014210</t>
  </si>
  <si>
    <t>2073397313</t>
  </si>
  <si>
    <t>2124092202</t>
  </si>
  <si>
    <t>2135956023</t>
  </si>
  <si>
    <t>2171586122</t>
  </si>
  <si>
    <t>2191096391</t>
  </si>
  <si>
    <t>2269782567</t>
  </si>
  <si>
    <t>2300890346</t>
  </si>
  <si>
    <t>2390486294</t>
  </si>
  <si>
    <t>2416948046</t>
  </si>
  <si>
    <t>2427617259</t>
  </si>
  <si>
    <t>2461247252</t>
  </si>
  <si>
    <t>2497834271</t>
  </si>
  <si>
    <t>2531860498</t>
  </si>
  <si>
    <t>2544981562</t>
  </si>
  <si>
    <t>2637672565</t>
  </si>
  <si>
    <t>2671341192</t>
  </si>
  <si>
    <t>2688919139</t>
  </si>
  <si>
    <t>2725631192</t>
  </si>
  <si>
    <t>274135110</t>
  </si>
  <si>
    <t>2751087319</t>
  </si>
  <si>
    <t>2827690195</t>
  </si>
  <si>
    <t>2864593278</t>
  </si>
  <si>
    <t>29142304</t>
  </si>
  <si>
    <t>2955954314</t>
  </si>
  <si>
    <t>3069056020</t>
  </si>
  <si>
    <t>307740399</t>
  </si>
  <si>
    <t>316524107</t>
  </si>
  <si>
    <t>3166724355</t>
  </si>
  <si>
    <t>3275699019</t>
  </si>
  <si>
    <t>3285134106</t>
  </si>
  <si>
    <t>3340952328</t>
  </si>
  <si>
    <t>3398652309</t>
  </si>
  <si>
    <t>346662562</t>
  </si>
  <si>
    <t>3497537245</t>
  </si>
  <si>
    <t>351270392</t>
  </si>
  <si>
    <t>3577866290</t>
  </si>
  <si>
    <t>3610217246</t>
  </si>
  <si>
    <t>3667527240</t>
  </si>
  <si>
    <t>3684001468</t>
  </si>
  <si>
    <t>3685255204</t>
  </si>
  <si>
    <t>3687874317</t>
  </si>
  <si>
    <t>3733994150</t>
  </si>
  <si>
    <t>3743346136</t>
  </si>
  <si>
    <t>3830636506</t>
  </si>
  <si>
    <t>3865850394</t>
  </si>
  <si>
    <t>3978714354</t>
  </si>
  <si>
    <t>4181536410</t>
  </si>
  <si>
    <t>4199856297</t>
  </si>
  <si>
    <t>420353468</t>
  </si>
  <si>
    <t>4203721594</t>
  </si>
  <si>
    <t>4204721270</t>
  </si>
  <si>
    <t>4259500298</t>
  </si>
  <si>
    <t>4297146476</t>
  </si>
  <si>
    <t>4340933581</t>
  </si>
  <si>
    <t>4403665203</t>
  </si>
  <si>
    <t>4477074316</t>
  </si>
  <si>
    <t>4512640113</t>
  </si>
  <si>
    <t>4519317392</t>
  </si>
  <si>
    <t>4539420150</t>
  </si>
  <si>
    <t>4665613024</t>
  </si>
  <si>
    <t>4809877246</t>
  </si>
  <si>
    <t>4817206487</t>
  </si>
  <si>
    <t>4890752365</t>
  </si>
  <si>
    <t>5019382588</t>
  </si>
  <si>
    <t>5036410156</t>
  </si>
  <si>
    <t>5116633461</t>
  </si>
  <si>
    <t>5131632027</t>
  </si>
  <si>
    <t>5144866414</t>
  </si>
  <si>
    <t>5163447005</t>
  </si>
  <si>
    <t>5221871121</t>
  </si>
  <si>
    <t>5388238049</t>
  </si>
  <si>
    <t>5392436472</t>
  </si>
  <si>
    <t>5434598164</t>
  </si>
  <si>
    <t>5460093023</t>
  </si>
  <si>
    <t>5468721567</t>
  </si>
  <si>
    <t>5487383258</t>
  </si>
  <si>
    <t>5491261128</t>
  </si>
  <si>
    <t>5527356132</t>
  </si>
  <si>
    <t>5701765165</t>
  </si>
  <si>
    <t>570824276</t>
  </si>
  <si>
    <t>574878161</t>
  </si>
  <si>
    <t>5820262029</t>
  </si>
  <si>
    <t>5834514274</t>
  </si>
  <si>
    <t>5988570056</t>
  </si>
  <si>
    <t>5994403581</t>
  </si>
  <si>
    <t>6060785166</t>
  </si>
  <si>
    <t>6066895506</t>
  </si>
  <si>
    <t>608252565</t>
  </si>
  <si>
    <t>6126547246</t>
  </si>
  <si>
    <t>6163411595</t>
  </si>
  <si>
    <t>6169287429</t>
  </si>
  <si>
    <t>6195037129</t>
  </si>
  <si>
    <t>6223791523</t>
  </si>
  <si>
    <t>622400158</t>
  </si>
  <si>
    <t>6226838313</t>
  </si>
  <si>
    <t>6300052302</t>
  </si>
  <si>
    <t>6328840076</t>
  </si>
  <si>
    <t>6419190464</t>
  </si>
  <si>
    <t>6450843393</t>
  </si>
  <si>
    <t>6553570463</t>
  </si>
  <si>
    <t>6554481124</t>
  </si>
  <si>
    <t>6557938286</t>
  </si>
  <si>
    <t>6565431597</t>
  </si>
  <si>
    <t>6581050041</t>
  </si>
  <si>
    <t>6607810071</t>
  </si>
  <si>
    <t>6621904108</t>
  </si>
  <si>
    <t>6654337101</t>
  </si>
  <si>
    <t>6675193392</t>
  </si>
  <si>
    <t>6707336134</t>
  </si>
  <si>
    <t>6813028047</t>
  </si>
  <si>
    <t>6830962301</t>
  </si>
  <si>
    <t>6832709130</t>
  </si>
  <si>
    <t>6835863256</t>
  </si>
  <si>
    <t>6856407009</t>
  </si>
  <si>
    <t>6989714107</t>
  </si>
  <si>
    <t>7007484319</t>
  </si>
  <si>
    <t>7149058310</t>
  </si>
  <si>
    <t>7186460510</t>
  </si>
  <si>
    <t>7209293211</t>
  </si>
  <si>
    <t>7253928316</t>
  </si>
  <si>
    <t>7305917002</t>
  </si>
  <si>
    <t>7373027106</t>
  </si>
  <si>
    <t>7392635202</t>
  </si>
  <si>
    <t>745340380</t>
  </si>
  <si>
    <t>7507631567</t>
  </si>
  <si>
    <t>752151191</t>
  </si>
  <si>
    <t>7584642321</t>
  </si>
  <si>
    <t>7680915118</t>
  </si>
  <si>
    <t>7714904351</t>
  </si>
  <si>
    <t>7750548310</t>
  </si>
  <si>
    <t>7766291129</t>
  </si>
  <si>
    <t>7792516507</t>
  </si>
  <si>
    <t>7828373394</t>
  </si>
  <si>
    <t>8016951199</t>
  </si>
  <si>
    <t>8033826473</t>
  </si>
  <si>
    <t>8050285165</t>
  </si>
  <si>
    <t>80728165</t>
  </si>
  <si>
    <t>8079237007</t>
  </si>
  <si>
    <t>8114463394</t>
  </si>
  <si>
    <t>8122841565</t>
  </si>
  <si>
    <t>8143350380</t>
  </si>
  <si>
    <t>8229166130</t>
  </si>
  <si>
    <t>8240381338</t>
  </si>
  <si>
    <t>8242626482</t>
  </si>
  <si>
    <t>8337573250</t>
  </si>
  <si>
    <t>8481345117</t>
  </si>
  <si>
    <t>851907121</t>
  </si>
  <si>
    <t>8538822324</t>
  </si>
  <si>
    <t>8554403066</t>
  </si>
  <si>
    <t>8610403209</t>
  </si>
  <si>
    <t>8654948168</t>
  </si>
  <si>
    <t>867030116</t>
  </si>
  <si>
    <t>8737561566</t>
  </si>
  <si>
    <t>8784922406</t>
  </si>
  <si>
    <t>8839991125</t>
  </si>
  <si>
    <t>8848513464</t>
  </si>
  <si>
    <t>9044372119</t>
  </si>
  <si>
    <t>9049308316</t>
  </si>
  <si>
    <t>9078109379</t>
  </si>
  <si>
    <t>9120057105</t>
  </si>
  <si>
    <t>9141107418</t>
  </si>
  <si>
    <t>9254172209</t>
  </si>
  <si>
    <t>9274023580</t>
  </si>
  <si>
    <t>9311410113</t>
  </si>
  <si>
    <t>9409629137</t>
  </si>
  <si>
    <t>9413853251</t>
  </si>
  <si>
    <t>9605134213</t>
  </si>
  <si>
    <t>9682455119</t>
  </si>
  <si>
    <t>9727357254</t>
  </si>
  <si>
    <t>9771773463</t>
  </si>
  <si>
    <t>9781037255</t>
  </si>
  <si>
    <t>9922370078</t>
  </si>
  <si>
    <t>995526506</t>
  </si>
  <si>
    <t>L004737C0123616</t>
  </si>
  <si>
    <t>2024-01-17 · 2024-02-02</t>
  </si>
  <si>
    <t>2024-02-15 · 2024-03-04</t>
  </si>
  <si>
    <t>2024-03-20 · 2024-04-02</t>
  </si>
  <si>
    <t>2024-04-16 · 2024-05-02</t>
  </si>
  <si>
    <t>2024-05-15 · 2024-06-02 · 2024-06-04</t>
  </si>
  <si>
    <t>2024-06-20 · 2024-07-03</t>
  </si>
  <si>
    <t>2024-07-19 · 2024-08-02</t>
  </si>
  <si>
    <t>2024-08-15 · 2024-09-04</t>
  </si>
  <si>
    <t>2024-09-19 · 2024-10-02</t>
  </si>
  <si>
    <t>2024-10-16 · 2024-11-02</t>
  </si>
  <si>
    <t>2024-11-20 · 2024-12-03</t>
  </si>
  <si>
    <t>2024-12-20 · 2025-01-03</t>
  </si>
  <si>
    <t>2025-01-17 · 2025-02-04</t>
  </si>
  <si>
    <t>2025-02-20 · 2025-03-04</t>
  </si>
  <si>
    <t>2025-03-20 · 2025-04-02</t>
  </si>
  <si>
    <t>2025-04-16 · 2025-04-30 · 2025-05-02 · 2025-05-14</t>
  </si>
  <si>
    <t>2025-06-16 · 2025-06-18 · 2025-07-02</t>
  </si>
  <si>
    <t>2025-07-17 · 2025-08-04</t>
  </si>
  <si>
    <t>2025-08-20 · 2025-09-03</t>
  </si>
  <si>
    <t>2025-09-17 · 2025-10-03</t>
  </si>
  <si>
    <t>2025-10-15 · 2025-10-31 · 2025-11-03 · 2025-11-05</t>
  </si>
  <si>
    <t>2025-11-18 · 2025-11-21 · 2025-12-01 · 2025-12-02</t>
  </si>
  <si>
    <t>2025-12-17 · 2025-12-19 · 2025-12-20 · 2025-12-26 · 2026-01-02 · 2026-01-03 · 2026-01-10 · 2026-01-14</t>
  </si>
  <si>
    <t>2026-01-15 · 2026-01-16 · 2026-01-19 · 2026-01-26 · 2026-01-29 · 2026-01-31 · 2026-02-02 · 2026-02-03 · 2026-02-06 · 2026-02-12</t>
  </si>
  <si>
    <t>2026-02-19 · 2026-02-20 · 2026-02-24 · 2026-03-02 · 2026-03-04 · 2026-03-09</t>
  </si>
  <si>
    <t>Shadow Mountain MHC</t>
  </si>
  <si>
    <t>7516437669</t>
  </si>
  <si>
    <t>3988688326</t>
  </si>
  <si>
    <t>7979378457</t>
  </si>
  <si>
    <t>1198795800</t>
  </si>
  <si>
    <t>2024-01-17 · 2024-02-01</t>
  </si>
  <si>
    <t>2024-02-16 · 2024-02-21 · 2024-03-02</t>
  </si>
  <si>
    <t>2024-03-19 · 2024-03-20 · 2024-04-02</t>
  </si>
  <si>
    <t>2024-04-17 · 2024-05-01</t>
  </si>
  <si>
    <t>2024-05-15 · 2024-05-17 · 2024-06-01</t>
  </si>
  <si>
    <t>2024-06-18 · 2024-06-19 · 2024-07-02</t>
  </si>
  <si>
    <t>2024-07-17 · 2024-07-18 · 2024-08-01</t>
  </si>
  <si>
    <t>2024-08-16 · 2024-08-21 · 2024-09-04</t>
  </si>
  <si>
    <t>2024-09-17 · 2024-09-18 · 2024-10-02</t>
  </si>
  <si>
    <t>2024-10-16 · 2024-11-01 · 2024-11-13</t>
  </si>
  <si>
    <t>2024-11-20 · 2024-12-03 · 2024-12-13</t>
  </si>
  <si>
    <t>2024-12-18 · 2025-01-03 · 2025-01-14</t>
  </si>
  <si>
    <t>2025-01-15 · 2025-02-01 · 2025-02-13</t>
  </si>
  <si>
    <t>2025-02-19 · 2025-03-01</t>
  </si>
  <si>
    <t>2025-03-17 · 2025-03-19 · 2025-04-01</t>
  </si>
  <si>
    <t>2025-04-16 · 2025-05-01</t>
  </si>
  <si>
    <t>2025-05-16 · 2025-05-21 · 2025-06-03</t>
  </si>
  <si>
    <t>2025-06-17 · 2025-06-18 · 2025-07-02</t>
  </si>
  <si>
    <t>2025-07-16 · 2025-07-17 · 2025-08-01</t>
  </si>
  <si>
    <t>2025-08-18 · 2025-08-20 · 2025-09-03</t>
  </si>
  <si>
    <t>2025-09-17 · 2025-10-01</t>
  </si>
  <si>
    <t>2025-10-15 · 2025-10-17 · 2025-11-01</t>
  </si>
  <si>
    <t>2025-11-17 · 2025-11-19 · 2025-12-02</t>
  </si>
  <si>
    <t>2025-12-17 · 2026-01-03</t>
  </si>
  <si>
    <t>2026-01-20 · 2026-01-21 · 2026-02-03</t>
  </si>
  <si>
    <t>Springhaven</t>
  </si>
  <si>
    <t>1012285177565</t>
  </si>
  <si>
    <t>480327009</t>
  </si>
  <si>
    <t>2024-01-25 · 2024-02-02</t>
  </si>
  <si>
    <t>2024-02-26 · 2024-03-02</t>
  </si>
  <si>
    <t>2024-03-25 · 2024-04-02</t>
  </si>
  <si>
    <t>2024-04-24 · 2024-05-02</t>
  </si>
  <si>
    <t>2024-05-22 · 2024-06-02</t>
  </si>
  <si>
    <t>2024-06-24 · 2024-07-02</t>
  </si>
  <si>
    <t>2024-07-23 · 2024-08-02</t>
  </si>
  <si>
    <t>2024-08-21 · 2024-09-02</t>
  </si>
  <si>
    <t>2024-09-20 · 2024-10-02</t>
  </si>
  <si>
    <t>2024-10-21 · 2024-11-02</t>
  </si>
  <si>
    <t>2024-11-20 · 2024-12-02</t>
  </si>
  <si>
    <t>2024-12-20 · 2025-01-02</t>
  </si>
  <si>
    <t>2025-01-22 · 2025-02-02</t>
  </si>
  <si>
    <t>2025-02-24 · 2025-03-02</t>
  </si>
  <si>
    <t>2025-03-25 · 2025-04-02</t>
  </si>
  <si>
    <t>2025-04-23 · 2025-05-02</t>
  </si>
  <si>
    <t>2025-05-22 · 2025-05-23 · 2025-06-02</t>
  </si>
  <si>
    <t>2025-06-23 · 2025-06-24 · 2025-07-02</t>
  </si>
  <si>
    <t>2025-07-24 · 2025-08-02</t>
  </si>
  <si>
    <t>2025-08-22 · 2025-08-25 · 2025-09-02</t>
  </si>
  <si>
    <t>2025-09-23 · 2025-10-02</t>
  </si>
  <si>
    <t>2025-10-21 · 2025-11-02</t>
  </si>
  <si>
    <t>2025-11-20 · 2025-11-21 · 2025-12-02</t>
  </si>
  <si>
    <t>2025-12-20 · 2025-12-22 · 2025-12-26 · 2026-01-02</t>
  </si>
  <si>
    <t>2026-01-22 · 2026-01-23 · 2026-02-02</t>
  </si>
  <si>
    <t>2026-02-23 · 2026-02-25 · 2026-03-02</t>
  </si>
  <si>
    <t>Star Valley Ranch</t>
  </si>
  <si>
    <t>122158008</t>
  </si>
  <si>
    <t>152439005</t>
  </si>
  <si>
    <t>353427007</t>
  </si>
  <si>
    <t>401727003</t>
  </si>
  <si>
    <t>407959007</t>
  </si>
  <si>
    <t>453427007</t>
  </si>
  <si>
    <t>506677009</t>
  </si>
  <si>
    <t>545967005</t>
  </si>
  <si>
    <t>687398007</t>
  </si>
  <si>
    <t>851128007</t>
  </si>
  <si>
    <t>88288007</t>
  </si>
  <si>
    <t>934427008</t>
  </si>
  <si>
    <t>974959008</t>
  </si>
  <si>
    <t>976759002</t>
  </si>
  <si>
    <t>2152200201</t>
  </si>
  <si>
    <t>2024-01-02 · 2024-01-04 · 2024-01-08</t>
  </si>
  <si>
    <t>2024-02-02 · 2024-02-04 · 2024-02-06</t>
  </si>
  <si>
    <t>2024-03-02 · 2024-03-04 · 2024-03-06 · 2024-03-07</t>
  </si>
  <si>
    <t>2024-04-02 · 2024-04-03 · 2024-04-04</t>
  </si>
  <si>
    <t>2024-05-02 · 2024-05-03 · 2024-05-04</t>
  </si>
  <si>
    <t>2024-06-02 · 2024-06-04 · 2024-06-05</t>
  </si>
  <si>
    <t>2024-07-02 · 2024-07-03 · 2024-07-04</t>
  </si>
  <si>
    <t>2024-08-02 · 2024-08-04 · 2024-08-05</t>
  </si>
  <si>
    <t>2024-09-02 · 2024-09-04 · 2024-09-05</t>
  </si>
  <si>
    <t>2024-10-02 · 2024-10-03 · 2024-10-04</t>
  </si>
  <si>
    <t>2024-11-02 · 2024-11-04 · 2024-11-05</t>
  </si>
  <si>
    <t>2024-11-27 · 2024-11-28 · 2024-12-02 · 2024-12-03 · 2024-12-04 · 2024-12-06</t>
  </si>
  <si>
    <t>2024-12-31 · 2025-01-02 · 2025-01-03 · 2025-01-04 · 2025-01-08</t>
  </si>
  <si>
    <t>2025-02-02 · 2025-02-03 · 2025-02-04 · 2025-02-06 · 2025-02-13</t>
  </si>
  <si>
    <t>2025-03-02 · 2025-03-03 · 2025-03-04 · 2025-03-10</t>
  </si>
  <si>
    <t>2025-04-02 · 2025-04-04 · 2025-04-07</t>
  </si>
  <si>
    <t>2025-05-02 · 2025-05-04 · 2025-05-06</t>
  </si>
  <si>
    <t>2025-06-02 · 2025-06-04 · 2025-06-05</t>
  </si>
  <si>
    <t>2025-07-02 · 2025-07-04 · 2025-07-07</t>
  </si>
  <si>
    <t>2025-08-02 · 2025-08-04 · 2025-08-05</t>
  </si>
  <si>
    <t>2025-09-02 · 2025-09-04</t>
  </si>
  <si>
    <t>2025-10-02 · 2025-10-04 · 2025-10-06</t>
  </si>
  <si>
    <t>2025-11-02 · 2025-11-04 · 2025-11-05</t>
  </si>
  <si>
    <t>2025-12-02 · 2025-12-04 · 2025-12-08</t>
  </si>
  <si>
    <t>2025-12-31 · 2026-01-02 · 2026-01-04 · 2026-01-07</t>
  </si>
  <si>
    <t>2026-02-02 · 2026-02-04 · 2026-02-05</t>
  </si>
  <si>
    <t>2026-03-02 · 2026-03-04 · 2026-03-10</t>
  </si>
  <si>
    <t>Sunhaven</t>
  </si>
  <si>
    <t>910001950496</t>
  </si>
  <si>
    <t>910002363262</t>
  </si>
  <si>
    <t>137667004</t>
  </si>
  <si>
    <t>337667004</t>
  </si>
  <si>
    <t>37667004</t>
  </si>
  <si>
    <t>458127008</t>
  </si>
  <si>
    <t>735427003</t>
  </si>
  <si>
    <t>835427003</t>
  </si>
  <si>
    <t>858127008</t>
  </si>
  <si>
    <t>935427003</t>
  </si>
  <si>
    <t>2119595004</t>
  </si>
  <si>
    <t>2024-01-02 · 2024-01-10</t>
  </si>
  <si>
    <t>2024-01-26 · 2024-02-02 · 2024-02-08</t>
  </si>
  <si>
    <t>2024-02-27 · 2024-03-02 · 2024-03-08</t>
  </si>
  <si>
    <t>2024-03-27 · 2024-04-02 · 2024-04-05</t>
  </si>
  <si>
    <t>2024-04-25 · 2024-05-02 · 2024-05-07</t>
  </si>
  <si>
    <t>2024-05-24 · 2024-06-02 · 2024-06-07</t>
  </si>
  <si>
    <t>2024-06-25 · 2024-07-02 · 2024-07-09</t>
  </si>
  <si>
    <t>2024-07-24 · 2024-08-02 · 2024-08-07</t>
  </si>
  <si>
    <t>2024-08-23 · 2024-09-02 · 2024-09-09</t>
  </si>
  <si>
    <t>2024-09-24 · 2024-10-02 · 2024-10-07</t>
  </si>
  <si>
    <t>2024-10-23 · 2024-11-02 · 2024-11-07</t>
  </si>
  <si>
    <t>2024-11-21 · 2024-12-02 · 2024-12-10</t>
  </si>
  <si>
    <t>2024-12-26 · 2025-01-02 · 2025-01-10</t>
  </si>
  <si>
    <t>2025-01-27 · 2025-02-02 · 2025-02-10</t>
  </si>
  <si>
    <t>2025-02-26 · 2025-03-02 · 2025-03-11</t>
  </si>
  <si>
    <t>2025-03-27 · 2025-04-02 · 2025-04-08</t>
  </si>
  <si>
    <t>2025-04-24 · 2025-05-02 · 2025-05-07</t>
  </si>
  <si>
    <t>2025-05-27 · 2025-06-02 · 2025-06-06</t>
  </si>
  <si>
    <t>2025-06-25 · 2025-07-02 · 2025-07-08</t>
  </si>
  <si>
    <t>2025-07-25 · 2025-08-02 · 2025-08-06</t>
  </si>
  <si>
    <t>2025-08-25 · 2025-09-02 · 2025-09-08</t>
  </si>
  <si>
    <t>2025-09-24 · 2025-10-02 · 2025-10-03 · 2025-10-07</t>
  </si>
  <si>
    <t>2025-10-23 · 2025-11-02 · 2025-11-06</t>
  </si>
  <si>
    <t>2025-11-24 · 2025-12-02 · 2025-12-09</t>
  </si>
  <si>
    <t>2025-12-24 · 2026-01-02 · 2026-01-08</t>
  </si>
  <si>
    <t>2026-01-27 · 2026-02-02 · 2026-02-09</t>
  </si>
  <si>
    <t>2026-02-26 · 2026-03-02 · 2026-03-11</t>
  </si>
  <si>
    <t>Sunny Grove</t>
  </si>
  <si>
    <t>4270008</t>
  </si>
  <si>
    <t>4270249</t>
  </si>
  <si>
    <t>910087118232</t>
  </si>
  <si>
    <t>910087118422</t>
  </si>
  <si>
    <t>910087118753</t>
  </si>
  <si>
    <t>910186879709</t>
  </si>
  <si>
    <t>910196255196</t>
  </si>
  <si>
    <t>4270250</t>
  </si>
  <si>
    <t>2023-12-29</t>
  </si>
  <si>
    <t>2024-01-19 · 2024-01-30</t>
  </si>
  <si>
    <t>2024-02-20 · 2024-02-28</t>
  </si>
  <si>
    <t>2024-03-20 · 2024-03-28</t>
  </si>
  <si>
    <t>2024-04-18 · 2024-04-29</t>
  </si>
  <si>
    <t>2024-05-20 · 2024-05-30</t>
  </si>
  <si>
    <t>2024-06-20 · 2024-06-27</t>
  </si>
  <si>
    <t>2024-07-22 · 2024-07-30</t>
  </si>
  <si>
    <t>2024-08-20 · 2024-08-29</t>
  </si>
  <si>
    <t>2024-09-19 · 2024-09-27</t>
  </si>
  <si>
    <t>2024-10-21 · 2024-10-30</t>
  </si>
  <si>
    <t>2024-11-18 · 2024-11-19 · 2024-11-27</t>
  </si>
  <si>
    <t>2024-12-18 · 2024-12-30</t>
  </si>
  <si>
    <t>2025-01-17 · 2025-01-30</t>
  </si>
  <si>
    <t>2025-02-19 · 2025-02-28</t>
  </si>
  <si>
    <t>2025-03-20 · 2025-03-28</t>
  </si>
  <si>
    <t>2025-04-18 · 2025-04-29</t>
  </si>
  <si>
    <t>2025-05-19 · 2025-05-29</t>
  </si>
  <si>
    <t>2025-06-18 · 2025-06-27</t>
  </si>
  <si>
    <t>2025-07-21 · 2025-07-30</t>
  </si>
  <si>
    <t>2025-08-20 · 2025-08-28</t>
  </si>
  <si>
    <t>2025-09-18 · 2025-09-29</t>
  </si>
  <si>
    <t>2025-10-21 · 2025-10-30</t>
  </si>
  <si>
    <t>2025-11-18 · 2025-11-26</t>
  </si>
  <si>
    <t>2025-12-17 · 2025-12-30</t>
  </si>
  <si>
    <t>2026-01-20 · 2026-01-29</t>
  </si>
  <si>
    <t>2026-02-19 · 2026-02-26</t>
  </si>
  <si>
    <t>2026-03-19</t>
  </si>
  <si>
    <t>Tarponaire</t>
  </si>
  <si>
    <t>910088252447</t>
  </si>
  <si>
    <t>910088252588</t>
  </si>
  <si>
    <t>910088252778</t>
  </si>
  <si>
    <t>910088253018</t>
  </si>
  <si>
    <t>910088253191</t>
  </si>
  <si>
    <t>910088253381</t>
  </si>
  <si>
    <t>910088253547</t>
  </si>
  <si>
    <t>910088253670</t>
  </si>
  <si>
    <t>910088253844</t>
  </si>
  <si>
    <t>910088254027</t>
  </si>
  <si>
    <t>910179602171</t>
  </si>
  <si>
    <t>100131639643</t>
  </si>
  <si>
    <t>100131639744</t>
  </si>
  <si>
    <t>2025-01-17 · 2025-01-23</t>
  </si>
  <si>
    <t>2025-02-18 · 2025-02-24 · 2025-02-25</t>
  </si>
  <si>
    <t>2025-03-18 · 2025-03-24</t>
  </si>
  <si>
    <t>2025-04-16 · 2025-04-23 · 2025-04-25</t>
  </si>
  <si>
    <t>2025-05-16 · 2025-05-22</t>
  </si>
  <si>
    <t>2025-06-17 · 2025-06-23 · 2025-06-26</t>
  </si>
  <si>
    <t>2025-07-17 · 2025-07-24</t>
  </si>
  <si>
    <t>2025-08-18 · 2025-08-22 · 2025-08-25</t>
  </si>
  <si>
    <t>2025-09-17 · 2025-09-23</t>
  </si>
  <si>
    <t>2025-10-17 · 2025-10-24 · 2025-10-27</t>
  </si>
  <si>
    <t>2025-11-17 · 2025-11-21</t>
  </si>
  <si>
    <t>2025-12-16 · 2025-12-22 · 2025-12-29</t>
  </si>
  <si>
    <t>2026-01-17 · 2026-01-23</t>
  </si>
  <si>
    <t>2026-02-16 · 2026-02-20 · 2026-02-27</t>
  </si>
  <si>
    <t>Val Vista RV Resort</t>
  </si>
  <si>
    <t>44069</t>
  </si>
  <si>
    <t>1130421372</t>
  </si>
  <si>
    <t>1130497540</t>
  </si>
  <si>
    <t>1130535870</t>
  </si>
  <si>
    <t>1130775043</t>
  </si>
  <si>
    <t>1130922602</t>
  </si>
  <si>
    <t>1131178477</t>
  </si>
  <si>
    <t>1131381589</t>
  </si>
  <si>
    <t>1131654587</t>
  </si>
  <si>
    <t>1131676243</t>
  </si>
  <si>
    <t>1131752723</t>
  </si>
  <si>
    <t>1131867415</t>
  </si>
  <si>
    <t>1132023423</t>
  </si>
  <si>
    <t>1132120497</t>
  </si>
  <si>
    <t>1132355379</t>
  </si>
  <si>
    <t>1133358621</t>
  </si>
  <si>
    <t>1133363084</t>
  </si>
  <si>
    <t>1133528142</t>
  </si>
  <si>
    <t>1134257263</t>
  </si>
  <si>
    <t>1134441451</t>
  </si>
  <si>
    <t>1134462399</t>
  </si>
  <si>
    <t>1134532375</t>
  </si>
  <si>
    <t>1134636381</t>
  </si>
  <si>
    <t>1134777773</t>
  </si>
  <si>
    <t>1135372596</t>
  </si>
  <si>
    <t>1135578324</t>
  </si>
  <si>
    <t>1135588573</t>
  </si>
  <si>
    <t>1135602158</t>
  </si>
  <si>
    <t>1135937612</t>
  </si>
  <si>
    <t>1136015311</t>
  </si>
  <si>
    <t>1136799290</t>
  </si>
  <si>
    <t>1137371696</t>
  </si>
  <si>
    <t>1137607944</t>
  </si>
  <si>
    <t>1138099937</t>
  </si>
  <si>
    <t>1138150929</t>
  </si>
  <si>
    <t>1138284833</t>
  </si>
  <si>
    <t>1139226005</t>
  </si>
  <si>
    <t>1139563613</t>
  </si>
  <si>
    <t>1139606257</t>
  </si>
  <si>
    <t>1139613174</t>
  </si>
  <si>
    <t>1139860879</t>
  </si>
  <si>
    <t>1139889468</t>
  </si>
  <si>
    <t>4151568005</t>
  </si>
  <si>
    <t>2025-01-02 · 2025-01-03 · 2025-01-04 · 2025-01-06 · 2025-01-09 · 2025-01-10</t>
  </si>
  <si>
    <t>2025-01-16 · 2025-01-23 · 2025-02-03 · 2025-02-06 · 2025-02-07 · 2025-02-10 · 2025-02-11 · 2025-02-13</t>
  </si>
  <si>
    <t>2025-02-20 · 2025-03-03 · 2025-03-11</t>
  </si>
  <si>
    <t>2025-04-02 · 2025-04-09</t>
  </si>
  <si>
    <t>2025-05-02 · 2025-05-09</t>
  </si>
  <si>
    <t>2025-06-04 · 2025-06-09</t>
  </si>
  <si>
    <t>2025-07-03 · 2025-07-09</t>
  </si>
  <si>
    <t>2025-08-04 · 2025-08-11</t>
  </si>
  <si>
    <t>2025-09-04 · 2025-09-10</t>
  </si>
  <si>
    <t>2025-10-02 · 2025-10-09</t>
  </si>
  <si>
    <t>2025-11-03 · 2025-11-06</t>
  </si>
  <si>
    <t>2025-12-03 · 2025-12-09</t>
  </si>
  <si>
    <t>2026-01-05 · 2026-01-12</t>
  </si>
  <si>
    <t>2026-02-04 · 2026-02-09</t>
  </si>
  <si>
    <t>2026-03-04 · 2026-03-11</t>
  </si>
  <si>
    <t>Webster RV Resort LLC</t>
  </si>
  <si>
    <t>1159200999</t>
  </si>
  <si>
    <t>1159201004</t>
  </si>
  <si>
    <t>1159201012</t>
  </si>
  <si>
    <t>1159201054</t>
  </si>
  <si>
    <t>6010002303</t>
  </si>
  <si>
    <t>6783910014</t>
  </si>
  <si>
    <t>6784070014</t>
  </si>
  <si>
    <t>6784200014</t>
  </si>
  <si>
    <t>6784310014</t>
  </si>
  <si>
    <t>6784390013</t>
  </si>
  <si>
    <t>6784408513</t>
  </si>
  <si>
    <t>6784470013</t>
  </si>
  <si>
    <t>6784593013</t>
  </si>
  <si>
    <t>6784744513</t>
  </si>
  <si>
    <t>6784805013</t>
  </si>
  <si>
    <t>6784807013</t>
  </si>
  <si>
    <t>6784817013</t>
  </si>
  <si>
    <t>6784818013</t>
  </si>
  <si>
    <t>6784820013</t>
  </si>
  <si>
    <t>6784827013</t>
  </si>
  <si>
    <t>6784832013</t>
  </si>
  <si>
    <t>6784837013</t>
  </si>
  <si>
    <t>6784842013</t>
  </si>
  <si>
    <t>6784848013</t>
  </si>
  <si>
    <t>9603618802</t>
  </si>
  <si>
    <t>9605354201</t>
  </si>
  <si>
    <t>9605901201</t>
  </si>
  <si>
    <t>9605901301</t>
  </si>
  <si>
    <t>9610156501</t>
  </si>
  <si>
    <t>9611718701</t>
  </si>
  <si>
    <t>2025-01-08</t>
  </si>
  <si>
    <t>2025-01-15 · 2025-01-16 · 2025-01-23 · 2025-02-12</t>
  </si>
  <si>
    <t>2025-02-24 · 2025-02-26</t>
  </si>
  <si>
    <t>2025-04-16 · 2025-04-23 · 2025-04-30 · 2025-05-07</t>
  </si>
  <si>
    <t>2025-05-22</t>
  </si>
  <si>
    <t>2025-06-18 · 2025-06-23</t>
  </si>
  <si>
    <t>2025-07-23</t>
  </si>
  <si>
    <t>2025-08-22 · 2025-09-03</t>
  </si>
  <si>
    <t>2025-09-23</t>
  </si>
  <si>
    <t>2025-10-22 · 2025-11-12</t>
  </si>
  <si>
    <t>2025-11-19 · 2025-11-20 · 2025-11-21 · 2025-11-25</t>
  </si>
  <si>
    <t>2025-12-18 · 2025-12-20 · 2025-12-21 · 2025-12-26 · 2025-12-27 · 2026-01-07</t>
  </si>
  <si>
    <t>2026-01-23 · 2026-01-28 · 2026-02-09</t>
  </si>
  <si>
    <t>2026-02-18 · 2026-02-23 · 2026-02-25</t>
  </si>
  <si>
    <t>Wekiva Falls RV Resort</t>
  </si>
  <si>
    <t>4453</t>
  </si>
  <si>
    <t>910088892295</t>
  </si>
  <si>
    <t>910088892451</t>
  </si>
  <si>
    <t>910088892592</t>
  </si>
  <si>
    <t>910088892766</t>
  </si>
  <si>
    <t>910088892922</t>
  </si>
  <si>
    <t>910088893105</t>
  </si>
  <si>
    <t>910088893288</t>
  </si>
  <si>
    <t>910088893478</t>
  </si>
  <si>
    <t>910088893626</t>
  </si>
  <si>
    <t>910088893824</t>
  </si>
  <si>
    <t>910088893999</t>
  </si>
  <si>
    <t>910088894388</t>
  </si>
  <si>
    <t>910088894594</t>
  </si>
  <si>
    <t>910088894776</t>
  </si>
  <si>
    <t>910088894958</t>
  </si>
  <si>
    <t>910088915120</t>
  </si>
  <si>
    <t>910088915295</t>
  </si>
  <si>
    <t>910088915469</t>
  </si>
  <si>
    <t>910088915659</t>
  </si>
  <si>
    <t>910088915831</t>
  </si>
  <si>
    <t>910088915998</t>
  </si>
  <si>
    <t>910088916189</t>
  </si>
  <si>
    <t>910088916353</t>
  </si>
  <si>
    <t>910088916501</t>
  </si>
  <si>
    <t>910088916684</t>
  </si>
  <si>
    <t>910088916874</t>
  </si>
  <si>
    <t>910088917057</t>
  </si>
  <si>
    <t>910088917221</t>
  </si>
  <si>
    <t>910088917411</t>
  </si>
  <si>
    <t>910088917594</t>
  </si>
  <si>
    <t>910088917768</t>
  </si>
  <si>
    <t>910088917932</t>
  </si>
  <si>
    <t>910088918115</t>
  </si>
  <si>
    <t>910088918280</t>
  </si>
  <si>
    <t>910088918454</t>
  </si>
  <si>
    <t>910088918644</t>
  </si>
  <si>
    <t>910088918826</t>
  </si>
  <si>
    <t>910088939079</t>
  </si>
  <si>
    <t>910088939269</t>
  </si>
  <si>
    <t>910088939441</t>
  </si>
  <si>
    <t>910088939615</t>
  </si>
  <si>
    <t>910088939798</t>
  </si>
  <si>
    <t>910088940014</t>
  </si>
  <si>
    <t>910088940189</t>
  </si>
  <si>
    <t>910088940379</t>
  </si>
  <si>
    <t>910088940551</t>
  </si>
  <si>
    <t>910088940767</t>
  </si>
  <si>
    <t>910088941114</t>
  </si>
  <si>
    <t>910164234239</t>
  </si>
  <si>
    <t>910164923485</t>
  </si>
  <si>
    <t>910164953910</t>
  </si>
  <si>
    <t>910165014324</t>
  </si>
  <si>
    <t>910165015424</t>
  </si>
  <si>
    <t>2024-10-11</t>
  </si>
  <si>
    <t>2025-01-01 · 2025-01-06 · 2025-01-07 · 2025-01-09 · 2025-01-14</t>
  </si>
  <si>
    <t>2025-01-19 · 2025-01-28 · 2025-01-31 · 2025-02-10 · 2025-02-11 · 2025-02-13</t>
  </si>
  <si>
    <t>2025-02-20 · 2025-02-21 · 2025-02-25 · 2025-03-06 · 2025-03-10 · 2025-03-11 · 2025-03-13</t>
  </si>
  <si>
    <t>2025-03-17 · 2025-03-26 · 2025-04-08 · 2025-04-11</t>
  </si>
  <si>
    <t>2025-04-15 · 2025-04-16 · 2025-04-25 · 2025-04-27 · 2025-05-04 · 2025-05-08 · 2025-05-12 · 2025-05-13</t>
  </si>
  <si>
    <t>2025-05-20 · 2025-05-22 · 2025-05-28 · 2025-06-02 · 2025-06-03 · 2025-06-09 · 2025-06-12</t>
  </si>
  <si>
    <t>2025-07-09 · 2025-07-14</t>
  </si>
  <si>
    <t>2025-08-08 · 2025-08-13</t>
  </si>
  <si>
    <t>2025-09-09 · 2025-09-12</t>
  </si>
  <si>
    <t>2025-10-09 · 2025-10-14</t>
  </si>
  <si>
    <t>2025-11-08 · 2025-11-12</t>
  </si>
  <si>
    <t>2025-12-08 · 2025-12-11</t>
  </si>
  <si>
    <t>2026-01-09 · 2026-01-14</t>
  </si>
  <si>
    <t>2026-02-07 · 2026-02-11</t>
  </si>
  <si>
    <t>2026-03-09 · 2026-03-12</t>
  </si>
  <si>
    <t>West Jupiter RV Resort</t>
  </si>
  <si>
    <t>1505754125</t>
  </si>
  <si>
    <t>1657418347</t>
  </si>
  <si>
    <t>2018234126</t>
  </si>
  <si>
    <t>2037674120</t>
  </si>
  <si>
    <t>3565194127</t>
  </si>
  <si>
    <t>3657084202</t>
  </si>
  <si>
    <t>4308114208</t>
  </si>
  <si>
    <t>5988754205</t>
  </si>
  <si>
    <t>6899794207</t>
  </si>
  <si>
    <t>8781269348</t>
  </si>
  <si>
    <t>9202415205</t>
  </si>
  <si>
    <t>2025-01-28</t>
  </si>
  <si>
    <t>2025-02-26</t>
  </si>
  <si>
    <t>2025-03-27</t>
  </si>
  <si>
    <t>2025-04-28</t>
  </si>
  <si>
    <t>2025-05-28</t>
  </si>
  <si>
    <t>2025-06-26</t>
  </si>
  <si>
    <t>2025-07-28</t>
  </si>
  <si>
    <t>2025-08-27</t>
  </si>
  <si>
    <t>2025-09-26</t>
  </si>
  <si>
    <t>2025-10-28</t>
  </si>
  <si>
    <t>2025-11-25</t>
  </si>
  <si>
    <t>2025-12-26</t>
  </si>
  <si>
    <t>2026-01-27</t>
  </si>
  <si>
    <t>2026-02-26</t>
  </si>
  <si>
    <t>Western Way RV Resort LLC</t>
  </si>
  <si>
    <t>910001558452</t>
  </si>
  <si>
    <t>910001612780</t>
  </si>
  <si>
    <t>3840142730</t>
  </si>
  <si>
    <t>3840226190</t>
  </si>
  <si>
    <t>3840318980</t>
  </si>
  <si>
    <t>3840596667</t>
  </si>
  <si>
    <t>3840757709</t>
  </si>
  <si>
    <t>3840931772</t>
  </si>
  <si>
    <t>3841095803</t>
  </si>
  <si>
    <t>3841180312</t>
  </si>
  <si>
    <t>3841666279</t>
  </si>
  <si>
    <t>3841678275</t>
  </si>
  <si>
    <t>3841804369</t>
  </si>
  <si>
    <t>3842007042</t>
  </si>
  <si>
    <t>3842656345</t>
  </si>
  <si>
    <t>3842661599</t>
  </si>
  <si>
    <t>3842777105</t>
  </si>
  <si>
    <t>3842797910</t>
  </si>
  <si>
    <t>3842862785</t>
  </si>
  <si>
    <t>3843054814</t>
  </si>
  <si>
    <t>3843056112</t>
  </si>
  <si>
    <t>3843062542</t>
  </si>
  <si>
    <t>3843067467</t>
  </si>
  <si>
    <t>3843072028</t>
  </si>
  <si>
    <t>3843208105</t>
  </si>
  <si>
    <t>3843214980</t>
  </si>
  <si>
    <t>3843357784</t>
  </si>
  <si>
    <t>3843371738</t>
  </si>
  <si>
    <t>3843458808</t>
  </si>
  <si>
    <t>3843601572</t>
  </si>
  <si>
    <t>3843602548</t>
  </si>
  <si>
    <t>3843644993</t>
  </si>
  <si>
    <t>3843903493</t>
  </si>
  <si>
    <t>3844064716</t>
  </si>
  <si>
    <t>3844102699</t>
  </si>
  <si>
    <t>3844132489</t>
  </si>
  <si>
    <t>3844156675</t>
  </si>
  <si>
    <t>3844178620</t>
  </si>
  <si>
    <t>3844293247</t>
  </si>
  <si>
    <t>3844337781</t>
  </si>
  <si>
    <t>3844341504</t>
  </si>
  <si>
    <t>3844583978</t>
  </si>
  <si>
    <t>3844750891</t>
  </si>
  <si>
    <t>3844825742</t>
  </si>
  <si>
    <t>3844876838</t>
  </si>
  <si>
    <t>3844954762</t>
  </si>
  <si>
    <t>3845010037</t>
  </si>
  <si>
    <t>3845014083</t>
  </si>
  <si>
    <t>3845107625</t>
  </si>
  <si>
    <t>3845354584</t>
  </si>
  <si>
    <t>3845457843</t>
  </si>
  <si>
    <t>3845484219</t>
  </si>
  <si>
    <t>3845492263</t>
  </si>
  <si>
    <t>3845528430</t>
  </si>
  <si>
    <t>3845667715</t>
  </si>
  <si>
    <t>3845681136</t>
  </si>
  <si>
    <t>3845774864</t>
  </si>
  <si>
    <t>3846058366</t>
  </si>
  <si>
    <t>3846074561</t>
  </si>
  <si>
    <t>3846088062</t>
  </si>
  <si>
    <t>3846295185</t>
  </si>
  <si>
    <t>3846355590</t>
  </si>
  <si>
    <t>3846449254</t>
  </si>
  <si>
    <t>3846625888</t>
  </si>
  <si>
    <t>3846629573</t>
  </si>
  <si>
    <t>3846685891</t>
  </si>
  <si>
    <t>3846691307</t>
  </si>
  <si>
    <t>3846696299</t>
  </si>
  <si>
    <t>3846798013</t>
  </si>
  <si>
    <t>3846867815</t>
  </si>
  <si>
    <t>3846995127</t>
  </si>
  <si>
    <t>3847008800</t>
  </si>
  <si>
    <t>3847148891</t>
  </si>
  <si>
    <t>3847408145</t>
  </si>
  <si>
    <t>3847587588</t>
  </si>
  <si>
    <t>3847612634</t>
  </si>
  <si>
    <t>3847823192</t>
  </si>
  <si>
    <t>3847961747</t>
  </si>
  <si>
    <t>3848013862</t>
  </si>
  <si>
    <t>3848179877</t>
  </si>
  <si>
    <t>3848407387</t>
  </si>
  <si>
    <t>3848501603</t>
  </si>
  <si>
    <t>3848651604</t>
  </si>
  <si>
    <t>3848798564</t>
  </si>
  <si>
    <t>3848877952</t>
  </si>
  <si>
    <t>3849125610</t>
  </si>
  <si>
    <t>3849155054</t>
  </si>
  <si>
    <t>3849180297</t>
  </si>
  <si>
    <t>3849300923</t>
  </si>
  <si>
    <t>3849675638</t>
  </si>
  <si>
    <t>3849697975</t>
  </si>
  <si>
    <t>3849873454</t>
  </si>
  <si>
    <t>8901273345</t>
  </si>
  <si>
    <t>8901736020</t>
  </si>
  <si>
    <t>8905246438</t>
  </si>
  <si>
    <t>8905923804</t>
  </si>
  <si>
    <t>8908450618</t>
  </si>
  <si>
    <t>8908492892</t>
  </si>
  <si>
    <t>8909929657</t>
  </si>
  <si>
    <t>1497097316690</t>
  </si>
  <si>
    <t>1497097316692</t>
  </si>
  <si>
    <t>1497097316694</t>
  </si>
  <si>
    <t>1497097316696</t>
  </si>
  <si>
    <t>2025-01-27 · 2025-01-29</t>
  </si>
  <si>
    <t>2025-02-26 · 2025-02-27 · 2025-02-28</t>
  </si>
  <si>
    <t>2025-03-17 · 2025-03-26 · 2025-03-27 · 2025-03-28 · 2025-03-31 · 2025-04-14</t>
  </si>
  <si>
    <t>2025-04-24 · 2025-04-25 · 2025-04-28 · 2025-04-29</t>
  </si>
  <si>
    <t>2025-05-27 · 2025-05-28 · 2025-05-29</t>
  </si>
  <si>
    <t>2025-06-25 · 2025-06-26 · 2025-06-27 · 2025-06-28</t>
  </si>
  <si>
    <t>2025-07-25 · 2025-07-28 · 2025-07-29</t>
  </si>
  <si>
    <t>2025-08-26 · 2025-08-27</t>
  </si>
  <si>
    <t>2025-09-25 · 2025-09-26</t>
  </si>
  <si>
    <t>2025-10-24 · 2025-10-27</t>
  </si>
  <si>
    <t>2025-11-24 · 2025-11-25 · 2025-11-26</t>
  </si>
  <si>
    <t>2025-12-26 · 2025-12-29 · 2025-12-30</t>
  </si>
  <si>
    <t>2026-01-26 · 2026-01-29 · 2026-01-30 · 2026-02-01</t>
  </si>
  <si>
    <t>2026-02-25 · 2026-02-27 · 2026-03-02</t>
  </si>
  <si>
    <t>#</t>
  </si>
  <si>
    <t>amount</t>
  </si>
  <si>
    <t>billing_date</t>
  </si>
  <si>
    <t>utility_type</t>
  </si>
  <si>
    <t>property_name</t>
  </si>
  <si>
    <t>provider_name</t>
  </si>
  <si>
    <t>account_number</t>
  </si>
  <si>
    <t>service_end_date</t>
  </si>
  <si>
    <t>service_start_date</t>
  </si>
  <si>
    <t>total_electricity_bill</t>
  </si>
  <si>
    <t>total_water_bill</t>
  </si>
  <si>
    <t>total_trash_bill</t>
  </si>
  <si>
    <t>total_gas_bill</t>
  </si>
  <si>
    <t>1488.92</t>
  </si>
  <si>
    <t>2026-02-20</t>
  </si>
  <si>
    <t>3462.92</t>
  </si>
  <si>
    <t>7189.02</t>
  </si>
  <si>
    <t>1027.71</t>
  </si>
  <si>
    <t>1478.54</t>
  </si>
  <si>
    <t>2023-12-28</t>
  </si>
  <si>
    <t>2023-11-28</t>
  </si>
  <si>
    <t>3821.16</t>
  </si>
  <si>
    <t>5794.87</t>
  </si>
  <si>
    <t>227.8</t>
  </si>
  <si>
    <t>50.04</t>
  </si>
  <si>
    <t>2026-02-14</t>
  </si>
  <si>
    <t>2480.68</t>
  </si>
  <si>
    <t>303.37</t>
  </si>
  <si>
    <t>2023-12-03</t>
  </si>
  <si>
    <t>3036.95</t>
  </si>
  <si>
    <t>68037</t>
  </si>
  <si>
    <t>2023-11-02</t>
  </si>
  <si>
    <t>649.6</t>
  </si>
  <si>
    <t>3351.2</t>
  </si>
  <si>
    <t>50465.68</t>
  </si>
  <si>
    <t>2026-03-03</t>
  </si>
  <si>
    <t>2026-01-06</t>
  </si>
  <si>
    <t>38.86</t>
  </si>
  <si>
    <t>3024</t>
  </si>
  <si>
    <t>82.87</t>
  </si>
  <si>
    <t>2024-01-08</t>
  </si>
  <si>
    <t>2023-12-07</t>
  </si>
  <si>
    <t>760</t>
  </si>
  <si>
    <t>2026-03-31</t>
  </si>
  <si>
    <t>0</t>
  </si>
  <si>
    <t>Conservice LLC</t>
  </si>
  <si>
    <t>cr994</t>
  </si>
  <si>
    <t>2026-03-01</t>
  </si>
  <si>
    <t>149.98</t>
  </si>
  <si>
    <t>87.95</t>
  </si>
  <si>
    <t>2207.48</t>
  </si>
  <si>
    <t>1416.94</t>
  </si>
  <si>
    <t>218.41</t>
  </si>
  <si>
    <t>453.99</t>
  </si>
  <si>
    <t>2024-01-22</t>
  </si>
  <si>
    <t>2023-12-20</t>
  </si>
  <si>
    <t>4809.58</t>
  </si>
  <si>
    <t>103.76</t>
  </si>
  <si>
    <t>27.7</t>
  </si>
  <si>
    <t>3304.19</t>
  </si>
  <si>
    <t>182.5</t>
  </si>
  <si>
    <t>en079</t>
  </si>
  <si>
    <t>41.56</t>
  </si>
  <si>
    <t>6825.15</t>
  </si>
  <si>
    <t>228.14</t>
  </si>
  <si>
    <t>808.29</t>
  </si>
  <si>
    <t>40.66</t>
  </si>
  <si>
    <t>82.68</t>
  </si>
  <si>
    <t>2023-12-01</t>
  </si>
  <si>
    <t>1988.79</t>
  </si>
  <si>
    <t>1197.93</t>
  </si>
  <si>
    <t>50.42</t>
  </si>
  <si>
    <t>46.52</t>
  </si>
  <si>
    <t>2026-02-19</t>
  </si>
  <si>
    <t>163.76</t>
  </si>
  <si>
    <t>1576.48</t>
  </si>
  <si>
    <t>1501.81</t>
  </si>
  <si>
    <t>735</t>
  </si>
  <si>
    <t>fl356</t>
  </si>
  <si>
    <t>68.85</t>
  </si>
  <si>
    <t>39.52</t>
  </si>
  <si>
    <t>35.01</t>
  </si>
  <si>
    <t>2023-11-22</t>
  </si>
  <si>
    <t>1518.73</t>
  </si>
  <si>
    <t>40.87</t>
  </si>
  <si>
    <t>2024-01-12</t>
  </si>
  <si>
    <t>2023-12-13</t>
  </si>
  <si>
    <t>3567.89</t>
  </si>
  <si>
    <t>498.78</t>
  </si>
  <si>
    <t>3724.39</t>
  </si>
  <si>
    <t>205</t>
  </si>
  <si>
    <t>gl317</t>
  </si>
  <si>
    <t>1122.05</t>
  </si>
  <si>
    <t>3981.78</t>
  </si>
  <si>
    <t>646.32</t>
  </si>
  <si>
    <t>2496.1</t>
  </si>
  <si>
    <t>439.31</t>
  </si>
  <si>
    <t>38.17</t>
  </si>
  <si>
    <t>6033.99</t>
  </si>
  <si>
    <t>10347.76</t>
  </si>
  <si>
    <t>2023-12-21</t>
  </si>
  <si>
    <t>298.31</t>
  </si>
  <si>
    <t>1835.08</t>
  </si>
  <si>
    <t>9840.66</t>
  </si>
  <si>
    <t>2024-01-01</t>
  </si>
  <si>
    <t>2023-11-30</t>
  </si>
  <si>
    <t>123.86</t>
  </si>
  <si>
    <t>176.73</t>
  </si>
  <si>
    <t>30.79</t>
  </si>
  <si>
    <t>2023-12-05</t>
  </si>
  <si>
    <t>5264.67</t>
  </si>
  <si>
    <t>35.91</t>
  </si>
  <si>
    <t>2026-02-17</t>
  </si>
  <si>
    <t>127.5</t>
  </si>
  <si>
    <t>ja068</t>
  </si>
  <si>
    <t>72.08</t>
  </si>
  <si>
    <t>773.04</t>
  </si>
  <si>
    <t>705.36</t>
  </si>
  <si>
    <t>2024-01-18</t>
  </si>
  <si>
    <t>2023-12-18</t>
  </si>
  <si>
    <t>1723.23</t>
  </si>
  <si>
    <t>30.75</t>
  </si>
  <si>
    <t>2025-11-27</t>
  </si>
  <si>
    <t>-17752.48</t>
  </si>
  <si>
    <t>2634.48</t>
  </si>
  <si>
    <t>35.53</t>
  </si>
  <si>
    <t>2024-01-15</t>
  </si>
  <si>
    <t>2023-12-14</t>
  </si>
  <si>
    <t>8878.89</t>
  </si>
  <si>
    <t>2118.8</t>
  </si>
  <si>
    <t>23.55</t>
  </si>
  <si>
    <t>297.5</t>
  </si>
  <si>
    <t>la482</t>
  </si>
  <si>
    <t>238.61</t>
  </si>
  <si>
    <t>470</t>
  </si>
  <si>
    <t>la481</t>
  </si>
  <si>
    <t>99.7</t>
  </si>
  <si>
    <t>10172.07</t>
  </si>
  <si>
    <t>34.42</t>
  </si>
  <si>
    <t>2023-12-12</t>
  </si>
  <si>
    <t>75.17</t>
  </si>
  <si>
    <t>33.23</t>
  </si>
  <si>
    <t>2024-01-16</t>
  </si>
  <si>
    <t>40.82</t>
  </si>
  <si>
    <t>5653.44</t>
  </si>
  <si>
    <t>2026-02-02</t>
  </si>
  <si>
    <t>364.93</t>
  </si>
  <si>
    <t>679.68</t>
  </si>
  <si>
    <t>333.12</t>
  </si>
  <si>
    <t>2023-12-02</t>
  </si>
  <si>
    <t>5769.52</t>
  </si>
  <si>
    <t>702.77</t>
  </si>
  <si>
    <t>272.79</t>
  </si>
  <si>
    <t>2023-12-16</t>
  </si>
  <si>
    <t>4097.81</t>
  </si>
  <si>
    <t>90.95</t>
  </si>
  <si>
    <t>130.52</t>
  </si>
  <si>
    <t>6.52</t>
  </si>
  <si>
    <t>23.21</t>
  </si>
  <si>
    <t>272.5</t>
  </si>
  <si>
    <t>mo320</t>
  </si>
  <si>
    <t>60.44</t>
  </si>
  <si>
    <t>6447.73</t>
  </si>
  <si>
    <t>8956.11</t>
  </si>
  <si>
    <t>2023-11-13</t>
  </si>
  <si>
    <t>81.5</t>
  </si>
  <si>
    <t>578.96</t>
  </si>
  <si>
    <t>22.63</t>
  </si>
  <si>
    <t>283.34</t>
  </si>
  <si>
    <t>909.3</t>
  </si>
  <si>
    <t>41.4</t>
  </si>
  <si>
    <t>162.59</t>
  </si>
  <si>
    <t>18.55</t>
  </si>
  <si>
    <t>1058.88</t>
  </si>
  <si>
    <t>3851.26</t>
  </si>
  <si>
    <t>2023-11-21</t>
  </si>
  <si>
    <t>37.28</t>
  </si>
  <si>
    <t>263.75</t>
  </si>
  <si>
    <t>or125</t>
  </si>
  <si>
    <t>405.07</t>
  </si>
  <si>
    <t>2524.31</t>
  </si>
  <si>
    <t>611.4</t>
  </si>
  <si>
    <t>257.03</t>
  </si>
  <si>
    <t>3641.14</t>
  </si>
  <si>
    <t>391.45</t>
  </si>
  <si>
    <t>2026-03-13</t>
  </si>
  <si>
    <t>2026-02-10</t>
  </si>
  <si>
    <t>32.46</t>
  </si>
  <si>
    <t>1805.81</t>
  </si>
  <si>
    <t>68.28</t>
  </si>
  <si>
    <t>3010.31</t>
  </si>
  <si>
    <t>1078.43</t>
  </si>
  <si>
    <t>31.1</t>
  </si>
  <si>
    <t>50</t>
  </si>
  <si>
    <t>35.47</t>
  </si>
  <si>
    <t>1039.24</t>
  </si>
  <si>
    <t>2977.35</t>
  </si>
  <si>
    <t>147.91</t>
  </si>
  <si>
    <t>13.28</t>
  </si>
  <si>
    <t>625.62</t>
  </si>
  <si>
    <t>11.41</t>
  </si>
  <si>
    <t>2023-12-23</t>
  </si>
  <si>
    <t>2023-11-23</t>
  </si>
  <si>
    <t>25.05</t>
  </si>
  <si>
    <t>25.59</t>
  </si>
  <si>
    <t>94.4</t>
  </si>
  <si>
    <t>1282</t>
  </si>
  <si>
    <t>26.72</t>
  </si>
  <si>
    <t>716.82</t>
  </si>
  <si>
    <t>160.57</t>
  </si>
  <si>
    <t>16397.37</t>
  </si>
  <si>
    <t>2994.99</t>
  </si>
  <si>
    <t>856.83</t>
  </si>
  <si>
    <t>2163.34</t>
  </si>
  <si>
    <t>2.1</t>
  </si>
  <si>
    <t>2407.06</t>
  </si>
  <si>
    <t>1512.29</t>
  </si>
  <si>
    <t>3110.36</t>
  </si>
  <si>
    <t>189.25</t>
  </si>
  <si>
    <t>38.09</t>
  </si>
  <si>
    <t>500.88</t>
  </si>
  <si>
    <t>2139.61</t>
  </si>
  <si>
    <t>58.25</t>
  </si>
  <si>
    <t>69.07</t>
  </si>
  <si>
    <t>2025-01-17</t>
  </si>
  <si>
    <t>1355.31</t>
  </si>
  <si>
    <t>929.21</t>
  </si>
  <si>
    <t>2025-01-02</t>
  </si>
  <si>
    <t>2024-12-26</t>
  </si>
  <si>
    <t>451.9</t>
  </si>
  <si>
    <t>3202.81</t>
  </si>
  <si>
    <t>940.2</t>
  </si>
  <si>
    <t>2025-01-23</t>
  </si>
  <si>
    <t>219.69</t>
  </si>
  <si>
    <t>411.7</t>
  </si>
  <si>
    <t>2025-01-06</t>
  </si>
  <si>
    <t>31.39</t>
  </si>
  <si>
    <t>743.35</t>
  </si>
  <si>
    <t>2024-12-27</t>
  </si>
  <si>
    <t>18.61</t>
  </si>
  <si>
    <t>2024-11-25</t>
  </si>
  <si>
    <t>636.41</t>
  </si>
  <si>
    <t>2466.29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</si>
</sst>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;[Red](&quot;$&quot;#,##0.00)"/>
  </numFmts>
  <fonts count="12" x14ac:knownFonts="1">
    <font>
      <color theme="1"/>
      <family val="2"/>
      <scheme val="minor"/>
      <sz val="11"/>
      <name val="Calibri"/>
    </font>
    <font>
      <b/>
      <i/>
      <u/>
      <sz val="14"/>
      <name val="Calibri"/>
    </font>
    <font>
      <b/>
      <i/>
      <u/>
      <sz val="10"/>
      <name val="Calibri"/>
    </font>
    <font>
      <i/>
      <u/>
      <sz val="10"/>
      <name val="Calibri"/>
    </font>
    <font>
      <sz val="10"/>
      <name val="Calibri"/>
    </font>
    <font>
      <b/>
      <sz val="12"/>
      <name val="Calibri"/>
    </font>
    <font>
      <b/>
      <i/>
      <sz val="12"/>
      <name val="Calibri"/>
    </font>
    <font>
      <b/>
      <color rgb="FFFFFFFF"/>
      <sz val="10"/>
      <name val="Calibri"/>
    </font>
    <font>
      <b/>
      <sz val="10"/>
      <name val="Calibri"/>
    </font>
    <font>
      <b/>
      <color rgb="FF000000"/>
      <sz val="10"/>
      <name val="Calibri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164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/>
    <xf numFmtId="165" fontId="4" fillId="0" borderId="9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8" fillId="5" borderId="5" xfId="0" applyFont="1" applyFill="1" applyBorder="1"/>
    <xf numFmtId="0" fontId="4" fillId="5" borderId="6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8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/>
    <xf numFmtId="164" fontId="4" fillId="6" borderId="9" xfId="0" applyNumberFormat="1" applyFont="1" applyFill="1" applyBorder="1" applyAlignment="1">
      <alignment horizontal="center" vertical="center"/>
    </xf>
    <xf numFmtId="0" fontId="0" fillId="5" borderId="8" xfId="0" applyFill="1" applyBorder="1"/>
    <xf numFmtId="0" fontId="0" fillId="5" borderId="9" xfId="0" applyFill="1" applyBorder="1"/>
    <xf numFmtId="0" fontId="0" fillId="4" borderId="9" xfId="0" applyFill="1" applyBorder="1"/>
    <xf numFmtId="0" fontId="0" fillId="4" borderId="10" xfId="0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8" fillId="5" borderId="4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4" borderId="5" xfId="0" applyFont="1" applyFill="1" applyBorder="1"/>
    <xf numFmtId="0" fontId="8" fillId="4" borderId="6" xfId="0" applyFont="1" applyFill="1" applyBorder="1"/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0" fillId="4" borderId="8" xfId="0" applyFill="1" applyBorder="1"/>
    <xf numFmtId="0" fontId="7" fillId="3" borderId="6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48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49</v>
      </c>
      <c r="D9" s="32" t="s">
        <v>50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>
        <v>1373.75</v>
      </c>
      <c r="U9" s="33">
        <v>1443.51</v>
      </c>
      <c r="V9" s="33">
        <v>943.78</v>
      </c>
      <c r="W9" s="33">
        <v>837.77</v>
      </c>
      <c r="X9" s="33">
        <v>621.15</v>
      </c>
      <c r="Y9" s="33">
        <v>364.98</v>
      </c>
      <c r="Z9" s="33">
        <v>109.36</v>
      </c>
      <c r="AA9" s="33">
        <v>91.25</v>
      </c>
      <c r="AB9" s="33">
        <v>104.48</v>
      </c>
      <c r="AC9" s="33">
        <v>170.6</v>
      </c>
      <c r="AD9" s="33">
        <v>567.42</v>
      </c>
      <c r="AE9" s="33">
        <v>962.69</v>
      </c>
      <c r="AF9" s="33">
        <v>1295.88</v>
      </c>
      <c r="AG9" s="33">
        <v>1283.81</v>
      </c>
      <c r="AH9" s="33">
        <v>1027.71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49</v>
      </c>
      <c r="D10" s="32" t="s">
        <v>51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>
        <v>3781.12</v>
      </c>
      <c r="U10" s="33">
        <v>3885.67</v>
      </c>
      <c r="V10" s="33">
        <v>2358.9</v>
      </c>
      <c r="W10" s="33">
        <v>1941.12</v>
      </c>
      <c r="X10" s="33">
        <v>730.29</v>
      </c>
      <c r="Y10" s="33">
        <v>745.07</v>
      </c>
      <c r="Z10" s="33">
        <v>184.62</v>
      </c>
      <c r="AA10" s="33">
        <v>160.23</v>
      </c>
      <c r="AB10" s="33">
        <v>170.13</v>
      </c>
      <c r="AC10" s="33">
        <v>283.19</v>
      </c>
      <c r="AD10" s="33">
        <v>1182.84</v>
      </c>
      <c r="AE10" s="33">
        <v>2374.86</v>
      </c>
      <c r="AF10" s="33">
        <v>3143.83</v>
      </c>
      <c r="AG10" s="33">
        <v>3194.89</v>
      </c>
      <c r="AH10" s="33">
        <v>2513.06</v>
      </c>
      <c r="AI10" s="32"/>
      <c r="AJ10" s="34">
        <f>SUM(E10:AI10)</f>
      </c>
      <c r="AK10" s="35"/>
    </row>
    <row r="11" ht="12.75" customHeight="1" spans="2:37" x14ac:dyDescent="0.25">
      <c r="B11" s="30" t="s">
        <v>41</v>
      </c>
      <c r="C11" s="31" t="s">
        <v>49</v>
      </c>
      <c r="D11" s="32" t="s">
        <v>52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>
        <v>129.48</v>
      </c>
      <c r="U11" s="33">
        <v>129.89</v>
      </c>
      <c r="V11" s="33">
        <v>118.33</v>
      </c>
      <c r="W11" s="33">
        <v>118.27</v>
      </c>
      <c r="X11" s="33">
        <v>121.8</v>
      </c>
      <c r="Y11" s="33">
        <v>101.86</v>
      </c>
      <c r="Z11" s="33">
        <v>100.29</v>
      </c>
      <c r="AA11" s="33">
        <v>104.89</v>
      </c>
      <c r="AB11" s="33">
        <v>97.16</v>
      </c>
      <c r="AC11" s="33">
        <v>106.14</v>
      </c>
      <c r="AD11" s="33">
        <v>108.78</v>
      </c>
      <c r="AE11" s="33">
        <v>132.84</v>
      </c>
      <c r="AF11" s="33">
        <v>132.19</v>
      </c>
      <c r="AG11" s="32"/>
      <c r="AH11" s="32"/>
      <c r="AI11" s="32"/>
      <c r="AJ11" s="34">
        <f>SUM(E11:AI11)</f>
      </c>
      <c r="AK11" s="35"/>
    </row>
    <row r="12" ht="12.75" customHeight="1" spans="2:37" x14ac:dyDescent="0.25">
      <c r="B12" s="30" t="s">
        <v>41</v>
      </c>
      <c r="C12" s="31" t="s">
        <v>49</v>
      </c>
      <c r="D12" s="32" t="s">
        <v>53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3">
        <v>55.19</v>
      </c>
      <c r="Y12" s="33">
        <v>22.54</v>
      </c>
      <c r="Z12" s="33">
        <v>10.06</v>
      </c>
      <c r="AA12" s="32"/>
      <c r="AB12" s="32"/>
      <c r="AC12" s="32"/>
      <c r="AD12" s="32"/>
      <c r="AE12" s="32"/>
      <c r="AF12" s="32"/>
      <c r="AG12" s="32"/>
      <c r="AH12" s="32"/>
      <c r="AI12" s="32"/>
      <c r="AJ12" s="34">
        <f>SUM(E12:AI12)</f>
      </c>
      <c r="AK12" s="35"/>
    </row>
    <row r="13" ht="12.75" customHeight="1" spans="2:37" x14ac:dyDescent="0.25">
      <c r="B13" s="30" t="s">
        <v>41</v>
      </c>
      <c r="C13" s="31" t="s">
        <v>49</v>
      </c>
      <c r="D13" s="32" t="s">
        <v>54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>
        <v>12.11</v>
      </c>
      <c r="U13" s="33">
        <v>0</v>
      </c>
      <c r="V13" s="33">
        <v>12.11</v>
      </c>
      <c r="W13" s="33">
        <v>12.1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41</v>
      </c>
      <c r="C14" s="31" t="s">
        <v>49</v>
      </c>
      <c r="D14" s="32" t="s">
        <v>55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>
        <v>12.11</v>
      </c>
      <c r="U14" s="33">
        <v>0</v>
      </c>
      <c r="V14" s="33">
        <v>12.11</v>
      </c>
      <c r="W14" s="33">
        <v>12.1</v>
      </c>
      <c r="X14" s="33">
        <v>12.1</v>
      </c>
      <c r="Y14" s="33">
        <v>12.1</v>
      </c>
      <c r="Z14" s="33">
        <v>12.1</v>
      </c>
      <c r="AA14" s="33">
        <v>12.11</v>
      </c>
      <c r="AB14" s="33">
        <v>12.11</v>
      </c>
      <c r="AC14" s="33">
        <v>12.11</v>
      </c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41</v>
      </c>
      <c r="C15" s="31" t="s">
        <v>49</v>
      </c>
      <c r="D15" s="32" t="s">
        <v>56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69.01</v>
      </c>
      <c r="U15" s="33">
        <v>19.19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41</v>
      </c>
      <c r="C16" s="31" t="s">
        <v>49</v>
      </c>
      <c r="D16" s="32" t="s">
        <v>57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6">
        <f>-75.47+133.38</f>
        <v>57.91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41</v>
      </c>
      <c r="C17" s="31" t="s">
        <v>49</v>
      </c>
      <c r="D17" s="32" t="s">
        <v>58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60.06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41</v>
      </c>
      <c r="C18" s="31" t="s">
        <v>49</v>
      </c>
      <c r="D18" s="32" t="s">
        <v>59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3">
        <v>51.6</v>
      </c>
      <c r="Y18" s="33">
        <v>12.1</v>
      </c>
      <c r="Z18" s="33">
        <v>12.1</v>
      </c>
      <c r="AA18" s="33">
        <v>12.11</v>
      </c>
      <c r="AB18" s="33">
        <v>12.11</v>
      </c>
      <c r="AC18" s="33">
        <v>12.11</v>
      </c>
      <c r="AD18" s="33">
        <v>8.37</v>
      </c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41</v>
      </c>
      <c r="C19" s="31" t="s">
        <v>49</v>
      </c>
      <c r="D19" s="32" t="s">
        <v>60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3">
        <v>55.09</v>
      </c>
      <c r="Y19" s="33">
        <v>5.58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41</v>
      </c>
      <c r="C20" s="31" t="s">
        <v>49</v>
      </c>
      <c r="D20" s="32" t="s">
        <v>61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3">
        <v>53.48</v>
      </c>
      <c r="Y20" s="33">
        <v>22.54</v>
      </c>
      <c r="Z20" s="36">
        <f>4.14+94.61</f>
        <v>98.75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41</v>
      </c>
      <c r="C21" s="31" t="s">
        <v>49</v>
      </c>
      <c r="D21" s="32" t="s">
        <v>62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3">
        <v>12.11</v>
      </c>
      <c r="AD21" s="33">
        <v>8.37</v>
      </c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41</v>
      </c>
      <c r="C22" s="31" t="s">
        <v>49</v>
      </c>
      <c r="D22" s="32" t="s">
        <v>63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3">
        <v>116.53</v>
      </c>
      <c r="AH22" s="33">
        <v>115.37</v>
      </c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64</v>
      </c>
      <c r="C24" s="21"/>
      <c r="D24" s="21"/>
      <c r="E24" s="22">
        <f>SUM(E9:E22)</f>
      </c>
      <c r="F24" s="22">
        <f>SUM(F9:F22)</f>
      </c>
      <c r="G24" s="22">
        <f>SUM(G9:G22)</f>
      </c>
      <c r="H24" s="22">
        <f>SUM(H9:H22)</f>
      </c>
      <c r="I24" s="22">
        <f>SUM(I9:I22)</f>
      </c>
      <c r="J24" s="22">
        <f>SUM(J9:J22)</f>
      </c>
      <c r="K24" s="22">
        <f>SUM(K9:K22)</f>
      </c>
      <c r="L24" s="22">
        <f>SUM(L9:L22)</f>
      </c>
      <c r="M24" s="22">
        <f>SUM(M9:M22)</f>
      </c>
      <c r="N24" s="22">
        <f>SUM(N9:N22)</f>
      </c>
      <c r="O24" s="22">
        <f>SUM(O9:O22)</f>
      </c>
      <c r="P24" s="22">
        <f>SUM(P9:P22)</f>
      </c>
      <c r="Q24" s="22">
        <f>SUM(Q9:Q22)</f>
      </c>
      <c r="R24" s="22">
        <f>SUM(R9:R22)</f>
      </c>
      <c r="S24" s="22">
        <f>SUM(S9:S22)</f>
      </c>
      <c r="T24" s="22">
        <f>SUM(T9:T22)</f>
      </c>
      <c r="U24" s="22">
        <f>SUM(U9:U22)</f>
      </c>
      <c r="V24" s="22">
        <f>SUM(V9:V22)</f>
      </c>
      <c r="W24" s="22">
        <f>SUM(W9:W22)</f>
      </c>
      <c r="X24" s="22">
        <f>SUM(X9:X22)</f>
      </c>
      <c r="Y24" s="22">
        <f>SUM(Y9:Y22)</f>
      </c>
      <c r="Z24" s="22">
        <f>SUM(Z9:Z22)</f>
      </c>
      <c r="AA24" s="22">
        <f>SUM(AA9:AA22)</f>
      </c>
      <c r="AB24" s="22">
        <f>SUM(AB9:AB22)</f>
      </c>
      <c r="AC24" s="22">
        <f>SUM(AC9:AC22)</f>
      </c>
      <c r="AD24" s="22">
        <f>SUM(AD9:AD22)</f>
      </c>
      <c r="AE24" s="22">
        <f>SUM(AE9:AE22)</f>
      </c>
      <c r="AF24" s="22">
        <f>SUM(AF9:AF22)</f>
      </c>
      <c r="AG24" s="22">
        <f>SUM(AG9:AG22)</f>
      </c>
      <c r="AH24" s="22">
        <f>SUM(AH9:AH22)</f>
      </c>
      <c r="AI24" s="22">
        <f>SUM(AI9:AI22)</f>
      </c>
      <c r="AJ24" s="22">
        <f>SUM(AJ9:AJ22)</f>
      </c>
      <c r="AK24" s="23"/>
    </row>
    <row r="26" ht="12.75" customHeight="1" spans="2:37" x14ac:dyDescent="0.25">
      <c r="B26" s="26" t="s">
        <v>42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42</v>
      </c>
      <c r="C27" s="31" t="s">
        <v>65</v>
      </c>
      <c r="D27" s="32" t="s">
        <v>66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>
        <v>99.78</v>
      </c>
      <c r="AA27" s="36">
        <f>155.69+-155.69</f>
        <v>0</v>
      </c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65</v>
      </c>
      <c r="D28" s="32" t="s">
        <v>67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290</v>
      </c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65</v>
      </c>
      <c r="D29" s="32" t="s">
        <v>68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>
        <v>1064.77</v>
      </c>
      <c r="V29" s="33">
        <v>964.54</v>
      </c>
      <c r="W29" s="33">
        <v>1043.31</v>
      </c>
      <c r="X29" s="33">
        <v>840.45</v>
      </c>
      <c r="Y29" s="33">
        <v>1323.74</v>
      </c>
      <c r="Z29" s="33">
        <v>2072.55</v>
      </c>
      <c r="AA29" s="33">
        <v>2800.06</v>
      </c>
      <c r="AB29" s="33">
        <v>3043.3</v>
      </c>
      <c r="AC29" s="33">
        <v>1971.79</v>
      </c>
      <c r="AD29" s="33">
        <v>1269.44</v>
      </c>
      <c r="AE29" s="33">
        <v>879.4</v>
      </c>
      <c r="AF29" s="33">
        <v>1003.38</v>
      </c>
      <c r="AG29" s="33">
        <v>955.81</v>
      </c>
      <c r="AH29" s="33">
        <v>911.37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65</v>
      </c>
      <c r="D30" s="32" t="s">
        <v>69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6">
        <f>38.32+178.48</f>
        <v>216.79999999999998</v>
      </c>
      <c r="V30" s="36">
        <f>41.71+178.48</f>
        <v>220.19</v>
      </c>
      <c r="W30" s="36">
        <f>45.71+174.48</f>
        <v>220.19</v>
      </c>
      <c r="X30" s="36">
        <f>41.64+178.55</f>
        <v>220.19</v>
      </c>
      <c r="Y30" s="36">
        <f>45.55+172.42</f>
        <v>217.96999999999997</v>
      </c>
      <c r="Z30" s="36">
        <f>31.23+186.53</f>
        <v>217.76</v>
      </c>
      <c r="AA30" s="36">
        <f>41.56+176.20</f>
        <v>217.76</v>
      </c>
      <c r="AB30" s="36">
        <f>45.53+172.23</f>
        <v>217.76</v>
      </c>
      <c r="AC30" s="36">
        <f>31.23+186.53</f>
        <v>217.76</v>
      </c>
      <c r="AD30" s="36">
        <f>31.23+186.53</f>
        <v>217.76</v>
      </c>
      <c r="AE30" s="36">
        <f>31.23+188.34</f>
        <v>219.57</v>
      </c>
      <c r="AF30" s="36">
        <f>31.23+188.51</f>
        <v>219.73999999999998</v>
      </c>
      <c r="AG30" s="36">
        <f>27.85+188.47</f>
        <v>216.32</v>
      </c>
      <c r="AH30" s="36">
        <f>31.23+188.47</f>
        <v>219.7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65</v>
      </c>
      <c r="D31" s="32" t="s">
        <v>70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>
        <v>38.76</v>
      </c>
      <c r="V31" s="33">
        <v>42.18</v>
      </c>
      <c r="W31" s="33">
        <v>43.5</v>
      </c>
      <c r="X31" s="33">
        <v>43.17</v>
      </c>
      <c r="Y31" s="33">
        <v>44.72</v>
      </c>
      <c r="Z31" s="33">
        <v>44.42</v>
      </c>
      <c r="AA31" s="33">
        <v>45.23</v>
      </c>
      <c r="AB31" s="33">
        <v>36.95</v>
      </c>
      <c r="AC31" s="33">
        <v>43.32</v>
      </c>
      <c r="AD31" s="33">
        <v>43.17</v>
      </c>
      <c r="AE31" s="33">
        <v>43.18</v>
      </c>
      <c r="AF31" s="33">
        <v>43.86</v>
      </c>
      <c r="AG31" s="33">
        <v>35.54</v>
      </c>
      <c r="AH31" s="33">
        <v>40.84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65</v>
      </c>
      <c r="D32" s="32" t="s">
        <v>71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>
        <v>613.38</v>
      </c>
      <c r="V32" s="33">
        <v>645.09</v>
      </c>
      <c r="W32" s="33">
        <v>667.48</v>
      </c>
      <c r="X32" s="33">
        <v>587.5</v>
      </c>
      <c r="Y32" s="33">
        <v>736.85</v>
      </c>
      <c r="Z32" s="33">
        <v>714.58</v>
      </c>
      <c r="AA32" s="33">
        <v>813.05</v>
      </c>
      <c r="AB32" s="33">
        <v>849.01</v>
      </c>
      <c r="AC32" s="33">
        <v>746.43</v>
      </c>
      <c r="AD32" s="33">
        <v>762.47</v>
      </c>
      <c r="AE32" s="33">
        <v>697.34</v>
      </c>
      <c r="AF32" s="33">
        <v>690.42</v>
      </c>
      <c r="AG32" s="33">
        <v>631.89</v>
      </c>
      <c r="AH32" s="36">
        <f>672.96+0.00</f>
        <v>672.96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65</v>
      </c>
      <c r="D33" s="32" t="s">
        <v>72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>
        <v>1155.39</v>
      </c>
      <c r="V33" s="33">
        <v>902.84</v>
      </c>
      <c r="W33" s="33">
        <v>937.62</v>
      </c>
      <c r="X33" s="33">
        <v>958</v>
      </c>
      <c r="Y33" s="33">
        <v>1464.12</v>
      </c>
      <c r="Z33" s="33">
        <v>2124.07</v>
      </c>
      <c r="AA33" s="33">
        <v>2940.4</v>
      </c>
      <c r="AB33" s="33">
        <v>3439.15</v>
      </c>
      <c r="AC33" s="33">
        <v>2425.55</v>
      </c>
      <c r="AD33" s="33">
        <v>1522.7</v>
      </c>
      <c r="AE33" s="33">
        <v>1054.97</v>
      </c>
      <c r="AF33" s="33">
        <v>1122.03</v>
      </c>
      <c r="AG33" s="33">
        <v>993.18</v>
      </c>
      <c r="AH33" s="33">
        <v>914.09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65</v>
      </c>
      <c r="D34" s="32" t="s">
        <v>73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>
        <v>763.87</v>
      </c>
      <c r="V34" s="33">
        <v>640.16</v>
      </c>
      <c r="W34" s="33">
        <v>668.02</v>
      </c>
      <c r="X34" s="33">
        <v>732.61</v>
      </c>
      <c r="Y34" s="33">
        <v>882.32</v>
      </c>
      <c r="Z34" s="33">
        <v>1107.04</v>
      </c>
      <c r="AA34" s="33">
        <v>1578.59</v>
      </c>
      <c r="AB34" s="33">
        <v>1617.95</v>
      </c>
      <c r="AC34" s="33">
        <v>1069.39</v>
      </c>
      <c r="AD34" s="33">
        <v>876.55</v>
      </c>
      <c r="AE34" s="33">
        <v>644.85</v>
      </c>
      <c r="AF34" s="33">
        <v>665.19</v>
      </c>
      <c r="AG34" s="33">
        <v>612.55</v>
      </c>
      <c r="AH34" s="33">
        <v>562.38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65</v>
      </c>
      <c r="D35" s="32" t="s">
        <v>74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>
        <v>1280.77</v>
      </c>
      <c r="V35" s="33">
        <v>1031.84</v>
      </c>
      <c r="W35" s="33">
        <v>1199.75</v>
      </c>
      <c r="X35" s="33">
        <v>1288.97</v>
      </c>
      <c r="Y35" s="33">
        <v>1991.68</v>
      </c>
      <c r="Z35" s="33">
        <v>3071.37</v>
      </c>
      <c r="AA35" s="33">
        <v>4426.67</v>
      </c>
      <c r="AB35" s="33">
        <v>4589.83</v>
      </c>
      <c r="AC35" s="33">
        <v>2975.49</v>
      </c>
      <c r="AD35" s="33">
        <v>1752.69</v>
      </c>
      <c r="AE35" s="33">
        <v>1174.59</v>
      </c>
      <c r="AF35" s="33">
        <v>1247.52</v>
      </c>
      <c r="AG35" s="33">
        <v>1127.63</v>
      </c>
      <c r="AH35" s="33">
        <v>927.73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65</v>
      </c>
      <c r="D36" s="32" t="s">
        <v>75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>
        <v>1834.04</v>
      </c>
      <c r="V36" s="33">
        <v>1416.99</v>
      </c>
      <c r="W36" s="33">
        <v>1410.14</v>
      </c>
      <c r="X36" s="33">
        <v>1449.05</v>
      </c>
      <c r="Y36" s="33">
        <v>2159.68</v>
      </c>
      <c r="Z36" s="33">
        <v>3401.93</v>
      </c>
      <c r="AA36" s="33">
        <v>4703.97</v>
      </c>
      <c r="AB36" s="33">
        <v>4899.68</v>
      </c>
      <c r="AC36" s="33">
        <v>3183.58</v>
      </c>
      <c r="AD36" s="33">
        <v>1943.09</v>
      </c>
      <c r="AE36" s="33">
        <v>1248.65</v>
      </c>
      <c r="AF36" s="33">
        <v>1410.42</v>
      </c>
      <c r="AG36" s="33">
        <v>1303.16</v>
      </c>
      <c r="AH36" s="33">
        <v>1152.54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65</v>
      </c>
      <c r="D37" s="32" t="s">
        <v>76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>
        <v>1253.96</v>
      </c>
      <c r="V37" s="33">
        <v>1033.87</v>
      </c>
      <c r="W37" s="33">
        <v>1197.73</v>
      </c>
      <c r="X37" s="33">
        <v>1319.89</v>
      </c>
      <c r="Y37" s="33">
        <v>2115.98</v>
      </c>
      <c r="Z37" s="33">
        <v>3347.62</v>
      </c>
      <c r="AA37" s="33">
        <v>4657.79</v>
      </c>
      <c r="AB37" s="33">
        <v>4693.85</v>
      </c>
      <c r="AC37" s="33">
        <v>3229.93</v>
      </c>
      <c r="AD37" s="33">
        <v>1861.83</v>
      </c>
      <c r="AE37" s="33">
        <v>1100.13</v>
      </c>
      <c r="AF37" s="33">
        <v>1032.77</v>
      </c>
      <c r="AG37" s="33">
        <v>926.69</v>
      </c>
      <c r="AH37" s="33">
        <v>953.44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65</v>
      </c>
      <c r="D38" s="32" t="s">
        <v>77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>
        <v>1012.54</v>
      </c>
      <c r="V38" s="33">
        <v>735.63</v>
      </c>
      <c r="W38" s="33">
        <v>736.64</v>
      </c>
      <c r="X38" s="33">
        <v>695.94</v>
      </c>
      <c r="Y38" s="33">
        <v>1156</v>
      </c>
      <c r="Z38" s="33">
        <v>1830.51</v>
      </c>
      <c r="AA38" s="33">
        <v>2576.23</v>
      </c>
      <c r="AB38" s="33">
        <v>2767.96</v>
      </c>
      <c r="AC38" s="33">
        <v>1714.92</v>
      </c>
      <c r="AD38" s="33">
        <v>957.32</v>
      </c>
      <c r="AE38" s="33">
        <v>688.25</v>
      </c>
      <c r="AF38" s="33">
        <v>860.28</v>
      </c>
      <c r="AG38" s="33">
        <v>787.8</v>
      </c>
      <c r="AH38" s="36">
        <f>676.56+0.00</f>
        <v>676.56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65</v>
      </c>
      <c r="D39" s="32" t="s">
        <v>78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>
        <v>1489.83</v>
      </c>
      <c r="V39" s="33">
        <v>1489.83</v>
      </c>
      <c r="W39" s="33">
        <v>1489.83</v>
      </c>
      <c r="X39" s="33">
        <v>1489.83</v>
      </c>
      <c r="Y39" s="33">
        <v>1482.41</v>
      </c>
      <c r="Z39" s="33">
        <v>1478.11</v>
      </c>
      <c r="AA39" s="33">
        <v>1478.11</v>
      </c>
      <c r="AB39" s="33">
        <v>1478.11</v>
      </c>
      <c r="AC39" s="33">
        <v>1478.11</v>
      </c>
      <c r="AD39" s="33">
        <v>1478.11</v>
      </c>
      <c r="AE39" s="33">
        <v>1486.07</v>
      </c>
      <c r="AF39" s="33">
        <v>1489.21</v>
      </c>
      <c r="AG39" s="33">
        <v>1489.03</v>
      </c>
      <c r="AH39" s="33">
        <v>1488.92</v>
      </c>
      <c r="AI39" s="33">
        <v>1488.92</v>
      </c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65</v>
      </c>
      <c r="D40" s="32" t="s">
        <v>79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>
        <v>764.1</v>
      </c>
      <c r="V40" s="33">
        <v>613.39</v>
      </c>
      <c r="W40" s="33">
        <v>682.02</v>
      </c>
      <c r="X40" s="33">
        <v>775.9</v>
      </c>
      <c r="Y40" s="33">
        <v>1170.2</v>
      </c>
      <c r="Z40" s="33">
        <v>1840.81</v>
      </c>
      <c r="AA40" s="33">
        <v>2639.78</v>
      </c>
      <c r="AB40" s="33">
        <v>2651.3</v>
      </c>
      <c r="AC40" s="33">
        <v>1799.55</v>
      </c>
      <c r="AD40" s="33">
        <v>1083.5</v>
      </c>
      <c r="AE40" s="33">
        <v>687.67</v>
      </c>
      <c r="AF40" s="33">
        <v>757.81</v>
      </c>
      <c r="AG40" s="33">
        <v>650.24</v>
      </c>
      <c r="AH40" s="33">
        <v>562.47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65</v>
      </c>
      <c r="D41" s="32" t="s">
        <v>80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>
        <v>123.81</v>
      </c>
      <c r="V41" s="33">
        <v>164.45</v>
      </c>
      <c r="W41" s="33">
        <v>213.05</v>
      </c>
      <c r="X41" s="33">
        <v>266.27</v>
      </c>
      <c r="Y41" s="33">
        <v>454.11</v>
      </c>
      <c r="Z41" s="33">
        <v>539.83</v>
      </c>
      <c r="AA41" s="33">
        <v>759.35</v>
      </c>
      <c r="AB41" s="33">
        <v>756.72</v>
      </c>
      <c r="AC41" s="33">
        <v>568.53</v>
      </c>
      <c r="AD41" s="33">
        <v>398.58</v>
      </c>
      <c r="AE41" s="33">
        <v>264.98</v>
      </c>
      <c r="AF41" s="33">
        <v>198.05</v>
      </c>
      <c r="AG41" s="33">
        <v>157.51</v>
      </c>
      <c r="AH41" s="33">
        <v>187.61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65</v>
      </c>
      <c r="D42" s="32" t="s">
        <v>81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>
        <v>2140.42</v>
      </c>
      <c r="V42" s="33">
        <v>1556.04</v>
      </c>
      <c r="W42" s="33">
        <v>1466.17</v>
      </c>
      <c r="X42" s="33">
        <v>1420.26</v>
      </c>
      <c r="Y42" s="33">
        <v>2129.06</v>
      </c>
      <c r="Z42" s="33">
        <v>3306.19</v>
      </c>
      <c r="AA42" s="33">
        <v>4738.16</v>
      </c>
      <c r="AB42" s="33">
        <v>5105.41</v>
      </c>
      <c r="AC42" s="33">
        <v>3330.34</v>
      </c>
      <c r="AD42" s="33">
        <v>1862.17</v>
      </c>
      <c r="AE42" s="33">
        <v>1282.12</v>
      </c>
      <c r="AF42" s="33">
        <v>1530.5</v>
      </c>
      <c r="AG42" s="33">
        <v>1409.21</v>
      </c>
      <c r="AH42" s="33">
        <v>1285.74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65</v>
      </c>
      <c r="D43" s="32" t="s">
        <v>82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>
        <v>236.27</v>
      </c>
      <c r="V43" s="33">
        <v>286.22</v>
      </c>
      <c r="W43" s="33">
        <v>279.51</v>
      </c>
      <c r="X43" s="33">
        <v>293.34</v>
      </c>
      <c r="Y43" s="33">
        <v>310.63</v>
      </c>
      <c r="Z43" s="33">
        <v>438.57</v>
      </c>
      <c r="AA43" s="33">
        <v>594</v>
      </c>
      <c r="AB43" s="33">
        <v>640.75</v>
      </c>
      <c r="AC43" s="33">
        <v>416.73</v>
      </c>
      <c r="AD43" s="33">
        <v>252.29</v>
      </c>
      <c r="AE43" s="33">
        <v>216.67</v>
      </c>
      <c r="AF43" s="33">
        <v>224.52</v>
      </c>
      <c r="AG43" s="33">
        <v>228.71</v>
      </c>
      <c r="AH43" s="33">
        <v>229.44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65</v>
      </c>
      <c r="D44" s="32" t="s">
        <v>83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>
        <v>27.08</v>
      </c>
      <c r="U44" s="33">
        <v>21.66</v>
      </c>
      <c r="V44" s="33">
        <v>21.66</v>
      </c>
      <c r="W44" s="33">
        <v>21.66</v>
      </c>
      <c r="X44" s="33">
        <v>21.66</v>
      </c>
      <c r="Y44" s="33">
        <v>21.66</v>
      </c>
      <c r="Z44" s="33">
        <v>21.66</v>
      </c>
      <c r="AA44" s="33">
        <v>21.66</v>
      </c>
      <c r="AB44" s="33">
        <v>21.66</v>
      </c>
      <c r="AC44" s="33">
        <v>21.66</v>
      </c>
      <c r="AD44" s="33">
        <v>0</v>
      </c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65</v>
      </c>
      <c r="D45" s="32" t="s">
        <v>84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>
        <v>1208.32</v>
      </c>
      <c r="V45" s="33">
        <v>1014.2</v>
      </c>
      <c r="W45" s="33">
        <v>1139.29</v>
      </c>
      <c r="X45" s="33">
        <v>1004.7</v>
      </c>
      <c r="Y45" s="33">
        <v>1109.31</v>
      </c>
      <c r="Z45" s="33">
        <v>1964.55</v>
      </c>
      <c r="AA45" s="33">
        <v>2721.69</v>
      </c>
      <c r="AB45" s="33">
        <v>2868.82</v>
      </c>
      <c r="AC45" s="33">
        <v>2004.58</v>
      </c>
      <c r="AD45" s="33">
        <v>1233.34</v>
      </c>
      <c r="AE45" s="33">
        <v>957.17</v>
      </c>
      <c r="AF45" s="33">
        <v>937.88</v>
      </c>
      <c r="AG45" s="33">
        <v>905.04</v>
      </c>
      <c r="AH45" s="33">
        <v>923.76</v>
      </c>
      <c r="AI45" s="32"/>
      <c r="AJ45" s="34">
        <f>SUM(E45:AI45)</f>
      </c>
      <c r="AK45" s="35"/>
    </row>
    <row r="46" ht="12.75" customHeight="1" spans="2:37" x14ac:dyDescent="0.25">
      <c r="B46" s="37"/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40"/>
    </row>
    <row r="47" ht="12.75" customHeight="1" spans="2:37" x14ac:dyDescent="0.25">
      <c r="B47" s="20" t="s">
        <v>85</v>
      </c>
      <c r="C47" s="21"/>
      <c r="D47" s="21"/>
      <c r="E47" s="22">
        <f>SUM(E27:E45)</f>
      </c>
      <c r="F47" s="22">
        <f>SUM(F27:F45)</f>
      </c>
      <c r="G47" s="22">
        <f>SUM(G27:G45)</f>
      </c>
      <c r="H47" s="22">
        <f>SUM(H27:H45)</f>
      </c>
      <c r="I47" s="22">
        <f>SUM(I27:I45)</f>
      </c>
      <c r="J47" s="22">
        <f>SUM(J27:J45)</f>
      </c>
      <c r="K47" s="22">
        <f>SUM(K27:K45)</f>
      </c>
      <c r="L47" s="22">
        <f>SUM(L27:L45)</f>
      </c>
      <c r="M47" s="22">
        <f>SUM(M27:M45)</f>
      </c>
      <c r="N47" s="22">
        <f>SUM(N27:N45)</f>
      </c>
      <c r="O47" s="22">
        <f>SUM(O27:O45)</f>
      </c>
      <c r="P47" s="22">
        <f>SUM(P27:P45)</f>
      </c>
      <c r="Q47" s="22">
        <f>SUM(Q27:Q45)</f>
      </c>
      <c r="R47" s="22">
        <f>SUM(R27:R45)</f>
      </c>
      <c r="S47" s="22">
        <f>SUM(S27:S45)</f>
      </c>
      <c r="T47" s="22">
        <f>SUM(T27:T45)</f>
      </c>
      <c r="U47" s="22">
        <f>SUM(U27:U45)</f>
      </c>
      <c r="V47" s="22">
        <f>SUM(V27:V45)</f>
      </c>
      <c r="W47" s="22">
        <f>SUM(W27:W45)</f>
      </c>
      <c r="X47" s="22">
        <f>SUM(X27:X45)</f>
      </c>
      <c r="Y47" s="22">
        <f>SUM(Y27:Y45)</f>
      </c>
      <c r="Z47" s="22">
        <f>SUM(Z27:Z45)</f>
      </c>
      <c r="AA47" s="22">
        <f>SUM(AA27:AA45)</f>
      </c>
      <c r="AB47" s="22">
        <f>SUM(AB27:AB45)</f>
      </c>
      <c r="AC47" s="22">
        <f>SUM(AC27:AC45)</f>
      </c>
      <c r="AD47" s="22">
        <f>SUM(AD27:AD45)</f>
      </c>
      <c r="AE47" s="22">
        <f>SUM(AE27:AE45)</f>
      </c>
      <c r="AF47" s="22">
        <f>SUM(AF27:AF45)</f>
      </c>
      <c r="AG47" s="22">
        <f>SUM(AG27:AG45)</f>
      </c>
      <c r="AH47" s="22">
        <f>SUM(AH27:AH45)</f>
      </c>
      <c r="AI47" s="22">
        <f>SUM(AI27:AI45)</f>
      </c>
      <c r="AJ47" s="22">
        <f>SUM(AJ27:AJ45)</f>
      </c>
      <c r="AK47" s="23"/>
    </row>
    <row r="49" ht="12.75" customHeight="1" spans="2:37" x14ac:dyDescent="0.25">
      <c r="B49" s="26" t="s">
        <v>43</v>
      </c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9"/>
    </row>
    <row r="50" ht="12.75" customHeight="1" spans="2:37" x14ac:dyDescent="0.25">
      <c r="B50" s="30" t="s">
        <v>43</v>
      </c>
      <c r="C50" s="31" t="s">
        <v>86</v>
      </c>
      <c r="D50" s="32" t="s">
        <v>87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6">
        <f>3555.16+4024.81</f>
        <v>7579.969999999999</v>
      </c>
      <c r="U50" s="36">
        <f>3933.92+4109.48</f>
        <v>8043.4</v>
      </c>
      <c r="V50" s="36">
        <f>4534.02+4278.50</f>
        <v>8812.52</v>
      </c>
      <c r="W50" s="36">
        <f>4204.97+4082.15</f>
        <v>8287.12</v>
      </c>
      <c r="X50" s="36">
        <f>3949.29+4359.36</f>
        <v>8308.65</v>
      </c>
      <c r="Y50" s="36">
        <f>3498.30+3926.21</f>
        <v>7424.51</v>
      </c>
      <c r="Z50" s="36">
        <f>3968.69+4365.14</f>
        <v>8333.83</v>
      </c>
      <c r="AA50" s="36">
        <f>3640.40+4087.92</f>
        <v>7728.32</v>
      </c>
      <c r="AB50" s="36">
        <f>3657.25+4082.15</f>
        <v>7739.4</v>
      </c>
      <c r="AC50" s="36">
        <f>3406.94+3822.27</f>
        <v>7229.21</v>
      </c>
      <c r="AD50" s="36">
        <f>3691.13+4145.68</f>
        <v>7836.81</v>
      </c>
      <c r="AE50" s="36">
        <f>3691.13+4145.68</f>
        <v>7836.81</v>
      </c>
      <c r="AF50" s="36">
        <f>3899.92+4313.16</f>
        <v>8213.08</v>
      </c>
      <c r="AG50" s="36">
        <f>3369.22+3998.21</f>
        <v>7367.43</v>
      </c>
      <c r="AH50" s="36">
        <f>3462.92+4111.07</f>
        <v>7573.99</v>
      </c>
      <c r="AI50" s="32"/>
      <c r="AJ50" s="34">
        <f>SUM(E50:AI50)</f>
      </c>
      <c r="AK50" s="35"/>
    </row>
    <row r="51" ht="12.75" customHeight="1" spans="2:37" x14ac:dyDescent="0.25">
      <c r="B51" s="30" t="s">
        <v>43</v>
      </c>
      <c r="C51" s="31" t="s">
        <v>86</v>
      </c>
      <c r="D51" s="32" t="s">
        <v>88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v>26300</v>
      </c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7"/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40"/>
    </row>
    <row r="53" ht="12.75" customHeight="1" spans="2:37" x14ac:dyDescent="0.25">
      <c r="B53" s="20" t="s">
        <v>89</v>
      </c>
      <c r="C53" s="21"/>
      <c r="D53" s="21"/>
      <c r="E53" s="22">
        <f>SUM(E50:E51)</f>
      </c>
      <c r="F53" s="22">
        <f>SUM(F50:F51)</f>
      </c>
      <c r="G53" s="22">
        <f>SUM(G50:G51)</f>
      </c>
      <c r="H53" s="22">
        <f>SUM(H50:H51)</f>
      </c>
      <c r="I53" s="22">
        <f>SUM(I50:I51)</f>
      </c>
      <c r="J53" s="22">
        <f>SUM(J50:J51)</f>
      </c>
      <c r="K53" s="22">
        <f>SUM(K50:K51)</f>
      </c>
      <c r="L53" s="22">
        <f>SUM(L50:L51)</f>
      </c>
      <c r="M53" s="22">
        <f>SUM(M50:M51)</f>
      </c>
      <c r="N53" s="22">
        <f>SUM(N50:N51)</f>
      </c>
      <c r="O53" s="22">
        <f>SUM(O50:O51)</f>
      </c>
      <c r="P53" s="22">
        <f>SUM(P50:P51)</f>
      </c>
      <c r="Q53" s="22">
        <f>SUM(Q50:Q51)</f>
      </c>
      <c r="R53" s="22">
        <f>SUM(R50:R51)</f>
      </c>
      <c r="S53" s="22">
        <f>SUM(S50:S51)</f>
      </c>
      <c r="T53" s="22">
        <f>SUM(T50:T51)</f>
      </c>
      <c r="U53" s="22">
        <f>SUM(U50:U51)</f>
      </c>
      <c r="V53" s="22">
        <f>SUM(V50:V51)</f>
      </c>
      <c r="W53" s="22">
        <f>SUM(W50:W51)</f>
      </c>
      <c r="X53" s="22">
        <f>SUM(X50:X51)</f>
      </c>
      <c r="Y53" s="22">
        <f>SUM(Y50:Y51)</f>
      </c>
      <c r="Z53" s="22">
        <f>SUM(Z50:Z51)</f>
      </c>
      <c r="AA53" s="22">
        <f>SUM(AA50:AA51)</f>
      </c>
      <c r="AB53" s="22">
        <f>SUM(AB50:AB51)</f>
      </c>
      <c r="AC53" s="22">
        <f>SUM(AC50:AC51)</f>
      </c>
      <c r="AD53" s="22">
        <f>SUM(AD50:AD51)</f>
      </c>
      <c r="AE53" s="22">
        <f>SUM(AE50:AE51)</f>
      </c>
      <c r="AF53" s="22">
        <f>SUM(AF50:AF51)</f>
      </c>
      <c r="AG53" s="22">
        <f>SUM(AG50:AG51)</f>
      </c>
      <c r="AH53" s="22">
        <f>SUM(AH50:AH51)</f>
      </c>
      <c r="AI53" s="22">
        <f>SUM(AI50:AI51)</f>
      </c>
      <c r="AJ53" s="22">
        <f>SUM(AJ50:AJ51)</f>
      </c>
      <c r="AK53" s="23"/>
    </row>
    <row r="55" ht="12.75" customHeight="1" spans="2:37" x14ac:dyDescent="0.25">
      <c r="B55" s="26" t="s">
        <v>44</v>
      </c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9"/>
    </row>
    <row r="56" ht="12.75" customHeight="1" spans="2:37" x14ac:dyDescent="0.25">
      <c r="B56" s="30" t="s">
        <v>44</v>
      </c>
      <c r="C56" s="31" t="s">
        <v>86</v>
      </c>
      <c r="D56" s="32" t="s">
        <v>87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>
        <v>5828.01</v>
      </c>
      <c r="U56" s="33">
        <v>6291.36</v>
      </c>
      <c r="V56" s="33">
        <v>6280.43</v>
      </c>
      <c r="W56" s="33">
        <v>6323.31</v>
      </c>
      <c r="X56" s="33">
        <v>6366.19</v>
      </c>
      <c r="Y56" s="33">
        <v>6541.95</v>
      </c>
      <c r="Z56" s="33">
        <v>5961.92</v>
      </c>
      <c r="AA56" s="33">
        <v>5685.23</v>
      </c>
      <c r="AB56" s="33">
        <v>5119.58</v>
      </c>
      <c r="AC56" s="33">
        <v>8102.83</v>
      </c>
      <c r="AD56" s="33">
        <v>8167.15</v>
      </c>
      <c r="AE56" s="33">
        <v>8184.82</v>
      </c>
      <c r="AF56" s="33">
        <v>6044.59</v>
      </c>
      <c r="AG56" s="33">
        <v>6703.66</v>
      </c>
      <c r="AH56" s="33">
        <v>7189.02</v>
      </c>
      <c r="AI56" s="32"/>
      <c r="AJ56" s="34">
        <f>SUM(E56:AI56)</f>
      </c>
      <c r="AK56" s="35"/>
    </row>
    <row r="57" ht="12.75" customHeight="1" spans="2:37" x14ac:dyDescent="0.25">
      <c r="B57" s="37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40"/>
    </row>
    <row r="58" ht="12.75" customHeight="1" spans="2:37" x14ac:dyDescent="0.25">
      <c r="B58" s="20" t="s">
        <v>90</v>
      </c>
      <c r="C58" s="21"/>
      <c r="D58" s="21"/>
      <c r="E58" s="22">
        <f>SUM(E56:E56)</f>
      </c>
      <c r="F58" s="22">
        <f>SUM(F56:F56)</f>
      </c>
      <c r="G58" s="22">
        <f>SUM(G56:G56)</f>
      </c>
      <c r="H58" s="22">
        <f>SUM(H56:H56)</f>
      </c>
      <c r="I58" s="22">
        <f>SUM(I56:I56)</f>
      </c>
      <c r="J58" s="22">
        <f>SUM(J56:J56)</f>
      </c>
      <c r="K58" s="22">
        <f>SUM(K56:K56)</f>
      </c>
      <c r="L58" s="22">
        <f>SUM(L56:L56)</f>
      </c>
      <c r="M58" s="22">
        <f>SUM(M56:M56)</f>
      </c>
      <c r="N58" s="22">
        <f>SUM(N56:N56)</f>
      </c>
      <c r="O58" s="22">
        <f>SUM(O56:O56)</f>
      </c>
      <c r="P58" s="22">
        <f>SUM(P56:P56)</f>
      </c>
      <c r="Q58" s="22">
        <f>SUM(Q56:Q56)</f>
      </c>
      <c r="R58" s="22">
        <f>SUM(R56:R56)</f>
      </c>
      <c r="S58" s="22">
        <f>SUM(S56:S56)</f>
      </c>
      <c r="T58" s="22">
        <f>SUM(T56:T56)</f>
      </c>
      <c r="U58" s="22">
        <f>SUM(U56:U56)</f>
      </c>
      <c r="V58" s="22">
        <f>SUM(V56:V56)</f>
      </c>
      <c r="W58" s="22">
        <f>SUM(W56:W56)</f>
      </c>
      <c r="X58" s="22">
        <f>SUM(X56:X56)</f>
      </c>
      <c r="Y58" s="22">
        <f>SUM(Y56:Y56)</f>
      </c>
      <c r="Z58" s="22">
        <f>SUM(Z56:Z56)</f>
      </c>
      <c r="AA58" s="22">
        <f>SUM(AA56:AA56)</f>
      </c>
      <c r="AB58" s="22">
        <f>SUM(AB56:AB56)</f>
      </c>
      <c r="AC58" s="22">
        <f>SUM(AC56:AC56)</f>
      </c>
      <c r="AD58" s="22">
        <f>SUM(AD56:AD56)</f>
      </c>
      <c r="AE58" s="22">
        <f>SUM(AE56:AE56)</f>
      </c>
      <c r="AF58" s="22">
        <f>SUM(AF56:AF56)</f>
      </c>
      <c r="AG58" s="22">
        <f>SUM(AG56:AG56)</f>
      </c>
      <c r="AH58" s="22">
        <f>SUM(AH56:AH56)</f>
      </c>
      <c r="AI58" s="22">
        <f>SUM(AI56:AI56)</f>
      </c>
      <c r="AJ58" s="22">
        <f>SUM(AJ56:AJ56)</f>
      </c>
      <c r="AK58" s="23"/>
    </row>
    <row r="61" ht="12.75" customHeight="1" spans="2:37" x14ac:dyDescent="0.25">
      <c r="B61" s="11" t="s">
        <v>40</v>
      </c>
      <c r="C61" s="12"/>
      <c r="D61" s="13"/>
      <c r="E61" s="14" t="s">
        <v>7</v>
      </c>
      <c r="F61" s="14" t="s">
        <v>8</v>
      </c>
      <c r="G61" s="14" t="s">
        <v>9</v>
      </c>
      <c r="H61" s="14" t="s">
        <v>10</v>
      </c>
      <c r="I61" s="14" t="s">
        <v>11</v>
      </c>
      <c r="J61" s="14" t="s">
        <v>12</v>
      </c>
      <c r="K61" s="14" t="s">
        <v>13</v>
      </c>
      <c r="L61" s="14" t="s">
        <v>14</v>
      </c>
      <c r="M61" s="14" t="s">
        <v>15</v>
      </c>
      <c r="N61" s="14" t="s">
        <v>16</v>
      </c>
      <c r="O61" s="14" t="s">
        <v>17</v>
      </c>
      <c r="P61" s="14" t="s">
        <v>18</v>
      </c>
      <c r="Q61" s="14" t="s">
        <v>19</v>
      </c>
      <c r="R61" s="14" t="s">
        <v>20</v>
      </c>
      <c r="S61" s="14" t="s">
        <v>21</v>
      </c>
      <c r="T61" s="14" t="s">
        <v>22</v>
      </c>
      <c r="U61" s="14" t="s">
        <v>23</v>
      </c>
      <c r="V61" s="14" t="s">
        <v>24</v>
      </c>
      <c r="W61" s="14" t="s">
        <v>25</v>
      </c>
      <c r="X61" s="14" t="s">
        <v>26</v>
      </c>
      <c r="Y61" s="14" t="s">
        <v>27</v>
      </c>
      <c r="Z61" s="14" t="s">
        <v>28</v>
      </c>
      <c r="AA61" s="14" t="s">
        <v>29</v>
      </c>
      <c r="AB61" s="14" t="s">
        <v>30</v>
      </c>
      <c r="AC61" s="14" t="s">
        <v>31</v>
      </c>
      <c r="AD61" s="14" t="s">
        <v>32</v>
      </c>
      <c r="AE61" s="14" t="s">
        <v>33</v>
      </c>
      <c r="AF61" s="14" t="s">
        <v>34</v>
      </c>
      <c r="AG61" s="14" t="s">
        <v>35</v>
      </c>
      <c r="AH61" s="14" t="s">
        <v>36</v>
      </c>
      <c r="AI61" s="14" t="s">
        <v>37</v>
      </c>
      <c r="AJ61" s="14" t="s">
        <v>38</v>
      </c>
      <c r="AK61" s="15"/>
    </row>
    <row r="62" ht="12.75" customHeight="1" spans="2:37" x14ac:dyDescent="0.25">
      <c r="B62" s="16" t="s">
        <v>41</v>
      </c>
      <c r="C62" s="17"/>
      <c r="D62" s="17"/>
      <c r="E62" s="18">
        <f>E24</f>
      </c>
      <c r="F62" s="18">
        <f>F24</f>
      </c>
      <c r="G62" s="18">
        <f>G24</f>
      </c>
      <c r="H62" s="18">
        <f>H24</f>
      </c>
      <c r="I62" s="18">
        <f>I24</f>
      </c>
      <c r="J62" s="18">
        <f>J24</f>
      </c>
      <c r="K62" s="18">
        <f>K24</f>
      </c>
      <c r="L62" s="18">
        <f>L24</f>
      </c>
      <c r="M62" s="18">
        <f>M24</f>
      </c>
      <c r="N62" s="18">
        <f>N24</f>
      </c>
      <c r="O62" s="18">
        <f>O24</f>
      </c>
      <c r="P62" s="18">
        <f>P24</f>
      </c>
      <c r="Q62" s="18">
        <f>Q24</f>
      </c>
      <c r="R62" s="18">
        <f>R24</f>
      </c>
      <c r="S62" s="18">
        <f>S24</f>
      </c>
      <c r="T62" s="18">
        <f>T24</f>
      </c>
      <c r="U62" s="18">
        <f>U24</f>
      </c>
      <c r="V62" s="18">
        <f>V24</f>
      </c>
      <c r="W62" s="18">
        <f>W24</f>
      </c>
      <c r="X62" s="18">
        <f>X24</f>
      </c>
      <c r="Y62" s="18">
        <f>Y24</f>
      </c>
      <c r="Z62" s="18">
        <f>Z24</f>
      </c>
      <c r="AA62" s="18">
        <f>AA24</f>
      </c>
      <c r="AB62" s="18">
        <f>AB24</f>
      </c>
      <c r="AC62" s="18">
        <f>AC24</f>
      </c>
      <c r="AD62" s="18">
        <f>AD24</f>
      </c>
      <c r="AE62" s="18">
        <f>AE24</f>
      </c>
      <c r="AF62" s="18">
        <f>AF24</f>
      </c>
      <c r="AG62" s="18">
        <f>AG24</f>
      </c>
      <c r="AH62" s="18">
        <f>AH24</f>
      </c>
      <c r="AI62" s="18">
        <f>AI24</f>
      </c>
      <c r="AJ62" s="18">
        <f>AJ24</f>
      </c>
      <c r="AK62" s="19"/>
    </row>
    <row r="63" ht="12.75" customHeight="1" spans="2:37" x14ac:dyDescent="0.25">
      <c r="B63" s="16" t="s">
        <v>42</v>
      </c>
      <c r="C63" s="17"/>
      <c r="D63" s="17"/>
      <c r="E63" s="18">
        <f>E47</f>
      </c>
      <c r="F63" s="18">
        <f>F47</f>
      </c>
      <c r="G63" s="18">
        <f>G47</f>
      </c>
      <c r="H63" s="18">
        <f>H47</f>
      </c>
      <c r="I63" s="18">
        <f>I47</f>
      </c>
      <c r="J63" s="18">
        <f>J47</f>
      </c>
      <c r="K63" s="18">
        <f>K47</f>
      </c>
      <c r="L63" s="18">
        <f>L47</f>
      </c>
      <c r="M63" s="18">
        <f>M47</f>
      </c>
      <c r="N63" s="18">
        <f>N47</f>
      </c>
      <c r="O63" s="18">
        <f>O47</f>
      </c>
      <c r="P63" s="18">
        <f>P47</f>
      </c>
      <c r="Q63" s="18">
        <f>Q47</f>
      </c>
      <c r="R63" s="18">
        <f>R47</f>
      </c>
      <c r="S63" s="18">
        <f>S47</f>
      </c>
      <c r="T63" s="18">
        <f>T47</f>
      </c>
      <c r="U63" s="18">
        <f>U47</f>
      </c>
      <c r="V63" s="18">
        <f>V47</f>
      </c>
      <c r="W63" s="18">
        <f>W47</f>
      </c>
      <c r="X63" s="18">
        <f>X47</f>
      </c>
      <c r="Y63" s="18">
        <f>Y47</f>
      </c>
      <c r="Z63" s="18">
        <f>Z47</f>
      </c>
      <c r="AA63" s="18">
        <f>AA47</f>
      </c>
      <c r="AB63" s="18">
        <f>AB47</f>
      </c>
      <c r="AC63" s="18">
        <f>AC47</f>
      </c>
      <c r="AD63" s="18">
        <f>AD47</f>
      </c>
      <c r="AE63" s="18">
        <f>AE47</f>
      </c>
      <c r="AF63" s="18">
        <f>AF47</f>
      </c>
      <c r="AG63" s="18">
        <f>AG47</f>
      </c>
      <c r="AH63" s="18">
        <f>AH47</f>
      </c>
      <c r="AI63" s="18">
        <f>AI47</f>
      </c>
      <c r="AJ63" s="18">
        <f>AJ47</f>
      </c>
      <c r="AK63" s="19"/>
    </row>
    <row r="64" ht="12.75" customHeight="1" spans="2:37" x14ac:dyDescent="0.25">
      <c r="B64" s="16" t="s">
        <v>43</v>
      </c>
      <c r="C64" s="17"/>
      <c r="D64" s="17"/>
      <c r="E64" s="18">
        <f>E53</f>
      </c>
      <c r="F64" s="18">
        <f>F53</f>
      </c>
      <c r="G64" s="18">
        <f>G53</f>
      </c>
      <c r="H64" s="18">
        <f>H53</f>
      </c>
      <c r="I64" s="18">
        <f>I53</f>
      </c>
      <c r="J64" s="18">
        <f>J53</f>
      </c>
      <c r="K64" s="18">
        <f>K53</f>
      </c>
      <c r="L64" s="18">
        <f>L53</f>
      </c>
      <c r="M64" s="18">
        <f>M53</f>
      </c>
      <c r="N64" s="18">
        <f>N53</f>
      </c>
      <c r="O64" s="18">
        <f>O53</f>
      </c>
      <c r="P64" s="18">
        <f>P53</f>
      </c>
      <c r="Q64" s="18">
        <f>Q53</f>
      </c>
      <c r="R64" s="18">
        <f>R53</f>
      </c>
      <c r="S64" s="18">
        <f>S53</f>
      </c>
      <c r="T64" s="18">
        <f>T53</f>
      </c>
      <c r="U64" s="18">
        <f>U53</f>
      </c>
      <c r="V64" s="18">
        <f>V53</f>
      </c>
      <c r="W64" s="18">
        <f>W53</f>
      </c>
      <c r="X64" s="18">
        <f>X53</f>
      </c>
      <c r="Y64" s="18">
        <f>Y53</f>
      </c>
      <c r="Z64" s="18">
        <f>Z53</f>
      </c>
      <c r="AA64" s="18">
        <f>AA53</f>
      </c>
      <c r="AB64" s="18">
        <f>AB53</f>
      </c>
      <c r="AC64" s="18">
        <f>AC53</f>
      </c>
      <c r="AD64" s="18">
        <f>AD53</f>
      </c>
      <c r="AE64" s="18">
        <f>AE53</f>
      </c>
      <c r="AF64" s="18">
        <f>AF53</f>
      </c>
      <c r="AG64" s="18">
        <f>AG53</f>
      </c>
      <c r="AH64" s="18">
        <f>AH53</f>
      </c>
      <c r="AI64" s="18">
        <f>AI53</f>
      </c>
      <c r="AJ64" s="18">
        <f>AJ53</f>
      </c>
      <c r="AK64" s="19"/>
    </row>
    <row r="65" ht="12.75" customHeight="1" spans="2:37" x14ac:dyDescent="0.25">
      <c r="B65" s="16" t="s">
        <v>44</v>
      </c>
      <c r="C65" s="17"/>
      <c r="D65" s="17"/>
      <c r="E65" s="18">
        <f>E58</f>
      </c>
      <c r="F65" s="18">
        <f>F58</f>
      </c>
      <c r="G65" s="18">
        <f>G58</f>
      </c>
      <c r="H65" s="18">
        <f>H58</f>
      </c>
      <c r="I65" s="18">
        <f>I58</f>
      </c>
      <c r="J65" s="18">
        <f>J58</f>
      </c>
      <c r="K65" s="18">
        <f>K58</f>
      </c>
      <c r="L65" s="18">
        <f>L58</f>
      </c>
      <c r="M65" s="18">
        <f>M58</f>
      </c>
      <c r="N65" s="18">
        <f>N58</f>
      </c>
      <c r="O65" s="18">
        <f>O58</f>
      </c>
      <c r="P65" s="18">
        <f>P58</f>
      </c>
      <c r="Q65" s="18">
        <f>Q58</f>
      </c>
      <c r="R65" s="18">
        <f>R58</f>
      </c>
      <c r="S65" s="18">
        <f>S58</f>
      </c>
      <c r="T65" s="18">
        <f>T58</f>
      </c>
      <c r="U65" s="18">
        <f>U58</f>
      </c>
      <c r="V65" s="18">
        <f>V58</f>
      </c>
      <c r="W65" s="18">
        <f>W58</f>
      </c>
      <c r="X65" s="18">
        <f>X58</f>
      </c>
      <c r="Y65" s="18">
        <f>Y58</f>
      </c>
      <c r="Z65" s="18">
        <f>Z58</f>
      </c>
      <c r="AA65" s="18">
        <f>AA58</f>
      </c>
      <c r="AB65" s="18">
        <f>AB58</f>
      </c>
      <c r="AC65" s="18">
        <f>AC58</f>
      </c>
      <c r="AD65" s="18">
        <f>AD58</f>
      </c>
      <c r="AE65" s="18">
        <f>AE58</f>
      </c>
      <c r="AF65" s="18">
        <f>AF58</f>
      </c>
      <c r="AG65" s="18">
        <f>AG58</f>
      </c>
      <c r="AH65" s="18">
        <f>AH58</f>
      </c>
      <c r="AI65" s="18">
        <f>AI58</f>
      </c>
      <c r="AJ65" s="18">
        <f>AJ58</f>
      </c>
      <c r="AK65" s="19"/>
    </row>
    <row r="66" ht="12.75" customHeight="1" spans="2:37" x14ac:dyDescent="0.25">
      <c r="B66" s="20" t="s">
        <v>45</v>
      </c>
      <c r="C66" s="21"/>
      <c r="D66" s="21"/>
      <c r="E66" s="22">
        <f>E62+E63+E64+E65</f>
      </c>
      <c r="F66" s="22">
        <f>F62+F63+F64+F65</f>
      </c>
      <c r="G66" s="22">
        <f>G62+G63+G64+G65</f>
      </c>
      <c r="H66" s="22">
        <f>H62+H63+H64+H65</f>
      </c>
      <c r="I66" s="22">
        <f>I62+I63+I64+I65</f>
      </c>
      <c r="J66" s="22">
        <f>J62+J63+J64+J65</f>
      </c>
      <c r="K66" s="22">
        <f>K62+K63+K64+K65</f>
      </c>
      <c r="L66" s="22">
        <f>L62+L63+L64+L65</f>
      </c>
      <c r="M66" s="22">
        <f>M62+M63+M64+M65</f>
      </c>
      <c r="N66" s="22">
        <f>N62+N63+N64+N65</f>
      </c>
      <c r="O66" s="22">
        <f>O62+O63+O64+O65</f>
      </c>
      <c r="P66" s="22">
        <f>P62+P63+P64+P65</f>
      </c>
      <c r="Q66" s="22">
        <f>Q62+Q63+Q64+Q65</f>
      </c>
      <c r="R66" s="22">
        <f>R62+R63+R64+R65</f>
      </c>
      <c r="S66" s="22">
        <f>S62+S63+S64+S65</f>
      </c>
      <c r="T66" s="22">
        <f>T62+T63+T64+T65</f>
      </c>
      <c r="U66" s="22">
        <f>U62+U63+U64+U65</f>
      </c>
      <c r="V66" s="22">
        <f>V62+V63+V64+V65</f>
      </c>
      <c r="W66" s="22">
        <f>W62+W63+W64+W65</f>
      </c>
      <c r="X66" s="22">
        <f>X62+X63+X64+X65</f>
      </c>
      <c r="Y66" s="22">
        <f>Y62+Y63+Y64+Y65</f>
      </c>
      <c r="Z66" s="22">
        <f>Z62+Z63+Z64+Z65</f>
      </c>
      <c r="AA66" s="22">
        <f>AA62+AA63+AA64+AA65</f>
      </c>
      <c r="AB66" s="22">
        <f>AB62+AB63+AB64+AB65</f>
      </c>
      <c r="AC66" s="22">
        <f>AC62+AC63+AC64+AC65</f>
      </c>
      <c r="AD66" s="22">
        <f>AD62+AD63+AD64+AD65</f>
      </c>
      <c r="AE66" s="22">
        <f>AE62+AE63+AE64+AE65</f>
      </c>
      <c r="AF66" s="22">
        <f>AF62+AF63+AF64+AF65</f>
      </c>
      <c r="AG66" s="22">
        <f>AG62+AG63+AG64+AG65</f>
      </c>
      <c r="AH66" s="22">
        <f>AH62+AH63+AH64+AH65</f>
      </c>
      <c r="AI66" s="22">
        <f>AI62+AI63+AI64+AI65</f>
      </c>
      <c r="AJ66" s="22">
        <f>AJ62+AJ63+AJ64+AJ65</f>
      </c>
      <c r="AK66" s="23"/>
    </row>
    <row r="68" ht="12.75" customHeight="1" spans="2:37" x14ac:dyDescent="0.25">
      <c r="B68" s="11" t="s">
        <v>46</v>
      </c>
      <c r="C68" s="12"/>
      <c r="D68" s="13"/>
      <c r="E68" s="14" t="s">
        <v>7</v>
      </c>
      <c r="F68" s="14" t="s">
        <v>8</v>
      </c>
      <c r="G68" s="14" t="s">
        <v>9</v>
      </c>
      <c r="H68" s="14" t="s">
        <v>10</v>
      </c>
      <c r="I68" s="14" t="s">
        <v>11</v>
      </c>
      <c r="J68" s="14" t="s">
        <v>12</v>
      </c>
      <c r="K68" s="14" t="s">
        <v>13</v>
      </c>
      <c r="L68" s="14" t="s">
        <v>14</v>
      </c>
      <c r="M68" s="14" t="s">
        <v>15</v>
      </c>
      <c r="N68" s="14" t="s">
        <v>16</v>
      </c>
      <c r="O68" s="14" t="s">
        <v>17</v>
      </c>
      <c r="P68" s="14" t="s">
        <v>18</v>
      </c>
      <c r="Q68" s="14" t="s">
        <v>19</v>
      </c>
      <c r="R68" s="14" t="s">
        <v>20</v>
      </c>
      <c r="S68" s="14" t="s">
        <v>21</v>
      </c>
      <c r="T68" s="14" t="s">
        <v>22</v>
      </c>
      <c r="U68" s="14" t="s">
        <v>23</v>
      </c>
      <c r="V68" s="14" t="s">
        <v>24</v>
      </c>
      <c r="W68" s="14" t="s">
        <v>25</v>
      </c>
      <c r="X68" s="14" t="s">
        <v>26</v>
      </c>
      <c r="Y68" s="14" t="s">
        <v>27</v>
      </c>
      <c r="Z68" s="14" t="s">
        <v>28</v>
      </c>
      <c r="AA68" s="14" t="s">
        <v>29</v>
      </c>
      <c r="AB68" s="14" t="s">
        <v>30</v>
      </c>
      <c r="AC68" s="14" t="s">
        <v>31</v>
      </c>
      <c r="AD68" s="14" t="s">
        <v>32</v>
      </c>
      <c r="AE68" s="14" t="s">
        <v>33</v>
      </c>
      <c r="AF68" s="14" t="s">
        <v>34</v>
      </c>
      <c r="AG68" s="14" t="s">
        <v>35</v>
      </c>
      <c r="AH68" s="14" t="s">
        <v>36</v>
      </c>
      <c r="AI68" s="14" t="s">
        <v>37</v>
      </c>
      <c r="AJ68" s="14" t="s">
        <v>38</v>
      </c>
      <c r="AK68" s="15"/>
    </row>
    <row r="69" ht="12.75" customHeight="1" spans="2:37" x14ac:dyDescent="0.25">
      <c r="B69" s="16" t="s">
        <v>41</v>
      </c>
      <c r="C69" s="17"/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9"/>
    </row>
    <row r="70" ht="12.75" customHeight="1" spans="2:37" x14ac:dyDescent="0.25">
      <c r="B70" s="16" t="s">
        <v>42</v>
      </c>
      <c r="C70" s="17"/>
      <c r="D70" s="1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9"/>
    </row>
    <row r="71" ht="12.75" customHeight="1" spans="2:37" x14ac:dyDescent="0.25">
      <c r="B71" s="16" t="s">
        <v>43</v>
      </c>
      <c r="C71" s="17"/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9"/>
    </row>
    <row r="72" ht="12.75" customHeight="1" spans="2:37" x14ac:dyDescent="0.25">
      <c r="B72" s="16" t="s">
        <v>44</v>
      </c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9"/>
    </row>
    <row r="73" ht="12.75" customHeight="1" spans="2:37" x14ac:dyDescent="0.25">
      <c r="B73" s="20" t="s">
        <v>45</v>
      </c>
      <c r="C73" s="21"/>
      <c r="D73" s="21"/>
      <c r="E73" s="22">
        <f>E69+E70+E71+E72</f>
      </c>
      <c r="F73" s="22">
        <f>F69+F70+F71+F72</f>
      </c>
      <c r="G73" s="22">
        <f>G69+G70+G71+G72</f>
      </c>
      <c r="H73" s="22">
        <f>H69+H70+H71+H72</f>
      </c>
      <c r="I73" s="22">
        <f>I69+I70+I71+I72</f>
      </c>
      <c r="J73" s="22">
        <f>J69+J70+J71+J72</f>
      </c>
      <c r="K73" s="22">
        <f>K69+K70+K71+K72</f>
      </c>
      <c r="L73" s="22">
        <f>L69+L70+L71+L72</f>
      </c>
      <c r="M73" s="22">
        <f>M69+M70+M71+M72</f>
      </c>
      <c r="N73" s="22">
        <f>N69+N70+N71+N72</f>
      </c>
      <c r="O73" s="22">
        <f>O69+O70+O71+O72</f>
      </c>
      <c r="P73" s="22">
        <f>P69+P70+P71+P72</f>
      </c>
      <c r="Q73" s="22">
        <f>Q69+Q70+Q71+Q72</f>
      </c>
      <c r="R73" s="22">
        <f>R69+R70+R71+R72</f>
      </c>
      <c r="S73" s="22">
        <f>S69+S70+S71+S72</f>
      </c>
      <c r="T73" s="22">
        <f>T69+T70+T71+T72</f>
      </c>
      <c r="U73" s="22">
        <f>U69+U70+U71+U72</f>
      </c>
      <c r="V73" s="22">
        <f>V69+V70+V71+V72</f>
      </c>
      <c r="W73" s="22">
        <f>W69+W70+W71+W72</f>
      </c>
      <c r="X73" s="22">
        <f>X69+X70+X71+X72</f>
      </c>
      <c r="Y73" s="22">
        <f>Y69+Y70+Y71+Y72</f>
      </c>
      <c r="Z73" s="22">
        <f>Z69+Z70+Z71+Z72</f>
      </c>
      <c r="AA73" s="22">
        <f>AA69+AA70+AA71+AA72</f>
      </c>
      <c r="AB73" s="22">
        <f>AB69+AB70+AB71+AB72</f>
      </c>
      <c r="AC73" s="22">
        <f>AC69+AC70+AC71+AC72</f>
      </c>
      <c r="AD73" s="22">
        <f>AD69+AD70+AD71+AD72</f>
      </c>
      <c r="AE73" s="22">
        <f>AE69+AE70+AE71+AE72</f>
      </c>
      <c r="AF73" s="22">
        <f>AF69+AF70+AF71+AF72</f>
      </c>
      <c r="AG73" s="22">
        <f>AG69+AG70+AG71+AG72</f>
      </c>
      <c r="AH73" s="22">
        <f>AH69+AH70+AH71+AH72</f>
      </c>
      <c r="AI73" s="22">
        <f>AI69+AI70+AI71+AI72</f>
      </c>
      <c r="AJ73" s="22">
        <f>AJ69+AJ70+AJ71+AJ72</f>
      </c>
      <c r="AK73" s="23"/>
    </row>
    <row r="75" ht="12.75" customHeight="1" spans="2:37" x14ac:dyDescent="0.25">
      <c r="B75" s="11" t="s">
        <v>47</v>
      </c>
      <c r="C75" s="12"/>
      <c r="D75" s="13"/>
      <c r="E75" s="14" t="s">
        <v>7</v>
      </c>
      <c r="F75" s="14" t="s">
        <v>8</v>
      </c>
      <c r="G75" s="14" t="s">
        <v>9</v>
      </c>
      <c r="H75" s="14" t="s">
        <v>10</v>
      </c>
      <c r="I75" s="14" t="s">
        <v>11</v>
      </c>
      <c r="J75" s="14" t="s">
        <v>12</v>
      </c>
      <c r="K75" s="14" t="s">
        <v>13</v>
      </c>
      <c r="L75" s="14" t="s">
        <v>14</v>
      </c>
      <c r="M75" s="14" t="s">
        <v>15</v>
      </c>
      <c r="N75" s="14" t="s">
        <v>16</v>
      </c>
      <c r="O75" s="14" t="s">
        <v>17</v>
      </c>
      <c r="P75" s="14" t="s">
        <v>18</v>
      </c>
      <c r="Q75" s="14" t="s">
        <v>19</v>
      </c>
      <c r="R75" s="14" t="s">
        <v>20</v>
      </c>
      <c r="S75" s="14" t="s">
        <v>21</v>
      </c>
      <c r="T75" s="14" t="s">
        <v>22</v>
      </c>
      <c r="U75" s="14" t="s">
        <v>23</v>
      </c>
      <c r="V75" s="14" t="s">
        <v>24</v>
      </c>
      <c r="W75" s="14" t="s">
        <v>25</v>
      </c>
      <c r="X75" s="14" t="s">
        <v>26</v>
      </c>
      <c r="Y75" s="14" t="s">
        <v>27</v>
      </c>
      <c r="Z75" s="14" t="s">
        <v>28</v>
      </c>
      <c r="AA75" s="14" t="s">
        <v>29</v>
      </c>
      <c r="AB75" s="14" t="s">
        <v>30</v>
      </c>
      <c r="AC75" s="14" t="s">
        <v>31</v>
      </c>
      <c r="AD75" s="14" t="s">
        <v>32</v>
      </c>
      <c r="AE75" s="14" t="s">
        <v>33</v>
      </c>
      <c r="AF75" s="14" t="s">
        <v>34</v>
      </c>
      <c r="AG75" s="14" t="s">
        <v>35</v>
      </c>
      <c r="AH75" s="14" t="s">
        <v>36</v>
      </c>
      <c r="AI75" s="14" t="s">
        <v>37</v>
      </c>
      <c r="AJ75" s="14" t="s">
        <v>38</v>
      </c>
      <c r="AK75" s="15"/>
    </row>
    <row r="76" ht="12.75" customHeight="1" spans="2:37" x14ac:dyDescent="0.25">
      <c r="B76" s="16" t="s">
        <v>41</v>
      </c>
      <c r="C76" s="17"/>
      <c r="D76" s="17"/>
      <c r="E76" s="24">
        <f>E69-E62</f>
      </c>
      <c r="F76" s="24">
        <f>F69-F62</f>
      </c>
      <c r="G76" s="24">
        <f>G69-G62</f>
      </c>
      <c r="H76" s="24">
        <f>H69-H62</f>
      </c>
      <c r="I76" s="24">
        <f>I69-I62</f>
      </c>
      <c r="J76" s="24">
        <f>J69-J62</f>
      </c>
      <c r="K76" s="24">
        <f>K69-K62</f>
      </c>
      <c r="L76" s="24">
        <f>L69-L62</f>
      </c>
      <c r="M76" s="24">
        <f>M69-M62</f>
      </c>
      <c r="N76" s="24">
        <f>N69-N62</f>
      </c>
      <c r="O76" s="24">
        <f>O69-O62</f>
      </c>
      <c r="P76" s="24">
        <f>P69-P62</f>
      </c>
      <c r="Q76" s="24">
        <f>Q69-Q62</f>
      </c>
      <c r="R76" s="24">
        <f>R69-R62</f>
      </c>
      <c r="S76" s="24">
        <f>S69-S62</f>
      </c>
      <c r="T76" s="24">
        <f>T69-T62</f>
      </c>
      <c r="U76" s="24">
        <f>U69-U62</f>
      </c>
      <c r="V76" s="24">
        <f>V69-V62</f>
      </c>
      <c r="W76" s="24">
        <f>W69-W62</f>
      </c>
      <c r="X76" s="24">
        <f>X69-X62</f>
      </c>
      <c r="Y76" s="24">
        <f>Y69-Y62</f>
      </c>
      <c r="Z76" s="24">
        <f>Z69-Z62</f>
      </c>
      <c r="AA76" s="24">
        <f>AA69-AA62</f>
      </c>
      <c r="AB76" s="24">
        <f>AB69-AB62</f>
      </c>
      <c r="AC76" s="24">
        <f>AC69-AC62</f>
      </c>
      <c r="AD76" s="24">
        <f>AD69-AD62</f>
      </c>
      <c r="AE76" s="24">
        <f>AE69-AE62</f>
      </c>
      <c r="AF76" s="24">
        <f>AF69-AF62</f>
      </c>
      <c r="AG76" s="24">
        <f>AG69-AG62</f>
      </c>
      <c r="AH76" s="24">
        <f>AH69-AH62</f>
      </c>
      <c r="AI76" s="24">
        <f>AI69-AI62</f>
      </c>
      <c r="AJ76" s="24">
        <f>AJ69-AJ62</f>
      </c>
      <c r="AK76" s="19"/>
    </row>
    <row r="77" ht="12.75" customHeight="1" spans="2:37" x14ac:dyDescent="0.25">
      <c r="B77" s="16" t="s">
        <v>42</v>
      </c>
      <c r="C77" s="17"/>
      <c r="D77" s="17"/>
      <c r="E77" s="24">
        <f>E70-E63</f>
      </c>
      <c r="F77" s="24">
        <f>F70-F63</f>
      </c>
      <c r="G77" s="24">
        <f>G70-G63</f>
      </c>
      <c r="H77" s="24">
        <f>H70-H63</f>
      </c>
      <c r="I77" s="24">
        <f>I70-I63</f>
      </c>
      <c r="J77" s="24">
        <f>J70-J63</f>
      </c>
      <c r="K77" s="24">
        <f>K70-K63</f>
      </c>
      <c r="L77" s="24">
        <f>L70-L63</f>
      </c>
      <c r="M77" s="24">
        <f>M70-M63</f>
      </c>
      <c r="N77" s="24">
        <f>N70-N63</f>
      </c>
      <c r="O77" s="24">
        <f>O70-O63</f>
      </c>
      <c r="P77" s="24">
        <f>P70-P63</f>
      </c>
      <c r="Q77" s="24">
        <f>Q70-Q63</f>
      </c>
      <c r="R77" s="24">
        <f>R70-R63</f>
      </c>
      <c r="S77" s="24">
        <f>S70-S63</f>
      </c>
      <c r="T77" s="24">
        <f>T70-T63</f>
      </c>
      <c r="U77" s="24">
        <f>U70-U63</f>
      </c>
      <c r="V77" s="24">
        <f>V70-V63</f>
      </c>
      <c r="W77" s="24">
        <f>W70-W63</f>
      </c>
      <c r="X77" s="24">
        <f>X70-X63</f>
      </c>
      <c r="Y77" s="24">
        <f>Y70-Y63</f>
      </c>
      <c r="Z77" s="24">
        <f>Z70-Z63</f>
      </c>
      <c r="AA77" s="24">
        <f>AA70-AA63</f>
      </c>
      <c r="AB77" s="24">
        <f>AB70-AB63</f>
      </c>
      <c r="AC77" s="24">
        <f>AC70-AC63</f>
      </c>
      <c r="AD77" s="24">
        <f>AD70-AD63</f>
      </c>
      <c r="AE77" s="24">
        <f>AE70-AE63</f>
      </c>
      <c r="AF77" s="24">
        <f>AF70-AF63</f>
      </c>
      <c r="AG77" s="24">
        <f>AG70-AG63</f>
      </c>
      <c r="AH77" s="24">
        <f>AH70-AH63</f>
      </c>
      <c r="AI77" s="24">
        <f>AI70-AI63</f>
      </c>
      <c r="AJ77" s="24">
        <f>AJ70-AJ63</f>
      </c>
      <c r="AK77" s="19"/>
    </row>
    <row r="78" ht="12.75" customHeight="1" spans="2:37" x14ac:dyDescent="0.25">
      <c r="B78" s="16" t="s">
        <v>43</v>
      </c>
      <c r="C78" s="17"/>
      <c r="D78" s="17"/>
      <c r="E78" s="24">
        <f>E71-E64</f>
      </c>
      <c r="F78" s="24">
        <f>F71-F64</f>
      </c>
      <c r="G78" s="24">
        <f>G71-G64</f>
      </c>
      <c r="H78" s="24">
        <f>H71-H64</f>
      </c>
      <c r="I78" s="24">
        <f>I71-I64</f>
      </c>
      <c r="J78" s="24">
        <f>J71-J64</f>
      </c>
      <c r="K78" s="24">
        <f>K71-K64</f>
      </c>
      <c r="L78" s="24">
        <f>L71-L64</f>
      </c>
      <c r="M78" s="24">
        <f>M71-M64</f>
      </c>
      <c r="N78" s="24">
        <f>N71-N64</f>
      </c>
      <c r="O78" s="24">
        <f>O71-O64</f>
      </c>
      <c r="P78" s="24">
        <f>P71-P64</f>
      </c>
      <c r="Q78" s="24">
        <f>Q71-Q64</f>
      </c>
      <c r="R78" s="24">
        <f>R71-R64</f>
      </c>
      <c r="S78" s="24">
        <f>S71-S64</f>
      </c>
      <c r="T78" s="24">
        <f>T71-T64</f>
      </c>
      <c r="U78" s="24">
        <f>U71-U64</f>
      </c>
      <c r="V78" s="24">
        <f>V71-V64</f>
      </c>
      <c r="W78" s="24">
        <f>W71-W64</f>
      </c>
      <c r="X78" s="24">
        <f>X71-X64</f>
      </c>
      <c r="Y78" s="24">
        <f>Y71-Y64</f>
      </c>
      <c r="Z78" s="24">
        <f>Z71-Z64</f>
      </c>
      <c r="AA78" s="24">
        <f>AA71-AA64</f>
      </c>
      <c r="AB78" s="24">
        <f>AB71-AB64</f>
      </c>
      <c r="AC78" s="24">
        <f>AC71-AC64</f>
      </c>
      <c r="AD78" s="24">
        <f>AD71-AD64</f>
      </c>
      <c r="AE78" s="24">
        <f>AE71-AE64</f>
      </c>
      <c r="AF78" s="24">
        <f>AF71-AF64</f>
      </c>
      <c r="AG78" s="24">
        <f>AG71-AG64</f>
      </c>
      <c r="AH78" s="24">
        <f>AH71-AH64</f>
      </c>
      <c r="AI78" s="24">
        <f>AI71-AI64</f>
      </c>
      <c r="AJ78" s="24">
        <f>AJ71-AJ64</f>
      </c>
      <c r="AK78" s="19"/>
    </row>
    <row r="79" ht="12.75" customHeight="1" spans="2:37" x14ac:dyDescent="0.25">
      <c r="B79" s="16" t="s">
        <v>44</v>
      </c>
      <c r="C79" s="17"/>
      <c r="D79" s="17"/>
      <c r="E79" s="24">
        <f>E72-E65</f>
      </c>
      <c r="F79" s="24">
        <f>F72-F65</f>
      </c>
      <c r="G79" s="24">
        <f>G72-G65</f>
      </c>
      <c r="H79" s="24">
        <f>H72-H65</f>
      </c>
      <c r="I79" s="24">
        <f>I72-I65</f>
      </c>
      <c r="J79" s="24">
        <f>J72-J65</f>
      </c>
      <c r="K79" s="24">
        <f>K72-K65</f>
      </c>
      <c r="L79" s="24">
        <f>L72-L65</f>
      </c>
      <c r="M79" s="24">
        <f>M72-M65</f>
      </c>
      <c r="N79" s="24">
        <f>N72-N65</f>
      </c>
      <c r="O79" s="24">
        <f>O72-O65</f>
      </c>
      <c r="P79" s="24">
        <f>P72-P65</f>
      </c>
      <c r="Q79" s="24">
        <f>Q72-Q65</f>
      </c>
      <c r="R79" s="24">
        <f>R72-R65</f>
      </c>
      <c r="S79" s="24">
        <f>S72-S65</f>
      </c>
      <c r="T79" s="24">
        <f>T72-T65</f>
      </c>
      <c r="U79" s="24">
        <f>U72-U65</f>
      </c>
      <c r="V79" s="24">
        <f>V72-V65</f>
      </c>
      <c r="W79" s="24">
        <f>W72-W65</f>
      </c>
      <c r="X79" s="24">
        <f>X72-X65</f>
      </c>
      <c r="Y79" s="24">
        <f>Y72-Y65</f>
      </c>
      <c r="Z79" s="24">
        <f>Z72-Z65</f>
      </c>
      <c r="AA79" s="24">
        <f>AA72-AA65</f>
      </c>
      <c r="AB79" s="24">
        <f>AB72-AB65</f>
      </c>
      <c r="AC79" s="24">
        <f>AC72-AC65</f>
      </c>
      <c r="AD79" s="24">
        <f>AD72-AD65</f>
      </c>
      <c r="AE79" s="24">
        <f>AE72-AE65</f>
      </c>
      <c r="AF79" s="24">
        <f>AF72-AF65</f>
      </c>
      <c r="AG79" s="24">
        <f>AG72-AG65</f>
      </c>
      <c r="AH79" s="24">
        <f>AH72-AH65</f>
      </c>
      <c r="AI79" s="24">
        <f>AI72-AI65</f>
      </c>
      <c r="AJ79" s="24">
        <f>AJ72-AJ65</f>
      </c>
      <c r="AK79" s="19"/>
    </row>
    <row r="80" ht="12.75" customHeight="1" spans="2:37" x14ac:dyDescent="0.25">
      <c r="B80" s="20" t="s">
        <v>45</v>
      </c>
      <c r="C80" s="21"/>
      <c r="D80" s="21"/>
      <c r="E80" s="25">
        <f>E76+E77+E78+E79</f>
      </c>
      <c r="F80" s="25">
        <f>F76+F77+F78+F79</f>
      </c>
      <c r="G80" s="25">
        <f>G76+G77+G78+G79</f>
      </c>
      <c r="H80" s="25">
        <f>H76+H77+H78+H79</f>
      </c>
      <c r="I80" s="25">
        <f>I76+I77+I78+I79</f>
      </c>
      <c r="J80" s="25">
        <f>J76+J77+J78+J79</f>
      </c>
      <c r="K80" s="25">
        <f>K76+K77+K78+K79</f>
      </c>
      <c r="L80" s="25">
        <f>L76+L77+L78+L79</f>
      </c>
      <c r="M80" s="25">
        <f>M76+M77+M78+M79</f>
      </c>
      <c r="N80" s="25">
        <f>N76+N77+N78+N79</f>
      </c>
      <c r="O80" s="25">
        <f>O76+O77+O78+O79</f>
      </c>
      <c r="P80" s="25">
        <f>P76+P77+P78+P79</f>
      </c>
      <c r="Q80" s="25">
        <f>Q76+Q77+Q78+Q79</f>
      </c>
      <c r="R80" s="25">
        <f>R76+R77+R78+R79</f>
      </c>
      <c r="S80" s="25">
        <f>S76+S77+S78+S79</f>
      </c>
      <c r="T80" s="25">
        <f>T76+T77+T78+T79</f>
      </c>
      <c r="U80" s="25">
        <f>U76+U77+U78+U79</f>
      </c>
      <c r="V80" s="25">
        <f>V76+V77+V78+V79</f>
      </c>
      <c r="W80" s="25">
        <f>W76+W77+W78+W79</f>
      </c>
      <c r="X80" s="25">
        <f>X76+X77+X78+X79</f>
      </c>
      <c r="Y80" s="25">
        <f>Y76+Y77+Y78+Y79</f>
      </c>
      <c r="Z80" s="25">
        <f>Z76+Z77+Z78+Z79</f>
      </c>
      <c r="AA80" s="25">
        <f>AA76+AA77+AA78+AA79</f>
      </c>
      <c r="AB80" s="25">
        <f>AB76+AB77+AB78+AB79</f>
      </c>
      <c r="AC80" s="25">
        <f>AC76+AC77+AC78+AC79</f>
      </c>
      <c r="AD80" s="25">
        <f>AD76+AD77+AD78+AD79</f>
      </c>
      <c r="AE80" s="25">
        <f>AE76+AE77+AE78+AE79</f>
      </c>
      <c r="AF80" s="25">
        <f>AF76+AF77+AF78+AF79</f>
      </c>
      <c r="AG80" s="25">
        <f>AG76+AG77+AG78+AG79</f>
      </c>
      <c r="AH80" s="25">
        <f>AH76+AH77+AH78+AH79</f>
      </c>
      <c r="AI80" s="25">
        <f>AI76+AI77+AI78+AI79</f>
      </c>
      <c r="AJ80" s="25">
        <f>AJ76+AJ77+AJ78+AJ79</f>
      </c>
      <c r="AK80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48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94</v>
      </c>
      <c r="W8" s="44" t="s">
        <v>95</v>
      </c>
      <c r="X8" s="44" t="s">
        <v>96</v>
      </c>
      <c r="Y8" s="44" t="s">
        <v>97</v>
      </c>
      <c r="Z8" s="44" t="s">
        <v>98</v>
      </c>
      <c r="AA8" s="44" t="s">
        <v>99</v>
      </c>
      <c r="AB8" s="44" t="s">
        <v>100</v>
      </c>
      <c r="AC8" s="44" t="s">
        <v>101</v>
      </c>
      <c r="AD8" s="44" t="s">
        <v>102</v>
      </c>
      <c r="AE8" s="44" t="s">
        <v>103</v>
      </c>
      <c r="AF8" s="44" t="s">
        <v>104</v>
      </c>
      <c r="AG8" s="44" t="s">
        <v>105</v>
      </c>
      <c r="AH8" s="44" t="s">
        <v>106</v>
      </c>
      <c r="AI8" s="44" t="s">
        <v>107</v>
      </c>
      <c r="AJ8" s="44" t="s">
        <v>108</v>
      </c>
      <c r="AK8" s="44" t="s">
        <v>109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48</v>
      </c>
      <c r="D10" s="50" t="s">
        <v>41</v>
      </c>
      <c r="E10" s="32" t="s">
        <v>49</v>
      </c>
      <c r="F10" s="32" t="s">
        <v>50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>
        <v>1373.75</v>
      </c>
      <c r="W10" s="33">
        <v>1443.51</v>
      </c>
      <c r="X10" s="33">
        <v>943.78</v>
      </c>
      <c r="Y10" s="33">
        <v>837.77</v>
      </c>
      <c r="Z10" s="33">
        <v>621.15</v>
      </c>
      <c r="AA10" s="33">
        <v>364.98</v>
      </c>
      <c r="AB10" s="33">
        <v>109.36</v>
      </c>
      <c r="AC10" s="33">
        <v>91.25</v>
      </c>
      <c r="AD10" s="33">
        <v>104.48</v>
      </c>
      <c r="AE10" s="33">
        <v>170.6</v>
      </c>
      <c r="AF10" s="33">
        <v>567.42</v>
      </c>
      <c r="AG10" s="33">
        <v>962.69</v>
      </c>
      <c r="AH10" s="33">
        <v>1295.88</v>
      </c>
      <c r="AI10" s="33">
        <v>1283.81</v>
      </c>
      <c r="AJ10" s="33">
        <v>1027.71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48</v>
      </c>
      <c r="D11" s="50" t="s">
        <v>41</v>
      </c>
      <c r="E11" s="32" t="s">
        <v>49</v>
      </c>
      <c r="F11" s="32" t="s">
        <v>51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>
        <v>3781.12</v>
      </c>
      <c r="W11" s="33">
        <v>3885.67</v>
      </c>
      <c r="X11" s="33">
        <v>2358.9</v>
      </c>
      <c r="Y11" s="33">
        <v>1941.12</v>
      </c>
      <c r="Z11" s="33">
        <v>730.29</v>
      </c>
      <c r="AA11" s="33">
        <v>745.07</v>
      </c>
      <c r="AB11" s="33">
        <v>184.62</v>
      </c>
      <c r="AC11" s="33">
        <v>160.23</v>
      </c>
      <c r="AD11" s="33">
        <v>170.13</v>
      </c>
      <c r="AE11" s="33">
        <v>283.19</v>
      </c>
      <c r="AF11" s="33">
        <v>1182.84</v>
      </c>
      <c r="AG11" s="33">
        <v>2374.86</v>
      </c>
      <c r="AH11" s="33">
        <v>3143.83</v>
      </c>
      <c r="AI11" s="33">
        <v>3194.89</v>
      </c>
      <c r="AJ11" s="33">
        <v>2513.06</v>
      </c>
      <c r="AK11" s="32"/>
      <c r="AL11" s="34">
        <f>SUM(G11:AK11)</f>
      </c>
      <c r="AM11" s="35"/>
    </row>
    <row r="12" ht="13.5" customHeight="1" spans="2:39" x14ac:dyDescent="0.25">
      <c r="B12" s="48" t="s">
        <v>3</v>
      </c>
      <c r="C12" s="49" t="s">
        <v>48</v>
      </c>
      <c r="D12" s="50" t="s">
        <v>41</v>
      </c>
      <c r="E12" s="32" t="s">
        <v>49</v>
      </c>
      <c r="F12" s="32" t="s">
        <v>52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>
        <v>129.48</v>
      </c>
      <c r="W12" s="33">
        <v>129.89</v>
      </c>
      <c r="X12" s="33">
        <v>118.33</v>
      </c>
      <c r="Y12" s="33">
        <v>118.27</v>
      </c>
      <c r="Z12" s="33">
        <v>121.8</v>
      </c>
      <c r="AA12" s="33">
        <v>101.86</v>
      </c>
      <c r="AB12" s="33">
        <v>100.29</v>
      </c>
      <c r="AC12" s="33">
        <v>104.89</v>
      </c>
      <c r="AD12" s="33">
        <v>97.16</v>
      </c>
      <c r="AE12" s="33">
        <v>106.14</v>
      </c>
      <c r="AF12" s="33">
        <v>108.78</v>
      </c>
      <c r="AG12" s="33">
        <v>132.84</v>
      </c>
      <c r="AH12" s="33">
        <v>132.19</v>
      </c>
      <c r="AI12" s="32"/>
      <c r="AJ12" s="32"/>
      <c r="AK12" s="32"/>
      <c r="AL12" s="34">
        <f>SUM(G12:AK12)</f>
      </c>
      <c r="AM12" s="35"/>
    </row>
    <row r="13" ht="13.5" customHeight="1" spans="2:39" x14ac:dyDescent="0.25">
      <c r="B13" s="48" t="s">
        <v>3</v>
      </c>
      <c r="C13" s="49" t="s">
        <v>48</v>
      </c>
      <c r="D13" s="50" t="s">
        <v>41</v>
      </c>
      <c r="E13" s="32" t="s">
        <v>49</v>
      </c>
      <c r="F13" s="32" t="s">
        <v>53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>
        <v>55.19</v>
      </c>
      <c r="AA13" s="33">
        <v>22.54</v>
      </c>
      <c r="AB13" s="33">
        <v>10.06</v>
      </c>
      <c r="AC13" s="32"/>
      <c r="AD13" s="32"/>
      <c r="AE13" s="32"/>
      <c r="AF13" s="32"/>
      <c r="AG13" s="32"/>
      <c r="AH13" s="32"/>
      <c r="AI13" s="32"/>
      <c r="AJ13" s="32"/>
      <c r="AK13" s="32"/>
      <c r="AL13" s="34">
        <f>SUM(G13:AK13)</f>
      </c>
      <c r="AM13" s="35"/>
    </row>
    <row r="14" ht="13.5" customHeight="1" spans="2:39" x14ac:dyDescent="0.25">
      <c r="B14" s="48" t="s">
        <v>3</v>
      </c>
      <c r="C14" s="49" t="s">
        <v>48</v>
      </c>
      <c r="D14" s="50" t="s">
        <v>41</v>
      </c>
      <c r="E14" s="32" t="s">
        <v>49</v>
      </c>
      <c r="F14" s="32" t="s">
        <v>54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3">
        <v>12.11</v>
      </c>
      <c r="W14" s="33">
        <v>0</v>
      </c>
      <c r="X14" s="33">
        <v>12.11</v>
      </c>
      <c r="Y14" s="33">
        <v>12.1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48</v>
      </c>
      <c r="D15" s="50" t="s">
        <v>41</v>
      </c>
      <c r="E15" s="32" t="s">
        <v>49</v>
      </c>
      <c r="F15" s="32" t="s">
        <v>55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v>12.11</v>
      </c>
      <c r="W15" s="33">
        <v>0</v>
      </c>
      <c r="X15" s="33">
        <v>12.11</v>
      </c>
      <c r="Y15" s="33">
        <v>12.1</v>
      </c>
      <c r="Z15" s="33">
        <v>12.1</v>
      </c>
      <c r="AA15" s="33">
        <v>12.1</v>
      </c>
      <c r="AB15" s="33">
        <v>12.1</v>
      </c>
      <c r="AC15" s="33">
        <v>12.11</v>
      </c>
      <c r="AD15" s="33">
        <v>12.11</v>
      </c>
      <c r="AE15" s="33">
        <v>12.11</v>
      </c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48</v>
      </c>
      <c r="D16" s="50" t="s">
        <v>41</v>
      </c>
      <c r="E16" s="32" t="s">
        <v>49</v>
      </c>
      <c r="F16" s="32" t="s">
        <v>56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69.01</v>
      </c>
      <c r="W16" s="33">
        <v>19.19</v>
      </c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48</v>
      </c>
      <c r="D17" s="50" t="s">
        <v>41</v>
      </c>
      <c r="E17" s="32" t="s">
        <v>49</v>
      </c>
      <c r="F17" s="32" t="s">
        <v>57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f>-75.47+133.38</f>
        <v>57.91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48</v>
      </c>
      <c r="D18" s="50" t="s">
        <v>41</v>
      </c>
      <c r="E18" s="32" t="s">
        <v>49</v>
      </c>
      <c r="F18" s="32" t="s">
        <v>58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60.06</v>
      </c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48</v>
      </c>
      <c r="D19" s="50" t="s">
        <v>41</v>
      </c>
      <c r="E19" s="32" t="s">
        <v>49</v>
      </c>
      <c r="F19" s="32" t="s">
        <v>59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>
        <v>51.6</v>
      </c>
      <c r="AA19" s="33">
        <v>12.1</v>
      </c>
      <c r="AB19" s="33">
        <v>12.1</v>
      </c>
      <c r="AC19" s="33">
        <v>12.11</v>
      </c>
      <c r="AD19" s="33">
        <v>12.11</v>
      </c>
      <c r="AE19" s="33">
        <v>12.11</v>
      </c>
      <c r="AF19" s="33">
        <v>8.37</v>
      </c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48</v>
      </c>
      <c r="D20" s="50" t="s">
        <v>41</v>
      </c>
      <c r="E20" s="32" t="s">
        <v>49</v>
      </c>
      <c r="F20" s="32" t="s">
        <v>60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>
        <v>55.09</v>
      </c>
      <c r="AA20" s="33">
        <v>5.58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48</v>
      </c>
      <c r="D21" s="50" t="s">
        <v>41</v>
      </c>
      <c r="E21" s="32" t="s">
        <v>49</v>
      </c>
      <c r="F21" s="32" t="s">
        <v>61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>
        <v>53.48</v>
      </c>
      <c r="AA21" s="33">
        <v>22.54</v>
      </c>
      <c r="AB21" s="33">
        <f>4.14+94.61</f>
        <v>98.75</v>
      </c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48</v>
      </c>
      <c r="D22" s="50" t="s">
        <v>41</v>
      </c>
      <c r="E22" s="32" t="s">
        <v>49</v>
      </c>
      <c r="F22" s="32" t="s">
        <v>62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3">
        <v>12.11</v>
      </c>
      <c r="AF22" s="33">
        <v>8.37</v>
      </c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48</v>
      </c>
      <c r="D23" s="50" t="s">
        <v>41</v>
      </c>
      <c r="E23" s="32" t="s">
        <v>49</v>
      </c>
      <c r="F23" s="32" t="s">
        <v>63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3">
        <v>116.53</v>
      </c>
      <c r="AJ23" s="33">
        <v>115.37</v>
      </c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64</v>
      </c>
      <c r="E25" s="21"/>
      <c r="F25" s="21"/>
      <c r="G25" s="22">
        <f>SUM(G10:G23)</f>
      </c>
      <c r="H25" s="22">
        <f>SUM(H10:H23)</f>
      </c>
      <c r="I25" s="22">
        <f>SUM(I10:I23)</f>
      </c>
      <c r="J25" s="22">
        <f>SUM(J10:J23)</f>
      </c>
      <c r="K25" s="22">
        <f>SUM(K10:K23)</f>
      </c>
      <c r="L25" s="22">
        <f>SUM(L10:L23)</f>
      </c>
      <c r="M25" s="22">
        <f>SUM(M10:M23)</f>
      </c>
      <c r="N25" s="22">
        <f>SUM(N10:N23)</f>
      </c>
      <c r="O25" s="22">
        <f>SUM(O10:O23)</f>
      </c>
      <c r="P25" s="22">
        <f>SUM(P10:P23)</f>
      </c>
      <c r="Q25" s="22">
        <f>SUM(Q10:Q23)</f>
      </c>
      <c r="R25" s="22">
        <f>SUM(R10:R23)</f>
      </c>
      <c r="S25" s="22">
        <f>SUM(S10:S23)</f>
      </c>
      <c r="T25" s="22">
        <f>SUM(T10:T23)</f>
      </c>
      <c r="U25" s="22">
        <f>SUM(U10:U23)</f>
      </c>
      <c r="V25" s="22">
        <f>SUM(V10:V23)</f>
      </c>
      <c r="W25" s="22">
        <f>SUM(W10:W23)</f>
      </c>
      <c r="X25" s="22">
        <f>SUM(X10:X23)</f>
      </c>
      <c r="Y25" s="22">
        <f>SUM(Y10:Y23)</f>
      </c>
      <c r="Z25" s="22">
        <f>SUM(Z10:Z23)</f>
      </c>
      <c r="AA25" s="22">
        <f>SUM(AA10:AA23)</f>
      </c>
      <c r="AB25" s="22">
        <f>SUM(AB10:AB23)</f>
      </c>
      <c r="AC25" s="22">
        <f>SUM(AC10:AC23)</f>
      </c>
      <c r="AD25" s="22">
        <f>SUM(AD10:AD23)</f>
      </c>
      <c r="AE25" s="22">
        <f>SUM(AE10:AE23)</f>
      </c>
      <c r="AF25" s="22">
        <f>SUM(AF10:AF23)</f>
      </c>
      <c r="AG25" s="22">
        <f>SUM(AG10:AG23)</f>
      </c>
      <c r="AH25" s="22">
        <f>SUM(AH10:AH23)</f>
      </c>
      <c r="AI25" s="22">
        <f>SUM(AI10:AI23)</f>
      </c>
      <c r="AJ25" s="22">
        <f>SUM(AJ10:AJ23)</f>
      </c>
      <c r="AK25" s="22">
        <f>SUM(AK10:AK23)</f>
      </c>
      <c r="AL25" s="22">
        <f>SUM(AL10:AL23)</f>
      </c>
      <c r="AM25" s="23"/>
    </row>
    <row r="27" ht="13.5" customHeight="1" spans="2:39" x14ac:dyDescent="0.25">
      <c r="B27" s="46"/>
      <c r="C27" s="28"/>
      <c r="D27" s="47" t="s">
        <v>42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48</v>
      </c>
      <c r="D28" s="50" t="s">
        <v>42</v>
      </c>
      <c r="E28" s="32" t="s">
        <v>65</v>
      </c>
      <c r="F28" s="32" t="s">
        <v>66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3">
        <v>99.78</v>
      </c>
      <c r="AC28" s="33">
        <f>155.69+-155.69</f>
        <v>0</v>
      </c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48</v>
      </c>
      <c r="D29" s="50" t="s">
        <v>42</v>
      </c>
      <c r="E29" s="32" t="s">
        <v>65</v>
      </c>
      <c r="F29" s="32" t="s">
        <v>67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290</v>
      </c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48</v>
      </c>
      <c r="D30" s="50" t="s">
        <v>42</v>
      </c>
      <c r="E30" s="32" t="s">
        <v>65</v>
      </c>
      <c r="F30" s="32" t="s">
        <v>68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>
        <v>1064.77</v>
      </c>
      <c r="X30" s="33">
        <v>964.54</v>
      </c>
      <c r="Y30" s="33">
        <v>1043.31</v>
      </c>
      <c r="Z30" s="33">
        <v>840.45</v>
      </c>
      <c r="AA30" s="33">
        <v>1323.74</v>
      </c>
      <c r="AB30" s="33">
        <v>2072.55</v>
      </c>
      <c r="AC30" s="33">
        <v>2800.06</v>
      </c>
      <c r="AD30" s="33">
        <v>3043.3</v>
      </c>
      <c r="AE30" s="33">
        <v>1971.79</v>
      </c>
      <c r="AF30" s="33">
        <v>1269.44</v>
      </c>
      <c r="AG30" s="33">
        <v>879.4</v>
      </c>
      <c r="AH30" s="33">
        <v>1003.38</v>
      </c>
      <c r="AI30" s="33">
        <v>955.81</v>
      </c>
      <c r="AJ30" s="33">
        <v>911.37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48</v>
      </c>
      <c r="D31" s="50" t="s">
        <v>42</v>
      </c>
      <c r="E31" s="32" t="s">
        <v>65</v>
      </c>
      <c r="F31" s="32" t="s">
        <v>69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3">
        <f>38.32+178.48</f>
        <v>216.79999999999998</v>
      </c>
      <c r="X31" s="33">
        <f>41.71+178.48</f>
        <v>220.19</v>
      </c>
      <c r="Y31" s="33">
        <f>45.71+174.48</f>
        <v>220.19</v>
      </c>
      <c r="Z31" s="33">
        <f>41.64+178.55</f>
        <v>220.19</v>
      </c>
      <c r="AA31" s="33">
        <f>45.55+172.42</f>
        <v>217.96999999999997</v>
      </c>
      <c r="AB31" s="33">
        <f>31.23+186.53</f>
        <v>217.76</v>
      </c>
      <c r="AC31" s="33">
        <f>41.56+176.20</f>
        <v>217.76</v>
      </c>
      <c r="AD31" s="33">
        <f>45.53+172.23</f>
        <v>217.76</v>
      </c>
      <c r="AE31" s="33">
        <f>31.23+186.53</f>
        <v>217.76</v>
      </c>
      <c r="AF31" s="33">
        <f>31.23+186.53</f>
        <v>217.76</v>
      </c>
      <c r="AG31" s="33">
        <f>31.23+188.34</f>
        <v>219.57</v>
      </c>
      <c r="AH31" s="33">
        <f>31.23+188.51</f>
        <v>219.73999999999998</v>
      </c>
      <c r="AI31" s="33">
        <f>27.85+188.47</f>
        <v>216.32</v>
      </c>
      <c r="AJ31" s="33">
        <f>31.23+188.47</f>
        <v>219.7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48</v>
      </c>
      <c r="D32" s="50" t="s">
        <v>42</v>
      </c>
      <c r="E32" s="32" t="s">
        <v>65</v>
      </c>
      <c r="F32" s="32" t="s">
        <v>70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3">
        <v>38.76</v>
      </c>
      <c r="X32" s="33">
        <v>42.18</v>
      </c>
      <c r="Y32" s="33">
        <v>43.5</v>
      </c>
      <c r="Z32" s="33">
        <v>43.17</v>
      </c>
      <c r="AA32" s="33">
        <v>44.72</v>
      </c>
      <c r="AB32" s="33">
        <v>44.42</v>
      </c>
      <c r="AC32" s="33">
        <v>45.23</v>
      </c>
      <c r="AD32" s="33">
        <v>36.95</v>
      </c>
      <c r="AE32" s="33">
        <v>43.32</v>
      </c>
      <c r="AF32" s="33">
        <v>43.17</v>
      </c>
      <c r="AG32" s="33">
        <v>43.18</v>
      </c>
      <c r="AH32" s="33">
        <v>43.86</v>
      </c>
      <c r="AI32" s="33">
        <v>35.54</v>
      </c>
      <c r="AJ32" s="33">
        <v>40.84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48</v>
      </c>
      <c r="D33" s="50" t="s">
        <v>42</v>
      </c>
      <c r="E33" s="32" t="s">
        <v>65</v>
      </c>
      <c r="F33" s="32" t="s">
        <v>71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3">
        <v>613.38</v>
      </c>
      <c r="X33" s="33">
        <v>645.09</v>
      </c>
      <c r="Y33" s="33">
        <v>667.48</v>
      </c>
      <c r="Z33" s="33">
        <v>587.5</v>
      </c>
      <c r="AA33" s="33">
        <v>736.85</v>
      </c>
      <c r="AB33" s="33">
        <v>714.58</v>
      </c>
      <c r="AC33" s="33">
        <v>813.05</v>
      </c>
      <c r="AD33" s="33">
        <v>849.01</v>
      </c>
      <c r="AE33" s="33">
        <v>746.43</v>
      </c>
      <c r="AF33" s="33">
        <v>762.47</v>
      </c>
      <c r="AG33" s="33">
        <v>697.34</v>
      </c>
      <c r="AH33" s="33">
        <v>690.42</v>
      </c>
      <c r="AI33" s="33">
        <v>631.89</v>
      </c>
      <c r="AJ33" s="33">
        <f>672.96+0.00</f>
        <v>672.96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48</v>
      </c>
      <c r="D34" s="50" t="s">
        <v>42</v>
      </c>
      <c r="E34" s="32" t="s">
        <v>65</v>
      </c>
      <c r="F34" s="32" t="s">
        <v>72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3">
        <v>1155.39</v>
      </c>
      <c r="X34" s="33">
        <v>902.84</v>
      </c>
      <c r="Y34" s="33">
        <v>937.62</v>
      </c>
      <c r="Z34" s="33">
        <v>958</v>
      </c>
      <c r="AA34" s="33">
        <v>1464.12</v>
      </c>
      <c r="AB34" s="33">
        <v>2124.07</v>
      </c>
      <c r="AC34" s="33">
        <v>2940.4</v>
      </c>
      <c r="AD34" s="33">
        <v>3439.15</v>
      </c>
      <c r="AE34" s="33">
        <v>2425.55</v>
      </c>
      <c r="AF34" s="33">
        <v>1522.7</v>
      </c>
      <c r="AG34" s="33">
        <v>1054.97</v>
      </c>
      <c r="AH34" s="33">
        <v>1122.03</v>
      </c>
      <c r="AI34" s="33">
        <v>993.18</v>
      </c>
      <c r="AJ34" s="33">
        <v>914.09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48</v>
      </c>
      <c r="D35" s="50" t="s">
        <v>42</v>
      </c>
      <c r="E35" s="32" t="s">
        <v>65</v>
      </c>
      <c r="F35" s="32" t="s">
        <v>73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3">
        <v>763.87</v>
      </c>
      <c r="X35" s="33">
        <v>640.16</v>
      </c>
      <c r="Y35" s="33">
        <v>668.02</v>
      </c>
      <c r="Z35" s="33">
        <v>732.61</v>
      </c>
      <c r="AA35" s="33">
        <v>882.32</v>
      </c>
      <c r="AB35" s="33">
        <v>1107.04</v>
      </c>
      <c r="AC35" s="33">
        <v>1578.59</v>
      </c>
      <c r="AD35" s="33">
        <v>1617.95</v>
      </c>
      <c r="AE35" s="33">
        <v>1069.39</v>
      </c>
      <c r="AF35" s="33">
        <v>876.55</v>
      </c>
      <c r="AG35" s="33">
        <v>644.85</v>
      </c>
      <c r="AH35" s="33">
        <v>665.19</v>
      </c>
      <c r="AI35" s="33">
        <v>612.55</v>
      </c>
      <c r="AJ35" s="33">
        <v>562.38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48</v>
      </c>
      <c r="D36" s="50" t="s">
        <v>42</v>
      </c>
      <c r="E36" s="32" t="s">
        <v>65</v>
      </c>
      <c r="F36" s="32" t="s">
        <v>74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>
        <v>1280.77</v>
      </c>
      <c r="X36" s="33">
        <v>1031.84</v>
      </c>
      <c r="Y36" s="33">
        <v>1199.75</v>
      </c>
      <c r="Z36" s="33">
        <v>1288.97</v>
      </c>
      <c r="AA36" s="33">
        <v>1991.68</v>
      </c>
      <c r="AB36" s="33">
        <v>3071.37</v>
      </c>
      <c r="AC36" s="33">
        <v>4426.67</v>
      </c>
      <c r="AD36" s="33">
        <v>4589.83</v>
      </c>
      <c r="AE36" s="33">
        <v>2975.49</v>
      </c>
      <c r="AF36" s="33">
        <v>1752.69</v>
      </c>
      <c r="AG36" s="33">
        <v>1174.59</v>
      </c>
      <c r="AH36" s="33">
        <v>1247.52</v>
      </c>
      <c r="AI36" s="33">
        <v>1127.63</v>
      </c>
      <c r="AJ36" s="33">
        <v>927.73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48</v>
      </c>
      <c r="D37" s="50" t="s">
        <v>42</v>
      </c>
      <c r="E37" s="32" t="s">
        <v>65</v>
      </c>
      <c r="F37" s="32" t="s">
        <v>75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3">
        <v>1834.04</v>
      </c>
      <c r="X37" s="33">
        <v>1416.99</v>
      </c>
      <c r="Y37" s="33">
        <v>1410.14</v>
      </c>
      <c r="Z37" s="33">
        <v>1449.05</v>
      </c>
      <c r="AA37" s="33">
        <v>2159.68</v>
      </c>
      <c r="AB37" s="33">
        <v>3401.93</v>
      </c>
      <c r="AC37" s="33">
        <v>4703.97</v>
      </c>
      <c r="AD37" s="33">
        <v>4899.68</v>
      </c>
      <c r="AE37" s="33">
        <v>3183.58</v>
      </c>
      <c r="AF37" s="33">
        <v>1943.09</v>
      </c>
      <c r="AG37" s="33">
        <v>1248.65</v>
      </c>
      <c r="AH37" s="33">
        <v>1410.42</v>
      </c>
      <c r="AI37" s="33">
        <v>1303.16</v>
      </c>
      <c r="AJ37" s="33">
        <v>1152.54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48</v>
      </c>
      <c r="D38" s="50" t="s">
        <v>42</v>
      </c>
      <c r="E38" s="32" t="s">
        <v>65</v>
      </c>
      <c r="F38" s="32" t="s">
        <v>76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3">
        <v>1253.96</v>
      </c>
      <c r="X38" s="33">
        <v>1033.87</v>
      </c>
      <c r="Y38" s="33">
        <v>1197.73</v>
      </c>
      <c r="Z38" s="33">
        <v>1319.89</v>
      </c>
      <c r="AA38" s="33">
        <v>2115.98</v>
      </c>
      <c r="AB38" s="33">
        <v>3347.62</v>
      </c>
      <c r="AC38" s="33">
        <v>4657.79</v>
      </c>
      <c r="AD38" s="33">
        <v>4693.85</v>
      </c>
      <c r="AE38" s="33">
        <v>3229.93</v>
      </c>
      <c r="AF38" s="33">
        <v>1861.83</v>
      </c>
      <c r="AG38" s="33">
        <v>1100.13</v>
      </c>
      <c r="AH38" s="33">
        <v>1032.77</v>
      </c>
      <c r="AI38" s="33">
        <v>926.69</v>
      </c>
      <c r="AJ38" s="33">
        <v>953.44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48</v>
      </c>
      <c r="D39" s="50" t="s">
        <v>42</v>
      </c>
      <c r="E39" s="32" t="s">
        <v>65</v>
      </c>
      <c r="F39" s="32" t="s">
        <v>77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3">
        <v>1012.54</v>
      </c>
      <c r="X39" s="33">
        <v>735.63</v>
      </c>
      <c r="Y39" s="33">
        <v>736.64</v>
      </c>
      <c r="Z39" s="33">
        <v>695.94</v>
      </c>
      <c r="AA39" s="33">
        <v>1156</v>
      </c>
      <c r="AB39" s="33">
        <v>1830.51</v>
      </c>
      <c r="AC39" s="33">
        <v>2576.23</v>
      </c>
      <c r="AD39" s="33">
        <v>2767.96</v>
      </c>
      <c r="AE39" s="33">
        <v>1714.92</v>
      </c>
      <c r="AF39" s="33">
        <v>957.32</v>
      </c>
      <c r="AG39" s="33">
        <v>688.25</v>
      </c>
      <c r="AH39" s="33">
        <v>860.28</v>
      </c>
      <c r="AI39" s="33">
        <v>787.8</v>
      </c>
      <c r="AJ39" s="33">
        <f>676.56+0.00</f>
        <v>676.56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48</v>
      </c>
      <c r="D40" s="50" t="s">
        <v>42</v>
      </c>
      <c r="E40" s="32" t="s">
        <v>65</v>
      </c>
      <c r="F40" s="32" t="s">
        <v>78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3">
        <v>1489.83</v>
      </c>
      <c r="X40" s="33">
        <v>1489.83</v>
      </c>
      <c r="Y40" s="33">
        <v>1489.83</v>
      </c>
      <c r="Z40" s="33">
        <v>1489.83</v>
      </c>
      <c r="AA40" s="33">
        <v>1482.41</v>
      </c>
      <c r="AB40" s="33">
        <v>1478.11</v>
      </c>
      <c r="AC40" s="33">
        <v>1478.11</v>
      </c>
      <c r="AD40" s="33">
        <v>1478.11</v>
      </c>
      <c r="AE40" s="33">
        <v>1478.11</v>
      </c>
      <c r="AF40" s="33">
        <v>1478.11</v>
      </c>
      <c r="AG40" s="33">
        <v>1486.07</v>
      </c>
      <c r="AH40" s="33">
        <v>1489.21</v>
      </c>
      <c r="AI40" s="33">
        <v>1489.03</v>
      </c>
      <c r="AJ40" s="33">
        <v>1488.92</v>
      </c>
      <c r="AK40" s="33">
        <v>1488.92</v>
      </c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48</v>
      </c>
      <c r="D41" s="50" t="s">
        <v>42</v>
      </c>
      <c r="E41" s="32" t="s">
        <v>65</v>
      </c>
      <c r="F41" s="32" t="s">
        <v>79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>
        <v>764.1</v>
      </c>
      <c r="X41" s="33">
        <v>613.39</v>
      </c>
      <c r="Y41" s="33">
        <v>682.02</v>
      </c>
      <c r="Z41" s="33">
        <v>775.9</v>
      </c>
      <c r="AA41" s="33">
        <v>1170.2</v>
      </c>
      <c r="AB41" s="33">
        <v>1840.81</v>
      </c>
      <c r="AC41" s="33">
        <v>2639.78</v>
      </c>
      <c r="AD41" s="33">
        <v>2651.3</v>
      </c>
      <c r="AE41" s="33">
        <v>1799.55</v>
      </c>
      <c r="AF41" s="33">
        <v>1083.5</v>
      </c>
      <c r="AG41" s="33">
        <v>687.67</v>
      </c>
      <c r="AH41" s="33">
        <v>757.81</v>
      </c>
      <c r="AI41" s="33">
        <v>650.24</v>
      </c>
      <c r="AJ41" s="33">
        <v>562.47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48</v>
      </c>
      <c r="D42" s="50" t="s">
        <v>42</v>
      </c>
      <c r="E42" s="32" t="s">
        <v>65</v>
      </c>
      <c r="F42" s="32" t="s">
        <v>80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3">
        <v>123.81</v>
      </c>
      <c r="X42" s="33">
        <v>164.45</v>
      </c>
      <c r="Y42" s="33">
        <v>213.05</v>
      </c>
      <c r="Z42" s="33">
        <v>266.27</v>
      </c>
      <c r="AA42" s="33">
        <v>454.11</v>
      </c>
      <c r="AB42" s="33">
        <v>539.83</v>
      </c>
      <c r="AC42" s="33">
        <v>759.35</v>
      </c>
      <c r="AD42" s="33">
        <v>756.72</v>
      </c>
      <c r="AE42" s="33">
        <v>568.53</v>
      </c>
      <c r="AF42" s="33">
        <v>398.58</v>
      </c>
      <c r="AG42" s="33">
        <v>264.98</v>
      </c>
      <c r="AH42" s="33">
        <v>198.05</v>
      </c>
      <c r="AI42" s="33">
        <v>157.51</v>
      </c>
      <c r="AJ42" s="33">
        <v>187.61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48</v>
      </c>
      <c r="D43" s="50" t="s">
        <v>42</v>
      </c>
      <c r="E43" s="32" t="s">
        <v>65</v>
      </c>
      <c r="F43" s="32" t="s">
        <v>81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3">
        <v>2140.42</v>
      </c>
      <c r="X43" s="33">
        <v>1556.04</v>
      </c>
      <c r="Y43" s="33">
        <v>1466.17</v>
      </c>
      <c r="Z43" s="33">
        <v>1420.26</v>
      </c>
      <c r="AA43" s="33">
        <v>2129.06</v>
      </c>
      <c r="AB43" s="33">
        <v>3306.19</v>
      </c>
      <c r="AC43" s="33">
        <v>4738.16</v>
      </c>
      <c r="AD43" s="33">
        <v>5105.41</v>
      </c>
      <c r="AE43" s="33">
        <v>3330.34</v>
      </c>
      <c r="AF43" s="33">
        <v>1862.17</v>
      </c>
      <c r="AG43" s="33">
        <v>1282.12</v>
      </c>
      <c r="AH43" s="33">
        <v>1530.5</v>
      </c>
      <c r="AI43" s="33">
        <v>1409.21</v>
      </c>
      <c r="AJ43" s="33">
        <v>1285.74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48</v>
      </c>
      <c r="D44" s="50" t="s">
        <v>42</v>
      </c>
      <c r="E44" s="32" t="s">
        <v>65</v>
      </c>
      <c r="F44" s="32" t="s">
        <v>82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3">
        <v>236.27</v>
      </c>
      <c r="X44" s="33">
        <v>286.22</v>
      </c>
      <c r="Y44" s="33">
        <v>279.51</v>
      </c>
      <c r="Z44" s="33">
        <v>293.34</v>
      </c>
      <c r="AA44" s="33">
        <v>310.63</v>
      </c>
      <c r="AB44" s="33">
        <v>438.57</v>
      </c>
      <c r="AC44" s="33">
        <v>594</v>
      </c>
      <c r="AD44" s="33">
        <v>640.75</v>
      </c>
      <c r="AE44" s="33">
        <v>416.73</v>
      </c>
      <c r="AF44" s="33">
        <v>252.29</v>
      </c>
      <c r="AG44" s="33">
        <v>216.67</v>
      </c>
      <c r="AH44" s="33">
        <v>224.52</v>
      </c>
      <c r="AI44" s="33">
        <v>228.71</v>
      </c>
      <c r="AJ44" s="33">
        <v>229.44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48</v>
      </c>
      <c r="D45" s="50" t="s">
        <v>42</v>
      </c>
      <c r="E45" s="32" t="s">
        <v>65</v>
      </c>
      <c r="F45" s="32" t="s">
        <v>83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v>27.08</v>
      </c>
      <c r="W45" s="33">
        <v>21.66</v>
      </c>
      <c r="X45" s="33">
        <v>21.66</v>
      </c>
      <c r="Y45" s="33">
        <v>21.66</v>
      </c>
      <c r="Z45" s="33">
        <v>21.66</v>
      </c>
      <c r="AA45" s="33">
        <v>21.66</v>
      </c>
      <c r="AB45" s="33">
        <v>21.66</v>
      </c>
      <c r="AC45" s="33">
        <v>21.66</v>
      </c>
      <c r="AD45" s="33">
        <v>21.66</v>
      </c>
      <c r="AE45" s="33">
        <v>21.66</v>
      </c>
      <c r="AF45" s="33">
        <v>0</v>
      </c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48</v>
      </c>
      <c r="D46" s="50" t="s">
        <v>42</v>
      </c>
      <c r="E46" s="32" t="s">
        <v>65</v>
      </c>
      <c r="F46" s="32" t="s">
        <v>84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3">
        <v>1208.32</v>
      </c>
      <c r="X46" s="33">
        <v>1014.2</v>
      </c>
      <c r="Y46" s="33">
        <v>1139.29</v>
      </c>
      <c r="Z46" s="33">
        <v>1004.7</v>
      </c>
      <c r="AA46" s="33">
        <v>1109.31</v>
      </c>
      <c r="AB46" s="33">
        <v>1964.55</v>
      </c>
      <c r="AC46" s="33">
        <v>2721.69</v>
      </c>
      <c r="AD46" s="33">
        <v>2868.82</v>
      </c>
      <c r="AE46" s="33">
        <v>2004.58</v>
      </c>
      <c r="AF46" s="33">
        <v>1233.34</v>
      </c>
      <c r="AG46" s="33">
        <v>957.17</v>
      </c>
      <c r="AH46" s="33">
        <v>937.88</v>
      </c>
      <c r="AI46" s="33">
        <v>905.04</v>
      </c>
      <c r="AJ46" s="33">
        <v>923.76</v>
      </c>
      <c r="AK46" s="32"/>
      <c r="AL46" s="34">
        <f>SUM(G46:AK46)</f>
      </c>
      <c r="AM46" s="35"/>
    </row>
    <row r="47" ht="13.5" customHeight="1" spans="2:39" x14ac:dyDescent="0.25">
      <c r="B47" s="51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40"/>
    </row>
    <row r="48" ht="13.5" customHeight="1" spans="2:39" x14ac:dyDescent="0.25">
      <c r="B48" s="20"/>
      <c r="C48" s="21"/>
      <c r="D48" s="21" t="s">
        <v>85</v>
      </c>
      <c r="E48" s="21"/>
      <c r="F48" s="21"/>
      <c r="G48" s="22">
        <f>SUM(G28:G46)</f>
      </c>
      <c r="H48" s="22">
        <f>SUM(H28:H46)</f>
      </c>
      <c r="I48" s="22">
        <f>SUM(I28:I46)</f>
      </c>
      <c r="J48" s="22">
        <f>SUM(J28:J46)</f>
      </c>
      <c r="K48" s="22">
        <f>SUM(K28:K46)</f>
      </c>
      <c r="L48" s="22">
        <f>SUM(L28:L46)</f>
      </c>
      <c r="M48" s="22">
        <f>SUM(M28:M46)</f>
      </c>
      <c r="N48" s="22">
        <f>SUM(N28:N46)</f>
      </c>
      <c r="O48" s="22">
        <f>SUM(O28:O46)</f>
      </c>
      <c r="P48" s="22">
        <f>SUM(P28:P46)</f>
      </c>
      <c r="Q48" s="22">
        <f>SUM(Q28:Q46)</f>
      </c>
      <c r="R48" s="22">
        <f>SUM(R28:R46)</f>
      </c>
      <c r="S48" s="22">
        <f>SUM(S28:S46)</f>
      </c>
      <c r="T48" s="22">
        <f>SUM(T28:T46)</f>
      </c>
      <c r="U48" s="22">
        <f>SUM(U28:U46)</f>
      </c>
      <c r="V48" s="22">
        <f>SUM(V28:V46)</f>
      </c>
      <c r="W48" s="22">
        <f>SUM(W28:W46)</f>
      </c>
      <c r="X48" s="22">
        <f>SUM(X28:X46)</f>
      </c>
      <c r="Y48" s="22">
        <f>SUM(Y28:Y46)</f>
      </c>
      <c r="Z48" s="22">
        <f>SUM(Z28:Z46)</f>
      </c>
      <c r="AA48" s="22">
        <f>SUM(AA28:AA46)</f>
      </c>
      <c r="AB48" s="22">
        <f>SUM(AB28:AB46)</f>
      </c>
      <c r="AC48" s="22">
        <f>SUM(AC28:AC46)</f>
      </c>
      <c r="AD48" s="22">
        <f>SUM(AD28:AD46)</f>
      </c>
      <c r="AE48" s="22">
        <f>SUM(AE28:AE46)</f>
      </c>
      <c r="AF48" s="22">
        <f>SUM(AF28:AF46)</f>
      </c>
      <c r="AG48" s="22">
        <f>SUM(AG28:AG46)</f>
      </c>
      <c r="AH48" s="22">
        <f>SUM(AH28:AH46)</f>
      </c>
      <c r="AI48" s="22">
        <f>SUM(AI28:AI46)</f>
      </c>
      <c r="AJ48" s="22">
        <f>SUM(AJ28:AJ46)</f>
      </c>
      <c r="AK48" s="22">
        <f>SUM(AK28:AK46)</f>
      </c>
      <c r="AL48" s="22">
        <f>SUM(AL28:AL46)</f>
      </c>
      <c r="AM48" s="23"/>
    </row>
    <row r="50" ht="13.5" customHeight="1" spans="2:39" x14ac:dyDescent="0.25">
      <c r="B50" s="46"/>
      <c r="C50" s="28"/>
      <c r="D50" s="47" t="s">
        <v>43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9"/>
    </row>
    <row r="51" ht="13.5" customHeight="1" spans="2:39" x14ac:dyDescent="0.25">
      <c r="B51" s="48" t="s">
        <v>3</v>
      </c>
      <c r="C51" s="49" t="s">
        <v>48</v>
      </c>
      <c r="D51" s="50" t="s">
        <v>43</v>
      </c>
      <c r="E51" s="32" t="s">
        <v>86</v>
      </c>
      <c r="F51" s="32" t="s">
        <v>87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f>3555.16+4024.81</f>
        <v>7579.969999999999</v>
      </c>
      <c r="W51" s="33">
        <f>3933.92+4109.48</f>
        <v>8043.4</v>
      </c>
      <c r="X51" s="33">
        <f>4534.02+4278.50</f>
        <v>8812.52</v>
      </c>
      <c r="Y51" s="33">
        <f>4204.97+4082.15</f>
        <v>8287.12</v>
      </c>
      <c r="Z51" s="33">
        <f>3949.29+4359.36</f>
        <v>8308.65</v>
      </c>
      <c r="AA51" s="33">
        <f>3498.30+3926.21</f>
        <v>7424.51</v>
      </c>
      <c r="AB51" s="33">
        <f>3968.69+4365.14</f>
        <v>8333.83</v>
      </c>
      <c r="AC51" s="33">
        <f>3640.40+4087.92</f>
        <v>7728.32</v>
      </c>
      <c r="AD51" s="33">
        <f>3657.25+4082.15</f>
        <v>7739.4</v>
      </c>
      <c r="AE51" s="33">
        <f>3406.94+3822.27</f>
        <v>7229.21</v>
      </c>
      <c r="AF51" s="33">
        <f>3691.13+4145.68</f>
        <v>7836.81</v>
      </c>
      <c r="AG51" s="33">
        <f>3691.13+4145.68</f>
        <v>7836.81</v>
      </c>
      <c r="AH51" s="33">
        <f>3899.92+4313.16</f>
        <v>8213.08</v>
      </c>
      <c r="AI51" s="33">
        <f>3369.22+3998.21</f>
        <v>7367.43</v>
      </c>
      <c r="AJ51" s="33">
        <f>3462.92+4111.07</f>
        <v>7573.99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48</v>
      </c>
      <c r="D52" s="50" t="s">
        <v>43</v>
      </c>
      <c r="E52" s="32" t="s">
        <v>86</v>
      </c>
      <c r="F52" s="32" t="s">
        <v>88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3">
        <v>26300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51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40"/>
    </row>
    <row r="54" ht="13.5" customHeight="1" spans="2:39" x14ac:dyDescent="0.25">
      <c r="B54" s="20"/>
      <c r="C54" s="21"/>
      <c r="D54" s="21" t="s">
        <v>89</v>
      </c>
      <c r="E54" s="21"/>
      <c r="F54" s="21"/>
      <c r="G54" s="22">
        <f>SUM(G51:G52)</f>
      </c>
      <c r="H54" s="22">
        <f>SUM(H51:H52)</f>
      </c>
      <c r="I54" s="22">
        <f>SUM(I51:I52)</f>
      </c>
      <c r="J54" s="22">
        <f>SUM(J51:J52)</f>
      </c>
      <c r="K54" s="22">
        <f>SUM(K51:K52)</f>
      </c>
      <c r="L54" s="22">
        <f>SUM(L51:L52)</f>
      </c>
      <c r="M54" s="22">
        <f>SUM(M51:M52)</f>
      </c>
      <c r="N54" s="22">
        <f>SUM(N51:N52)</f>
      </c>
      <c r="O54" s="22">
        <f>SUM(O51:O52)</f>
      </c>
      <c r="P54" s="22">
        <f>SUM(P51:P52)</f>
      </c>
      <c r="Q54" s="22">
        <f>SUM(Q51:Q52)</f>
      </c>
      <c r="R54" s="22">
        <f>SUM(R51:R52)</f>
      </c>
      <c r="S54" s="22">
        <f>SUM(S51:S52)</f>
      </c>
      <c r="T54" s="22">
        <f>SUM(T51:T52)</f>
      </c>
      <c r="U54" s="22">
        <f>SUM(U51:U52)</f>
      </c>
      <c r="V54" s="22">
        <f>SUM(V51:V52)</f>
      </c>
      <c r="W54" s="22">
        <f>SUM(W51:W52)</f>
      </c>
      <c r="X54" s="22">
        <f>SUM(X51:X52)</f>
      </c>
      <c r="Y54" s="22">
        <f>SUM(Y51:Y52)</f>
      </c>
      <c r="Z54" s="22">
        <f>SUM(Z51:Z52)</f>
      </c>
      <c r="AA54" s="22">
        <f>SUM(AA51:AA52)</f>
      </c>
      <c r="AB54" s="22">
        <f>SUM(AB51:AB52)</f>
      </c>
      <c r="AC54" s="22">
        <f>SUM(AC51:AC52)</f>
      </c>
      <c r="AD54" s="22">
        <f>SUM(AD51:AD52)</f>
      </c>
      <c r="AE54" s="22">
        <f>SUM(AE51:AE52)</f>
      </c>
      <c r="AF54" s="22">
        <f>SUM(AF51:AF52)</f>
      </c>
      <c r="AG54" s="22">
        <f>SUM(AG51:AG52)</f>
      </c>
      <c r="AH54" s="22">
        <f>SUM(AH51:AH52)</f>
      </c>
      <c r="AI54" s="22">
        <f>SUM(AI51:AI52)</f>
      </c>
      <c r="AJ54" s="22">
        <f>SUM(AJ51:AJ52)</f>
      </c>
      <c r="AK54" s="22">
        <f>SUM(AK51:AK52)</f>
      </c>
      <c r="AL54" s="22">
        <f>SUM(AL51:AL52)</f>
      </c>
      <c r="AM54" s="23"/>
    </row>
    <row r="56" ht="13.5" customHeight="1" spans="2:39" x14ac:dyDescent="0.25">
      <c r="B56" s="46"/>
      <c r="C56" s="28"/>
      <c r="D56" s="47" t="s">
        <v>44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9"/>
    </row>
    <row r="57" ht="13.5" customHeight="1" spans="2:39" x14ac:dyDescent="0.25">
      <c r="B57" s="48" t="s">
        <v>3</v>
      </c>
      <c r="C57" s="49" t="s">
        <v>48</v>
      </c>
      <c r="D57" s="50" t="s">
        <v>44</v>
      </c>
      <c r="E57" s="32" t="s">
        <v>86</v>
      </c>
      <c r="F57" s="32" t="s">
        <v>87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3">
        <v>5828.01</v>
      </c>
      <c r="W57" s="33">
        <v>6291.36</v>
      </c>
      <c r="X57" s="33">
        <v>6280.43</v>
      </c>
      <c r="Y57" s="33">
        <v>6323.31</v>
      </c>
      <c r="Z57" s="33">
        <v>6366.19</v>
      </c>
      <c r="AA57" s="33">
        <v>6541.95</v>
      </c>
      <c r="AB57" s="33">
        <v>5961.92</v>
      </c>
      <c r="AC57" s="33">
        <v>5685.23</v>
      </c>
      <c r="AD57" s="33">
        <v>5119.58</v>
      </c>
      <c r="AE57" s="33">
        <v>8102.83</v>
      </c>
      <c r="AF57" s="33">
        <v>8167.15</v>
      </c>
      <c r="AG57" s="33">
        <v>8184.82</v>
      </c>
      <c r="AH57" s="33">
        <v>6044.59</v>
      </c>
      <c r="AI57" s="33">
        <v>6703.66</v>
      </c>
      <c r="AJ57" s="33">
        <v>7189.02</v>
      </c>
      <c r="AK57" s="32"/>
      <c r="AL57" s="34">
        <f>SUM(G57:AK57)</f>
      </c>
      <c r="AM57" s="35"/>
    </row>
    <row r="58" ht="13.5" customHeight="1" spans="2:39" x14ac:dyDescent="0.25">
      <c r="B58" s="51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40"/>
    </row>
    <row r="59" ht="13.5" customHeight="1" spans="2:39" x14ac:dyDescent="0.25">
      <c r="B59" s="20"/>
      <c r="C59" s="21"/>
      <c r="D59" s="21" t="s">
        <v>90</v>
      </c>
      <c r="E59" s="21"/>
      <c r="F59" s="21"/>
      <c r="G59" s="22">
        <f>SUM(G57:G57)</f>
      </c>
      <c r="H59" s="22">
        <f>SUM(H57:H57)</f>
      </c>
      <c r="I59" s="22">
        <f>SUM(I57:I57)</f>
      </c>
      <c r="J59" s="22">
        <f>SUM(J57:J57)</f>
      </c>
      <c r="K59" s="22">
        <f>SUM(K57:K57)</f>
      </c>
      <c r="L59" s="22">
        <f>SUM(L57:L57)</f>
      </c>
      <c r="M59" s="22">
        <f>SUM(M57:M57)</f>
      </c>
      <c r="N59" s="22">
        <f>SUM(N57:N57)</f>
      </c>
      <c r="O59" s="22">
        <f>SUM(O57:O57)</f>
      </c>
      <c r="P59" s="22">
        <f>SUM(P57:P57)</f>
      </c>
      <c r="Q59" s="22">
        <f>SUM(Q57:Q57)</f>
      </c>
      <c r="R59" s="22">
        <f>SUM(R57:R57)</f>
      </c>
      <c r="S59" s="22">
        <f>SUM(S57:S57)</f>
      </c>
      <c r="T59" s="22">
        <f>SUM(T57:T57)</f>
      </c>
      <c r="U59" s="22">
        <f>SUM(U57:U57)</f>
      </c>
      <c r="V59" s="22">
        <f>SUM(V57:V57)</f>
      </c>
      <c r="W59" s="22">
        <f>SUM(W57:W57)</f>
      </c>
      <c r="X59" s="22">
        <f>SUM(X57:X57)</f>
      </c>
      <c r="Y59" s="22">
        <f>SUM(Y57:Y57)</f>
      </c>
      <c r="Z59" s="22">
        <f>SUM(Z57:Z57)</f>
      </c>
      <c r="AA59" s="22">
        <f>SUM(AA57:AA57)</f>
      </c>
      <c r="AB59" s="22">
        <f>SUM(AB57:AB57)</f>
      </c>
      <c r="AC59" s="22">
        <f>SUM(AC57:AC57)</f>
      </c>
      <c r="AD59" s="22">
        <f>SUM(AD57:AD57)</f>
      </c>
      <c r="AE59" s="22">
        <f>SUM(AE57:AE57)</f>
      </c>
      <c r="AF59" s="22">
        <f>SUM(AF57:AF57)</f>
      </c>
      <c r="AG59" s="22">
        <f>SUM(AG57:AG57)</f>
      </c>
      <c r="AH59" s="22">
        <f>SUM(AH57:AH57)</f>
      </c>
      <c r="AI59" s="22">
        <f>SUM(AI57:AI57)</f>
      </c>
      <c r="AJ59" s="22">
        <f>SUM(AJ57:AJ57)</f>
      </c>
      <c r="AK59" s="22">
        <f>SUM(AK57:AK57)</f>
      </c>
      <c r="AL59" s="22">
        <f>SUM(AL57:AL57)</f>
      </c>
      <c r="AM59" s="23"/>
    </row>
    <row r="62" ht="12.75" customHeight="1" spans="2:39" x14ac:dyDescent="0.25">
      <c r="B62" s="11" t="s">
        <v>40</v>
      </c>
      <c r="C62" s="12"/>
      <c r="D62" s="12"/>
      <c r="E62" s="12"/>
      <c r="F62" s="12"/>
      <c r="G62" s="52" t="s">
        <v>7</v>
      </c>
      <c r="H62" s="52" t="s">
        <v>8</v>
      </c>
      <c r="I62" s="52" t="s">
        <v>9</v>
      </c>
      <c r="J62" s="52" t="s">
        <v>10</v>
      </c>
      <c r="K62" s="52" t="s">
        <v>11</v>
      </c>
      <c r="L62" s="52" t="s">
        <v>12</v>
      </c>
      <c r="M62" s="52" t="s">
        <v>13</v>
      </c>
      <c r="N62" s="52" t="s">
        <v>14</v>
      </c>
      <c r="O62" s="52" t="s">
        <v>15</v>
      </c>
      <c r="P62" s="52" t="s">
        <v>16</v>
      </c>
      <c r="Q62" s="52" t="s">
        <v>17</v>
      </c>
      <c r="R62" s="52" t="s">
        <v>18</v>
      </c>
      <c r="S62" s="52" t="s">
        <v>19</v>
      </c>
      <c r="T62" s="52" t="s">
        <v>20</v>
      </c>
      <c r="U62" s="52" t="s">
        <v>21</v>
      </c>
      <c r="V62" s="52" t="s">
        <v>22</v>
      </c>
      <c r="W62" s="52" t="s">
        <v>23</v>
      </c>
      <c r="X62" s="52" t="s">
        <v>24</v>
      </c>
      <c r="Y62" s="52" t="s">
        <v>25</v>
      </c>
      <c r="Z62" s="52" t="s">
        <v>26</v>
      </c>
      <c r="AA62" s="52" t="s">
        <v>27</v>
      </c>
      <c r="AB62" s="52" t="s">
        <v>28</v>
      </c>
      <c r="AC62" s="52" t="s">
        <v>29</v>
      </c>
      <c r="AD62" s="52" t="s">
        <v>30</v>
      </c>
      <c r="AE62" s="52" t="s">
        <v>31</v>
      </c>
      <c r="AF62" s="52" t="s">
        <v>32</v>
      </c>
      <c r="AG62" s="52" t="s">
        <v>33</v>
      </c>
      <c r="AH62" s="52" t="s">
        <v>34</v>
      </c>
      <c r="AI62" s="52" t="s">
        <v>35</v>
      </c>
      <c r="AJ62" s="52" t="s">
        <v>36</v>
      </c>
      <c r="AK62" s="52" t="s">
        <v>37</v>
      </c>
      <c r="AL62" s="52" t="s">
        <v>38</v>
      </c>
      <c r="AM62" s="15"/>
    </row>
    <row r="63" ht="12.75" customHeight="1" spans="2:39" x14ac:dyDescent="0.25">
      <c r="B63" s="16"/>
      <c r="C63" s="17"/>
      <c r="D63" s="17" t="s">
        <v>41</v>
      </c>
      <c r="E63" s="17"/>
      <c r="F63" s="17"/>
      <c r="G63" s="18">
        <f>G25</f>
      </c>
      <c r="H63" s="18">
        <f>H25</f>
      </c>
      <c r="I63" s="18">
        <f>I25</f>
      </c>
      <c r="J63" s="18">
        <f>J25</f>
      </c>
      <c r="K63" s="18">
        <f>K25</f>
      </c>
      <c r="L63" s="18">
        <f>L25</f>
      </c>
      <c r="M63" s="18">
        <f>M25</f>
      </c>
      <c r="N63" s="18">
        <f>N25</f>
      </c>
      <c r="O63" s="18">
        <f>O25</f>
      </c>
      <c r="P63" s="18">
        <f>P25</f>
      </c>
      <c r="Q63" s="18">
        <f>Q25</f>
      </c>
      <c r="R63" s="18">
        <f>R25</f>
      </c>
      <c r="S63" s="18">
        <f>S25</f>
      </c>
      <c r="T63" s="18">
        <f>T25</f>
      </c>
      <c r="U63" s="18">
        <f>U25</f>
      </c>
      <c r="V63" s="18">
        <f>V25</f>
      </c>
      <c r="W63" s="18">
        <f>W25</f>
      </c>
      <c r="X63" s="18">
        <f>X25</f>
      </c>
      <c r="Y63" s="18">
        <f>Y25</f>
      </c>
      <c r="Z63" s="18">
        <f>Z25</f>
      </c>
      <c r="AA63" s="18">
        <f>AA25</f>
      </c>
      <c r="AB63" s="18">
        <f>AB25</f>
      </c>
      <c r="AC63" s="18">
        <f>AC25</f>
      </c>
      <c r="AD63" s="18">
        <f>AD25</f>
      </c>
      <c r="AE63" s="18">
        <f>AE25</f>
      </c>
      <c r="AF63" s="18">
        <f>AF25</f>
      </c>
      <c r="AG63" s="18">
        <f>AG25</f>
      </c>
      <c r="AH63" s="18">
        <f>AH25</f>
      </c>
      <c r="AI63" s="18">
        <f>AI25</f>
      </c>
      <c r="AJ63" s="18">
        <f>AJ25</f>
      </c>
      <c r="AK63" s="18">
        <f>AK25</f>
      </c>
      <c r="AL63" s="18">
        <f>AL25</f>
      </c>
      <c r="AM63" s="19"/>
    </row>
    <row r="64" ht="12.75" customHeight="1" spans="2:39" x14ac:dyDescent="0.25">
      <c r="B64" s="16"/>
      <c r="C64" s="17"/>
      <c r="D64" s="17" t="s">
        <v>42</v>
      </c>
      <c r="E64" s="17"/>
      <c r="F64" s="17"/>
      <c r="G64" s="18">
        <f>G48</f>
      </c>
      <c r="H64" s="18">
        <f>H48</f>
      </c>
      <c r="I64" s="18">
        <f>I48</f>
      </c>
      <c r="J64" s="18">
        <f>J48</f>
      </c>
      <c r="K64" s="18">
        <f>K48</f>
      </c>
      <c r="L64" s="18">
        <f>L48</f>
      </c>
      <c r="M64" s="18">
        <f>M48</f>
      </c>
      <c r="N64" s="18">
        <f>N48</f>
      </c>
      <c r="O64" s="18">
        <f>O48</f>
      </c>
      <c r="P64" s="18">
        <f>P48</f>
      </c>
      <c r="Q64" s="18">
        <f>Q48</f>
      </c>
      <c r="R64" s="18">
        <f>R48</f>
      </c>
      <c r="S64" s="18">
        <f>S48</f>
      </c>
      <c r="T64" s="18">
        <f>T48</f>
      </c>
      <c r="U64" s="18">
        <f>U48</f>
      </c>
      <c r="V64" s="18">
        <f>V48</f>
      </c>
      <c r="W64" s="18">
        <f>W48</f>
      </c>
      <c r="X64" s="18">
        <f>X48</f>
      </c>
      <c r="Y64" s="18">
        <f>Y48</f>
      </c>
      <c r="Z64" s="18">
        <f>Z48</f>
      </c>
      <c r="AA64" s="18">
        <f>AA48</f>
      </c>
      <c r="AB64" s="18">
        <f>AB48</f>
      </c>
      <c r="AC64" s="18">
        <f>AC48</f>
      </c>
      <c r="AD64" s="18">
        <f>AD48</f>
      </c>
      <c r="AE64" s="18">
        <f>AE48</f>
      </c>
      <c r="AF64" s="18">
        <f>AF48</f>
      </c>
      <c r="AG64" s="18">
        <f>AG48</f>
      </c>
      <c r="AH64" s="18">
        <f>AH48</f>
      </c>
      <c r="AI64" s="18">
        <f>AI48</f>
      </c>
      <c r="AJ64" s="18">
        <f>AJ48</f>
      </c>
      <c r="AK64" s="18">
        <f>AK48</f>
      </c>
      <c r="AL64" s="18">
        <f>AL48</f>
      </c>
      <c r="AM64" s="19"/>
    </row>
    <row r="65" ht="12.75" customHeight="1" spans="2:39" x14ac:dyDescent="0.25">
      <c r="B65" s="16"/>
      <c r="C65" s="17"/>
      <c r="D65" s="17" t="s">
        <v>43</v>
      </c>
      <c r="E65" s="17"/>
      <c r="F65" s="17"/>
      <c r="G65" s="18">
        <f>G54</f>
      </c>
      <c r="H65" s="18">
        <f>H54</f>
      </c>
      <c r="I65" s="18">
        <f>I54</f>
      </c>
      <c r="J65" s="18">
        <f>J54</f>
      </c>
      <c r="K65" s="18">
        <f>K54</f>
      </c>
      <c r="L65" s="18">
        <f>L54</f>
      </c>
      <c r="M65" s="18">
        <f>M54</f>
      </c>
      <c r="N65" s="18">
        <f>N54</f>
      </c>
      <c r="O65" s="18">
        <f>O54</f>
      </c>
      <c r="P65" s="18">
        <f>P54</f>
      </c>
      <c r="Q65" s="18">
        <f>Q54</f>
      </c>
      <c r="R65" s="18">
        <f>R54</f>
      </c>
      <c r="S65" s="18">
        <f>S54</f>
      </c>
      <c r="T65" s="18">
        <f>T54</f>
      </c>
      <c r="U65" s="18">
        <f>U54</f>
      </c>
      <c r="V65" s="18">
        <f>V54</f>
      </c>
      <c r="W65" s="18">
        <f>W54</f>
      </c>
      <c r="X65" s="18">
        <f>X54</f>
      </c>
      <c r="Y65" s="18">
        <f>Y54</f>
      </c>
      <c r="Z65" s="18">
        <f>Z54</f>
      </c>
      <c r="AA65" s="18">
        <f>AA54</f>
      </c>
      <c r="AB65" s="18">
        <f>AB54</f>
      </c>
      <c r="AC65" s="18">
        <f>AC54</f>
      </c>
      <c r="AD65" s="18">
        <f>AD54</f>
      </c>
      <c r="AE65" s="18">
        <f>AE54</f>
      </c>
      <c r="AF65" s="18">
        <f>AF54</f>
      </c>
      <c r="AG65" s="18">
        <f>AG54</f>
      </c>
      <c r="AH65" s="18">
        <f>AH54</f>
      </c>
      <c r="AI65" s="18">
        <f>AI54</f>
      </c>
      <c r="AJ65" s="18">
        <f>AJ54</f>
      </c>
      <c r="AK65" s="18">
        <f>AK54</f>
      </c>
      <c r="AL65" s="18">
        <f>AL54</f>
      </c>
      <c r="AM65" s="19"/>
    </row>
    <row r="66" ht="12.75" customHeight="1" spans="2:39" x14ac:dyDescent="0.25">
      <c r="B66" s="16"/>
      <c r="C66" s="17"/>
      <c r="D66" s="17" t="s">
        <v>44</v>
      </c>
      <c r="E66" s="17"/>
      <c r="F66" s="17"/>
      <c r="G66" s="18">
        <f>G59</f>
      </c>
      <c r="H66" s="18">
        <f>H59</f>
      </c>
      <c r="I66" s="18">
        <f>I59</f>
      </c>
      <c r="J66" s="18">
        <f>J59</f>
      </c>
      <c r="K66" s="18">
        <f>K59</f>
      </c>
      <c r="L66" s="18">
        <f>L59</f>
      </c>
      <c r="M66" s="18">
        <f>M59</f>
      </c>
      <c r="N66" s="18">
        <f>N59</f>
      </c>
      <c r="O66" s="18">
        <f>O59</f>
      </c>
      <c r="P66" s="18">
        <f>P59</f>
      </c>
      <c r="Q66" s="18">
        <f>Q59</f>
      </c>
      <c r="R66" s="18">
        <f>R59</f>
      </c>
      <c r="S66" s="18">
        <f>S59</f>
      </c>
      <c r="T66" s="18">
        <f>T59</f>
      </c>
      <c r="U66" s="18">
        <f>U59</f>
      </c>
      <c r="V66" s="18">
        <f>V59</f>
      </c>
      <c r="W66" s="18">
        <f>W59</f>
      </c>
      <c r="X66" s="18">
        <f>X59</f>
      </c>
      <c r="Y66" s="18">
        <f>Y59</f>
      </c>
      <c r="Z66" s="18">
        <f>Z59</f>
      </c>
      <c r="AA66" s="18">
        <f>AA59</f>
      </c>
      <c r="AB66" s="18">
        <f>AB59</f>
      </c>
      <c r="AC66" s="18">
        <f>AC59</f>
      </c>
      <c r="AD66" s="18">
        <f>AD59</f>
      </c>
      <c r="AE66" s="18">
        <f>AE59</f>
      </c>
      <c r="AF66" s="18">
        <f>AF59</f>
      </c>
      <c r="AG66" s="18">
        <f>AG59</f>
      </c>
      <c r="AH66" s="18">
        <f>AH59</f>
      </c>
      <c r="AI66" s="18">
        <f>AI59</f>
      </c>
      <c r="AJ66" s="18">
        <f>AJ59</f>
      </c>
      <c r="AK66" s="18">
        <f>AK59</f>
      </c>
      <c r="AL66" s="18">
        <f>AL59</f>
      </c>
      <c r="AM66" s="19"/>
    </row>
    <row r="67" ht="12.75" customHeight="1" spans="2:39" x14ac:dyDescent="0.25">
      <c r="B67" s="20"/>
      <c r="C67" s="21"/>
      <c r="D67" s="21" t="s">
        <v>45</v>
      </c>
      <c r="E67" s="21"/>
      <c r="F67" s="21"/>
      <c r="G67" s="22">
        <f>G63+G64+G65+G66</f>
      </c>
      <c r="H67" s="22">
        <f>H63+H64+H65+H66</f>
      </c>
      <c r="I67" s="22">
        <f>I63+I64+I65+I66</f>
      </c>
      <c r="J67" s="22">
        <f>J63+J64+J65+J66</f>
      </c>
      <c r="K67" s="22">
        <f>K63+K64+K65+K66</f>
      </c>
      <c r="L67" s="22">
        <f>L63+L64+L65+L66</f>
      </c>
      <c r="M67" s="22">
        <f>M63+M64+M65+M66</f>
      </c>
      <c r="N67" s="22">
        <f>N63+N64+N65+N66</f>
      </c>
      <c r="O67" s="22">
        <f>O63+O64+O65+O66</f>
      </c>
      <c r="P67" s="22">
        <f>P63+P64+P65+P66</f>
      </c>
      <c r="Q67" s="22">
        <f>Q63+Q64+Q65+Q66</f>
      </c>
      <c r="R67" s="22">
        <f>R63+R64+R65+R66</f>
      </c>
      <c r="S67" s="22">
        <f>S63+S64+S65+S66</f>
      </c>
      <c r="T67" s="22">
        <f>T63+T64+T65+T66</f>
      </c>
      <c r="U67" s="22">
        <f>U63+U64+U65+U66</f>
      </c>
      <c r="V67" s="22">
        <f>V63+V64+V65+V66</f>
      </c>
      <c r="W67" s="22">
        <f>W63+W64+W65+W66</f>
      </c>
      <c r="X67" s="22">
        <f>X63+X64+X65+X66</f>
      </c>
      <c r="Y67" s="22">
        <f>Y63+Y64+Y65+Y66</f>
      </c>
      <c r="Z67" s="22">
        <f>Z63+Z64+Z65+Z66</f>
      </c>
      <c r="AA67" s="22">
        <f>AA63+AA64+AA65+AA66</f>
      </c>
      <c r="AB67" s="22">
        <f>AB63+AB64+AB65+AB66</f>
      </c>
      <c r="AC67" s="22">
        <f>AC63+AC64+AC65+AC66</f>
      </c>
      <c r="AD67" s="22">
        <f>AD63+AD64+AD65+AD66</f>
      </c>
      <c r="AE67" s="22">
        <f>AE63+AE64+AE65+AE66</f>
      </c>
      <c r="AF67" s="22">
        <f>AF63+AF64+AF65+AF66</f>
      </c>
      <c r="AG67" s="22">
        <f>AG63+AG64+AG65+AG66</f>
      </c>
      <c r="AH67" s="22">
        <f>AH63+AH64+AH65+AH66</f>
      </c>
      <c r="AI67" s="22">
        <f>AI63+AI64+AI65+AI66</f>
      </c>
      <c r="AJ67" s="22">
        <f>AJ63+AJ64+AJ65+AJ66</f>
      </c>
      <c r="AK67" s="22">
        <f>AK63+AK64+AK65+AK66</f>
      </c>
      <c r="AL67" s="22">
        <f>AL63+AL64+AL65+AL66</f>
      </c>
      <c r="AM67" s="23"/>
    </row>
    <row r="69" ht="12.75" customHeight="1" spans="2:39" x14ac:dyDescent="0.25">
      <c r="B69" s="11" t="s">
        <v>46</v>
      </c>
      <c r="C69" s="12"/>
      <c r="D69" s="12"/>
      <c r="E69" s="12"/>
      <c r="F69" s="12"/>
      <c r="G69" s="52" t="s">
        <v>7</v>
      </c>
      <c r="H69" s="52" t="s">
        <v>8</v>
      </c>
      <c r="I69" s="52" t="s">
        <v>9</v>
      </c>
      <c r="J69" s="52" t="s">
        <v>10</v>
      </c>
      <c r="K69" s="52" t="s">
        <v>11</v>
      </c>
      <c r="L69" s="52" t="s">
        <v>12</v>
      </c>
      <c r="M69" s="52" t="s">
        <v>13</v>
      </c>
      <c r="N69" s="52" t="s">
        <v>14</v>
      </c>
      <c r="O69" s="52" t="s">
        <v>15</v>
      </c>
      <c r="P69" s="52" t="s">
        <v>16</v>
      </c>
      <c r="Q69" s="52" t="s">
        <v>17</v>
      </c>
      <c r="R69" s="52" t="s">
        <v>18</v>
      </c>
      <c r="S69" s="52" t="s">
        <v>19</v>
      </c>
      <c r="T69" s="52" t="s">
        <v>20</v>
      </c>
      <c r="U69" s="52" t="s">
        <v>21</v>
      </c>
      <c r="V69" s="52" t="s">
        <v>22</v>
      </c>
      <c r="W69" s="52" t="s">
        <v>23</v>
      </c>
      <c r="X69" s="52" t="s">
        <v>24</v>
      </c>
      <c r="Y69" s="52" t="s">
        <v>25</v>
      </c>
      <c r="Z69" s="52" t="s">
        <v>26</v>
      </c>
      <c r="AA69" s="52" t="s">
        <v>27</v>
      </c>
      <c r="AB69" s="52" t="s">
        <v>28</v>
      </c>
      <c r="AC69" s="52" t="s">
        <v>29</v>
      </c>
      <c r="AD69" s="52" t="s">
        <v>30</v>
      </c>
      <c r="AE69" s="52" t="s">
        <v>31</v>
      </c>
      <c r="AF69" s="52" t="s">
        <v>32</v>
      </c>
      <c r="AG69" s="52" t="s">
        <v>33</v>
      </c>
      <c r="AH69" s="52" t="s">
        <v>34</v>
      </c>
      <c r="AI69" s="52" t="s">
        <v>35</v>
      </c>
      <c r="AJ69" s="52" t="s">
        <v>36</v>
      </c>
      <c r="AK69" s="52" t="s">
        <v>37</v>
      </c>
      <c r="AL69" s="52" t="s">
        <v>38</v>
      </c>
      <c r="AM69" s="15"/>
    </row>
    <row r="70" ht="12.75" customHeight="1" spans="2:39" x14ac:dyDescent="0.25">
      <c r="B70" s="16"/>
      <c r="C70" s="17"/>
      <c r="D70" s="17" t="s">
        <v>41</v>
      </c>
      <c r="E70" s="17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</row>
    <row r="71" ht="12.75" customHeight="1" spans="2:39" x14ac:dyDescent="0.25">
      <c r="B71" s="16"/>
      <c r="C71" s="17"/>
      <c r="D71" s="17" t="s">
        <v>42</v>
      </c>
      <c r="E71" s="17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9"/>
    </row>
    <row r="72" ht="12.75" customHeight="1" spans="2:39" x14ac:dyDescent="0.25">
      <c r="B72" s="16"/>
      <c r="C72" s="17"/>
      <c r="D72" s="17" t="s">
        <v>43</v>
      </c>
      <c r="E72" s="17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9"/>
    </row>
    <row r="73" ht="12.75" customHeight="1" spans="2:39" x14ac:dyDescent="0.25">
      <c r="B73" s="16"/>
      <c r="C73" s="17"/>
      <c r="D73" s="17" t="s">
        <v>44</v>
      </c>
      <c r="E73" s="17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9"/>
    </row>
    <row r="74" ht="12.75" customHeight="1" spans="2:39" x14ac:dyDescent="0.25">
      <c r="B74" s="20"/>
      <c r="C74" s="21"/>
      <c r="D74" s="21" t="s">
        <v>45</v>
      </c>
      <c r="E74" s="21"/>
      <c r="F74" s="21"/>
      <c r="G74" s="22">
        <f>G70+G71+G72+G73</f>
      </c>
      <c r="H74" s="22">
        <f>H70+H71+H72+H73</f>
      </c>
      <c r="I74" s="22">
        <f>I70+I71+I72+I73</f>
      </c>
      <c r="J74" s="22">
        <f>J70+J71+J72+J73</f>
      </c>
      <c r="K74" s="22">
        <f>K70+K71+K72+K73</f>
      </c>
      <c r="L74" s="22">
        <f>L70+L71+L72+L73</f>
      </c>
      <c r="M74" s="22">
        <f>M70+M71+M72+M73</f>
      </c>
      <c r="N74" s="22">
        <f>N70+N71+N72+N73</f>
      </c>
      <c r="O74" s="22">
        <f>O70+O71+O72+O73</f>
      </c>
      <c r="P74" s="22">
        <f>P70+P71+P72+P73</f>
      </c>
      <c r="Q74" s="22">
        <f>Q70+Q71+Q72+Q73</f>
      </c>
      <c r="R74" s="22">
        <f>R70+R71+R72+R73</f>
      </c>
      <c r="S74" s="22">
        <f>S70+S71+S72+S73</f>
      </c>
      <c r="T74" s="22">
        <f>T70+T71+T72+T73</f>
      </c>
      <c r="U74" s="22">
        <f>U70+U71+U72+U73</f>
      </c>
      <c r="V74" s="22">
        <f>V70+V71+V72+V73</f>
      </c>
      <c r="W74" s="22">
        <f>W70+W71+W72+W73</f>
      </c>
      <c r="X74" s="22">
        <f>X70+X71+X72+X73</f>
      </c>
      <c r="Y74" s="22">
        <f>Y70+Y71+Y72+Y73</f>
      </c>
      <c r="Z74" s="22">
        <f>Z70+Z71+Z72+Z73</f>
      </c>
      <c r="AA74" s="22">
        <f>AA70+AA71+AA72+AA73</f>
      </c>
      <c r="AB74" s="22">
        <f>AB70+AB71+AB72+AB73</f>
      </c>
      <c r="AC74" s="22">
        <f>AC70+AC71+AC72+AC73</f>
      </c>
      <c r="AD74" s="22">
        <f>AD70+AD71+AD72+AD73</f>
      </c>
      <c r="AE74" s="22">
        <f>AE70+AE71+AE72+AE73</f>
      </c>
      <c r="AF74" s="22">
        <f>AF70+AF71+AF72+AF73</f>
      </c>
      <c r="AG74" s="22">
        <f>AG70+AG71+AG72+AG73</f>
      </c>
      <c r="AH74" s="22">
        <f>AH70+AH71+AH72+AH73</f>
      </c>
      <c r="AI74" s="22">
        <f>AI70+AI71+AI72+AI73</f>
      </c>
      <c r="AJ74" s="22">
        <f>AJ70+AJ71+AJ72+AJ73</f>
      </c>
      <c r="AK74" s="22">
        <f>AK70+AK71+AK72+AK73</f>
      </c>
      <c r="AL74" s="22">
        <f>AL70+AL71+AL72+AL73</f>
      </c>
      <c r="AM74" s="23"/>
    </row>
    <row r="76" ht="12.75" customHeight="1" spans="2:39" x14ac:dyDescent="0.25">
      <c r="B76" s="11" t="s">
        <v>47</v>
      </c>
      <c r="C76" s="12"/>
      <c r="D76" s="12"/>
      <c r="E76" s="12"/>
      <c r="F76" s="12"/>
      <c r="G76" s="52" t="s">
        <v>7</v>
      </c>
      <c r="H76" s="52" t="s">
        <v>8</v>
      </c>
      <c r="I76" s="52" t="s">
        <v>9</v>
      </c>
      <c r="J76" s="52" t="s">
        <v>10</v>
      </c>
      <c r="K76" s="52" t="s">
        <v>11</v>
      </c>
      <c r="L76" s="52" t="s">
        <v>12</v>
      </c>
      <c r="M76" s="52" t="s">
        <v>13</v>
      </c>
      <c r="N76" s="52" t="s">
        <v>14</v>
      </c>
      <c r="O76" s="52" t="s">
        <v>15</v>
      </c>
      <c r="P76" s="52" t="s">
        <v>16</v>
      </c>
      <c r="Q76" s="52" t="s">
        <v>17</v>
      </c>
      <c r="R76" s="52" t="s">
        <v>18</v>
      </c>
      <c r="S76" s="52" t="s">
        <v>19</v>
      </c>
      <c r="T76" s="52" t="s">
        <v>20</v>
      </c>
      <c r="U76" s="52" t="s">
        <v>21</v>
      </c>
      <c r="V76" s="52" t="s">
        <v>22</v>
      </c>
      <c r="W76" s="52" t="s">
        <v>23</v>
      </c>
      <c r="X76" s="52" t="s">
        <v>24</v>
      </c>
      <c r="Y76" s="52" t="s">
        <v>25</v>
      </c>
      <c r="Z76" s="52" t="s">
        <v>26</v>
      </c>
      <c r="AA76" s="52" t="s">
        <v>27</v>
      </c>
      <c r="AB76" s="52" t="s">
        <v>28</v>
      </c>
      <c r="AC76" s="52" t="s">
        <v>29</v>
      </c>
      <c r="AD76" s="52" t="s">
        <v>30</v>
      </c>
      <c r="AE76" s="52" t="s">
        <v>31</v>
      </c>
      <c r="AF76" s="52" t="s">
        <v>32</v>
      </c>
      <c r="AG76" s="52" t="s">
        <v>33</v>
      </c>
      <c r="AH76" s="52" t="s">
        <v>34</v>
      </c>
      <c r="AI76" s="52" t="s">
        <v>35</v>
      </c>
      <c r="AJ76" s="52" t="s">
        <v>36</v>
      </c>
      <c r="AK76" s="52" t="s">
        <v>37</v>
      </c>
      <c r="AL76" s="52" t="s">
        <v>38</v>
      </c>
      <c r="AM76" s="15"/>
    </row>
    <row r="77" ht="12.75" customHeight="1" spans="2:39" x14ac:dyDescent="0.25">
      <c r="B77" s="16"/>
      <c r="C77" s="17"/>
      <c r="D77" s="17" t="s">
        <v>41</v>
      </c>
      <c r="E77" s="17"/>
      <c r="F77" s="17"/>
      <c r="G77" s="24">
        <f>G70-G63</f>
      </c>
      <c r="H77" s="24">
        <f>H70-H63</f>
      </c>
      <c r="I77" s="24">
        <f>I70-I63</f>
      </c>
      <c r="J77" s="24">
        <f>J70-J63</f>
      </c>
      <c r="K77" s="24">
        <f>K70-K63</f>
      </c>
      <c r="L77" s="24">
        <f>L70-L63</f>
      </c>
      <c r="M77" s="24">
        <f>M70-M63</f>
      </c>
      <c r="N77" s="24">
        <f>N70-N63</f>
      </c>
      <c r="O77" s="24">
        <f>O70-O63</f>
      </c>
      <c r="P77" s="24">
        <f>P70-P63</f>
      </c>
      <c r="Q77" s="24">
        <f>Q70-Q63</f>
      </c>
      <c r="R77" s="24">
        <f>R70-R63</f>
      </c>
      <c r="S77" s="24">
        <f>S70-S63</f>
      </c>
      <c r="T77" s="24">
        <f>T70-T63</f>
      </c>
      <c r="U77" s="24">
        <f>U70-U63</f>
      </c>
      <c r="V77" s="24">
        <f>V70-V63</f>
      </c>
      <c r="W77" s="24">
        <f>W70-W63</f>
      </c>
      <c r="X77" s="24">
        <f>X70-X63</f>
      </c>
      <c r="Y77" s="24">
        <f>Y70-Y63</f>
      </c>
      <c r="Z77" s="24">
        <f>Z70-Z63</f>
      </c>
      <c r="AA77" s="24">
        <f>AA70-AA63</f>
      </c>
      <c r="AB77" s="24">
        <f>AB70-AB63</f>
      </c>
      <c r="AC77" s="24">
        <f>AC70-AC63</f>
      </c>
      <c r="AD77" s="24">
        <f>AD70-AD63</f>
      </c>
      <c r="AE77" s="24">
        <f>AE70-AE63</f>
      </c>
      <c r="AF77" s="24">
        <f>AF70-AF63</f>
      </c>
      <c r="AG77" s="24">
        <f>AG70-AG63</f>
      </c>
      <c r="AH77" s="24">
        <f>AH70-AH63</f>
      </c>
      <c r="AI77" s="24">
        <f>AI70-AI63</f>
      </c>
      <c r="AJ77" s="24">
        <f>AJ70-AJ63</f>
      </c>
      <c r="AK77" s="24">
        <f>AK70-AK63</f>
      </c>
      <c r="AL77" s="24">
        <f>AL70-AL63</f>
      </c>
      <c r="AM77" s="19"/>
    </row>
    <row r="78" ht="12.75" customHeight="1" spans="2:39" x14ac:dyDescent="0.25">
      <c r="B78" s="16"/>
      <c r="C78" s="17"/>
      <c r="D78" s="17" t="s">
        <v>42</v>
      </c>
      <c r="E78" s="17"/>
      <c r="F78" s="17"/>
      <c r="G78" s="24">
        <f>G71-G64</f>
      </c>
      <c r="H78" s="24">
        <f>H71-H64</f>
      </c>
      <c r="I78" s="24">
        <f>I71-I64</f>
      </c>
      <c r="J78" s="24">
        <f>J71-J64</f>
      </c>
      <c r="K78" s="24">
        <f>K71-K64</f>
      </c>
      <c r="L78" s="24">
        <f>L71-L64</f>
      </c>
      <c r="M78" s="24">
        <f>M71-M64</f>
      </c>
      <c r="N78" s="24">
        <f>N71-N64</f>
      </c>
      <c r="O78" s="24">
        <f>O71-O64</f>
      </c>
      <c r="P78" s="24">
        <f>P71-P64</f>
      </c>
      <c r="Q78" s="24">
        <f>Q71-Q64</f>
      </c>
      <c r="R78" s="24">
        <f>R71-R64</f>
      </c>
      <c r="S78" s="24">
        <f>S71-S64</f>
      </c>
      <c r="T78" s="24">
        <f>T71-T64</f>
      </c>
      <c r="U78" s="24">
        <f>U71-U64</f>
      </c>
      <c r="V78" s="24">
        <f>V71-V64</f>
      </c>
      <c r="W78" s="24">
        <f>W71-W64</f>
      </c>
      <c r="X78" s="24">
        <f>X71-X64</f>
      </c>
      <c r="Y78" s="24">
        <f>Y71-Y64</f>
      </c>
      <c r="Z78" s="24">
        <f>Z71-Z64</f>
      </c>
      <c r="AA78" s="24">
        <f>AA71-AA64</f>
      </c>
      <c r="AB78" s="24">
        <f>AB71-AB64</f>
      </c>
      <c r="AC78" s="24">
        <f>AC71-AC64</f>
      </c>
      <c r="AD78" s="24">
        <f>AD71-AD64</f>
      </c>
      <c r="AE78" s="24">
        <f>AE71-AE64</f>
      </c>
      <c r="AF78" s="24">
        <f>AF71-AF64</f>
      </c>
      <c r="AG78" s="24">
        <f>AG71-AG64</f>
      </c>
      <c r="AH78" s="24">
        <f>AH71-AH64</f>
      </c>
      <c r="AI78" s="24">
        <f>AI71-AI64</f>
      </c>
      <c r="AJ78" s="24">
        <f>AJ71-AJ64</f>
      </c>
      <c r="AK78" s="24">
        <f>AK71-AK64</f>
      </c>
      <c r="AL78" s="24">
        <f>AL71-AL64</f>
      </c>
      <c r="AM78" s="19"/>
    </row>
    <row r="79" ht="12.75" customHeight="1" spans="2:39" x14ac:dyDescent="0.25">
      <c r="B79" s="16"/>
      <c r="C79" s="17"/>
      <c r="D79" s="17" t="s">
        <v>43</v>
      </c>
      <c r="E79" s="17"/>
      <c r="F79" s="17"/>
      <c r="G79" s="24">
        <f>G72-G65</f>
      </c>
      <c r="H79" s="24">
        <f>H72-H65</f>
      </c>
      <c r="I79" s="24">
        <f>I72-I65</f>
      </c>
      <c r="J79" s="24">
        <f>J72-J65</f>
      </c>
      <c r="K79" s="24">
        <f>K72-K65</f>
      </c>
      <c r="L79" s="24">
        <f>L72-L65</f>
      </c>
      <c r="M79" s="24">
        <f>M72-M65</f>
      </c>
      <c r="N79" s="24">
        <f>N72-N65</f>
      </c>
      <c r="O79" s="24">
        <f>O72-O65</f>
      </c>
      <c r="P79" s="24">
        <f>P72-P65</f>
      </c>
      <c r="Q79" s="24">
        <f>Q72-Q65</f>
      </c>
      <c r="R79" s="24">
        <f>R72-R65</f>
      </c>
      <c r="S79" s="24">
        <f>S72-S65</f>
      </c>
      <c r="T79" s="24">
        <f>T72-T65</f>
      </c>
      <c r="U79" s="24">
        <f>U72-U65</f>
      </c>
      <c r="V79" s="24">
        <f>V72-V65</f>
      </c>
      <c r="W79" s="24">
        <f>W72-W65</f>
      </c>
      <c r="X79" s="24">
        <f>X72-X65</f>
      </c>
      <c r="Y79" s="24">
        <f>Y72-Y65</f>
      </c>
      <c r="Z79" s="24">
        <f>Z72-Z65</f>
      </c>
      <c r="AA79" s="24">
        <f>AA72-AA65</f>
      </c>
      <c r="AB79" s="24">
        <f>AB72-AB65</f>
      </c>
      <c r="AC79" s="24">
        <f>AC72-AC65</f>
      </c>
      <c r="AD79" s="24">
        <f>AD72-AD65</f>
      </c>
      <c r="AE79" s="24">
        <f>AE72-AE65</f>
      </c>
      <c r="AF79" s="24">
        <f>AF72-AF65</f>
      </c>
      <c r="AG79" s="24">
        <f>AG72-AG65</f>
      </c>
      <c r="AH79" s="24">
        <f>AH72-AH65</f>
      </c>
      <c r="AI79" s="24">
        <f>AI72-AI65</f>
      </c>
      <c r="AJ79" s="24">
        <f>AJ72-AJ65</f>
      </c>
      <c r="AK79" s="24">
        <f>AK72-AK65</f>
      </c>
      <c r="AL79" s="24">
        <f>AL72-AL65</f>
      </c>
      <c r="AM79" s="19"/>
    </row>
    <row r="80" ht="12.75" customHeight="1" spans="2:39" x14ac:dyDescent="0.25">
      <c r="B80" s="16"/>
      <c r="C80" s="17"/>
      <c r="D80" s="17" t="s">
        <v>44</v>
      </c>
      <c r="E80" s="17"/>
      <c r="F80" s="17"/>
      <c r="G80" s="24">
        <f>G73-G66</f>
      </c>
      <c r="H80" s="24">
        <f>H73-H66</f>
      </c>
      <c r="I80" s="24">
        <f>I73-I66</f>
      </c>
      <c r="J80" s="24">
        <f>J73-J66</f>
      </c>
      <c r="K80" s="24">
        <f>K73-K66</f>
      </c>
      <c r="L80" s="24">
        <f>L73-L66</f>
      </c>
      <c r="M80" s="24">
        <f>M73-M66</f>
      </c>
      <c r="N80" s="24">
        <f>N73-N66</f>
      </c>
      <c r="O80" s="24">
        <f>O73-O66</f>
      </c>
      <c r="P80" s="24">
        <f>P73-P66</f>
      </c>
      <c r="Q80" s="24">
        <f>Q73-Q66</f>
      </c>
      <c r="R80" s="24">
        <f>R73-R66</f>
      </c>
      <c r="S80" s="24">
        <f>S73-S66</f>
      </c>
      <c r="T80" s="24">
        <f>T73-T66</f>
      </c>
      <c r="U80" s="24">
        <f>U73-U66</f>
      </c>
      <c r="V80" s="24">
        <f>V73-V66</f>
      </c>
      <c r="W80" s="24">
        <f>W73-W66</f>
      </c>
      <c r="X80" s="24">
        <f>X73-X66</f>
      </c>
      <c r="Y80" s="24">
        <f>Y73-Y66</f>
      </c>
      <c r="Z80" s="24">
        <f>Z73-Z66</f>
      </c>
      <c r="AA80" s="24">
        <f>AA73-AA66</f>
      </c>
      <c r="AB80" s="24">
        <f>AB73-AB66</f>
      </c>
      <c r="AC80" s="24">
        <f>AC73-AC66</f>
      </c>
      <c r="AD80" s="24">
        <f>AD73-AD66</f>
      </c>
      <c r="AE80" s="24">
        <f>AE73-AE66</f>
      </c>
      <c r="AF80" s="24">
        <f>AF73-AF66</f>
      </c>
      <c r="AG80" s="24">
        <f>AG73-AG66</f>
      </c>
      <c r="AH80" s="24">
        <f>AH73-AH66</f>
      </c>
      <c r="AI80" s="24">
        <f>AI73-AI66</f>
      </c>
      <c r="AJ80" s="24">
        <f>AJ73-AJ66</f>
      </c>
      <c r="AK80" s="24">
        <f>AK73-AK66</f>
      </c>
      <c r="AL80" s="24">
        <f>AL73-AL66</f>
      </c>
      <c r="AM80" s="19"/>
    </row>
    <row r="81" ht="12.75" customHeight="1" spans="2:39" x14ac:dyDescent="0.25">
      <c r="B81" s="20"/>
      <c r="C81" s="21"/>
      <c r="D81" s="21" t="s">
        <v>45</v>
      </c>
      <c r="E81" s="21"/>
      <c r="F81" s="21"/>
      <c r="G81" s="25">
        <f>G77+G78+G79+G80</f>
      </c>
      <c r="H81" s="25">
        <f>H77+H78+H79+H80</f>
      </c>
      <c r="I81" s="25">
        <f>I77+I78+I79+I80</f>
      </c>
      <c r="J81" s="25">
        <f>J77+J78+J79+J80</f>
      </c>
      <c r="K81" s="25">
        <f>K77+K78+K79+K80</f>
      </c>
      <c r="L81" s="25">
        <f>L77+L78+L79+L80</f>
      </c>
      <c r="M81" s="25">
        <f>M77+M78+M79+M80</f>
      </c>
      <c r="N81" s="25">
        <f>N77+N78+N79+N80</f>
      </c>
      <c r="O81" s="25">
        <f>O77+O78+O79+O80</f>
      </c>
      <c r="P81" s="25">
        <f>P77+P78+P79+P80</f>
      </c>
      <c r="Q81" s="25">
        <f>Q77+Q78+Q79+Q80</f>
      </c>
      <c r="R81" s="25">
        <f>R77+R78+R79+R80</f>
      </c>
      <c r="S81" s="25">
        <f>S77+S78+S79+S80</f>
      </c>
      <c r="T81" s="25">
        <f>T77+T78+T79+T80</f>
      </c>
      <c r="U81" s="25">
        <f>U77+U78+U79+U80</f>
      </c>
      <c r="V81" s="25">
        <f>V77+V78+V79+V80</f>
      </c>
      <c r="W81" s="25">
        <f>W77+W78+W79+W80</f>
      </c>
      <c r="X81" s="25">
        <f>X77+X78+X79+X80</f>
      </c>
      <c r="Y81" s="25">
        <f>Y77+Y78+Y79+Y80</f>
      </c>
      <c r="Z81" s="25">
        <f>Z77+Z78+Z79+Z80</f>
      </c>
      <c r="AA81" s="25">
        <f>AA77+AA78+AA79+AA80</f>
      </c>
      <c r="AB81" s="25">
        <f>AB77+AB78+AB79+AB80</f>
      </c>
      <c r="AC81" s="25">
        <f>AC77+AC78+AC79+AC80</f>
      </c>
      <c r="AD81" s="25">
        <f>AD77+AD78+AD79+AD80</f>
      </c>
      <c r="AE81" s="25">
        <f>AE77+AE78+AE79+AE80</f>
      </c>
      <c r="AF81" s="25">
        <f>AF77+AF78+AF79+AF80</f>
      </c>
      <c r="AG81" s="25">
        <f>AG77+AG78+AG79+AG80</f>
      </c>
      <c r="AH81" s="25">
        <f>AH77+AH78+AH79+AH80</f>
      </c>
      <c r="AI81" s="25">
        <f>AI77+AI78+AI79+AI80</f>
      </c>
      <c r="AJ81" s="25">
        <f>AJ77+AJ78+AJ79+AJ80</f>
      </c>
      <c r="AK81" s="25">
        <f>AK77+AK78+AK79+AK80</f>
      </c>
      <c r="AL81" s="25">
        <f>AL77+AL78+AL79+AL80</f>
      </c>
      <c r="AM81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110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50</v>
      </c>
      <c r="E9" s="32"/>
      <c r="F9" s="32"/>
      <c r="G9" s="32"/>
      <c r="H9" s="32"/>
      <c r="I9" s="33">
        <v>1769.67</v>
      </c>
      <c r="J9" s="33">
        <v>1323.68</v>
      </c>
      <c r="K9" s="33">
        <v>1198.76</v>
      </c>
      <c r="L9" s="33">
        <v>816.13</v>
      </c>
      <c r="M9" s="33">
        <v>540.39</v>
      </c>
      <c r="N9" s="33">
        <v>130.47</v>
      </c>
      <c r="O9" s="33">
        <v>96.75</v>
      </c>
      <c r="P9" s="33">
        <v>188.41</v>
      </c>
      <c r="Q9" s="33">
        <v>400.18</v>
      </c>
      <c r="R9" s="33">
        <v>662.08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51</v>
      </c>
      <c r="E10" s="32"/>
      <c r="F10" s="32"/>
      <c r="G10" s="32"/>
      <c r="H10" s="32"/>
      <c r="I10" s="33">
        <v>4867.52</v>
      </c>
      <c r="J10" s="33">
        <v>3471.19</v>
      </c>
      <c r="K10" s="33">
        <v>3075.23</v>
      </c>
      <c r="L10" s="33">
        <v>1935.74</v>
      </c>
      <c r="M10" s="33">
        <v>1287.33</v>
      </c>
      <c r="N10" s="33">
        <v>238.23</v>
      </c>
      <c r="O10" s="33">
        <v>168.65</v>
      </c>
      <c r="P10" s="33">
        <v>427.17</v>
      </c>
      <c r="Q10" s="33">
        <v>952.06</v>
      </c>
      <c r="R10" s="33">
        <v>1683.35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4">
        <f>SUM(E10:AI10)</f>
      </c>
      <c r="AK10" s="35"/>
    </row>
    <row r="11" ht="12.75" customHeight="1" spans="2:37" x14ac:dyDescent="0.25">
      <c r="B11" s="30" t="s">
        <v>41</v>
      </c>
      <c r="C11" s="31" t="s">
        <v>3</v>
      </c>
      <c r="D11" s="32" t="s">
        <v>52</v>
      </c>
      <c r="E11" s="32"/>
      <c r="F11" s="32"/>
      <c r="G11" s="32"/>
      <c r="H11" s="32"/>
      <c r="I11" s="33">
        <v>227.8</v>
      </c>
      <c r="J11" s="33">
        <v>217.47</v>
      </c>
      <c r="K11" s="33">
        <v>192.94</v>
      </c>
      <c r="L11" s="33">
        <v>153.22</v>
      </c>
      <c r="M11" s="33">
        <v>133.36</v>
      </c>
      <c r="N11" s="33">
        <v>107.45</v>
      </c>
      <c r="O11" s="33">
        <v>109.02</v>
      </c>
      <c r="P11" s="33">
        <v>108.68</v>
      </c>
      <c r="Q11" s="33">
        <v>102.57</v>
      </c>
      <c r="R11" s="33">
        <v>96.75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4">
        <f>SUM(E11:AI11)</f>
      </c>
      <c r="AK11" s="35"/>
    </row>
    <row r="12" ht="12.75" customHeight="1" spans="2:37" x14ac:dyDescent="0.25">
      <c r="B12" s="30" t="s">
        <v>41</v>
      </c>
      <c r="C12" s="31" t="s">
        <v>3</v>
      </c>
      <c r="D12" s="32" t="s">
        <v>54</v>
      </c>
      <c r="E12" s="32"/>
      <c r="F12" s="32"/>
      <c r="G12" s="32"/>
      <c r="H12" s="32"/>
      <c r="I12" s="32"/>
      <c r="J12" s="32"/>
      <c r="K12" s="33">
        <v>45.07</v>
      </c>
      <c r="L12" s="33">
        <v>12.1</v>
      </c>
      <c r="M12" s="33">
        <v>12.1</v>
      </c>
      <c r="N12" s="33">
        <v>12.1</v>
      </c>
      <c r="O12" s="33">
        <v>12.11</v>
      </c>
      <c r="P12" s="33">
        <v>12.11</v>
      </c>
      <c r="Q12" s="33">
        <v>12.11</v>
      </c>
      <c r="R12" s="33">
        <v>12.11</v>
      </c>
      <c r="S12" s="33">
        <v>12.11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4">
        <f>SUM(E12:AI12)</f>
      </c>
      <c r="AK12" s="35"/>
    </row>
    <row r="13" ht="12.75" customHeight="1" spans="2:37" x14ac:dyDescent="0.25">
      <c r="B13" s="30" t="s">
        <v>41</v>
      </c>
      <c r="C13" s="31" t="s">
        <v>3</v>
      </c>
      <c r="D13" s="32" t="s">
        <v>55</v>
      </c>
      <c r="E13" s="32"/>
      <c r="F13" s="32"/>
      <c r="G13" s="32"/>
      <c r="H13" s="32"/>
      <c r="I13" s="32"/>
      <c r="J13" s="32"/>
      <c r="K13" s="32"/>
      <c r="L13" s="32"/>
      <c r="M13" s="33">
        <v>51.58</v>
      </c>
      <c r="N13" s="33">
        <v>12.1</v>
      </c>
      <c r="O13" s="33">
        <v>12.11</v>
      </c>
      <c r="P13" s="33">
        <v>12.11</v>
      </c>
      <c r="Q13" s="33">
        <v>12.11</v>
      </c>
      <c r="R13" s="33">
        <v>12.11</v>
      </c>
      <c r="S13" s="33">
        <v>12.11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7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40"/>
    </row>
    <row r="15" ht="12.75" customHeight="1" spans="2:37" x14ac:dyDescent="0.25">
      <c r="B15" s="20" t="s">
        <v>64</v>
      </c>
      <c r="C15" s="21"/>
      <c r="D15" s="21"/>
      <c r="E15" s="22">
        <f>SUM(E9:E13)</f>
      </c>
      <c r="F15" s="22">
        <f>SUM(F9:F13)</f>
      </c>
      <c r="G15" s="22">
        <f>SUM(G9:G13)</f>
      </c>
      <c r="H15" s="22">
        <f>SUM(H9:H13)</f>
      </c>
      <c r="I15" s="22">
        <f>SUM(I9:I13)</f>
      </c>
      <c r="J15" s="22">
        <f>SUM(J9:J13)</f>
      </c>
      <c r="K15" s="22">
        <f>SUM(K9:K13)</f>
      </c>
      <c r="L15" s="22">
        <f>SUM(L9:L13)</f>
      </c>
      <c r="M15" s="22">
        <f>SUM(M9:M13)</f>
      </c>
      <c r="N15" s="22">
        <f>SUM(N9:N13)</f>
      </c>
      <c r="O15" s="22">
        <f>SUM(O9:O13)</f>
      </c>
      <c r="P15" s="22">
        <f>SUM(P9:P13)</f>
      </c>
      <c r="Q15" s="22">
        <f>SUM(Q9:Q13)</f>
      </c>
      <c r="R15" s="22">
        <f>SUM(R9:R13)</f>
      </c>
      <c r="S15" s="22">
        <f>SUM(S9:S13)</f>
      </c>
      <c r="T15" s="22">
        <f>SUM(T9:T13)</f>
      </c>
      <c r="U15" s="22">
        <f>SUM(U9:U13)</f>
      </c>
      <c r="V15" s="22">
        <f>SUM(V9:V13)</f>
      </c>
      <c r="W15" s="22">
        <f>SUM(W9:W13)</f>
      </c>
      <c r="X15" s="22">
        <f>SUM(X9:X13)</f>
      </c>
      <c r="Y15" s="22">
        <f>SUM(Y9:Y13)</f>
      </c>
      <c r="Z15" s="22">
        <f>SUM(Z9:Z13)</f>
      </c>
      <c r="AA15" s="22">
        <f>SUM(AA9:AA13)</f>
      </c>
      <c r="AB15" s="22">
        <f>SUM(AB9:AB13)</f>
      </c>
      <c r="AC15" s="22">
        <f>SUM(AC9:AC13)</f>
      </c>
      <c r="AD15" s="22">
        <f>SUM(AD9:AD13)</f>
      </c>
      <c r="AE15" s="22">
        <f>SUM(AE9:AE13)</f>
      </c>
      <c r="AF15" s="22">
        <f>SUM(AF9:AF13)</f>
      </c>
      <c r="AG15" s="22">
        <f>SUM(AG9:AG13)</f>
      </c>
      <c r="AH15" s="22">
        <f>SUM(AH9:AH13)</f>
      </c>
      <c r="AI15" s="22">
        <f>SUM(AI9:AI13)</f>
      </c>
      <c r="AJ15" s="22">
        <f>SUM(AJ9:AJ13)</f>
      </c>
      <c r="AK15" s="23"/>
    </row>
    <row r="17" ht="12.75" customHeight="1" spans="2:37" x14ac:dyDescent="0.25">
      <c r="B17" s="26" t="s">
        <v>42</v>
      </c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9"/>
    </row>
    <row r="18" ht="12.75" customHeight="1" spans="2:37" x14ac:dyDescent="0.25">
      <c r="B18" s="30" t="s">
        <v>42</v>
      </c>
      <c r="C18" s="31" t="s">
        <v>3</v>
      </c>
      <c r="D18" s="32" t="s">
        <v>111</v>
      </c>
      <c r="E18" s="32"/>
      <c r="F18" s="32"/>
      <c r="G18" s="32"/>
      <c r="H18" s="36">
        <f>29.15+52.11+134.93</f>
        <v>216.19</v>
      </c>
      <c r="I18" s="36">
        <f>134.93+52.11+29.15</f>
        <v>216.19000000000003</v>
      </c>
      <c r="J18" s="36">
        <f>133.44+31.22+51.53</f>
        <v>216.19</v>
      </c>
      <c r="K18" s="36">
        <f>51.53+133.44+31.22</f>
        <v>216.19</v>
      </c>
      <c r="L18" s="36">
        <f>52.11+134.93+29.15</f>
        <v>216.19000000000003</v>
      </c>
      <c r="M18" s="36">
        <f>133.52+31.23+51.53</f>
        <v>216.28</v>
      </c>
      <c r="N18" s="36">
        <f>133.54+51.58+31.22</f>
        <v>216.34</v>
      </c>
      <c r="O18" s="36">
        <f>133.54+51.57+31.23</f>
        <v>216.33999999999997</v>
      </c>
      <c r="P18" s="36">
        <f>31.23+133.54+51.57</f>
        <v>216.33999999999997</v>
      </c>
      <c r="Q18" s="36">
        <f>31.23+133.54+51.57</f>
        <v>216.33999999999997</v>
      </c>
      <c r="R18" s="36">
        <f>51.57+31.23+133.54</f>
        <v>216.33999999999997</v>
      </c>
      <c r="S18" s="36">
        <f>136.43+52.15+31.23</f>
        <v>219.81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112</v>
      </c>
      <c r="E19" s="32"/>
      <c r="F19" s="32"/>
      <c r="G19" s="32"/>
      <c r="H19" s="33">
        <v>41.23</v>
      </c>
      <c r="I19" s="33">
        <v>40.91</v>
      </c>
      <c r="J19" s="33">
        <v>40.3</v>
      </c>
      <c r="K19" s="33">
        <v>40.71</v>
      </c>
      <c r="L19" s="33">
        <v>40.71</v>
      </c>
      <c r="M19" s="33">
        <v>44.15</v>
      </c>
      <c r="N19" s="33">
        <v>43.06</v>
      </c>
      <c r="O19" s="33">
        <v>46.01</v>
      </c>
      <c r="P19" s="33">
        <v>46.75</v>
      </c>
      <c r="Q19" s="33">
        <v>44.53</v>
      </c>
      <c r="R19" s="33">
        <v>43.42</v>
      </c>
      <c r="S19" s="33">
        <v>42.18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113</v>
      </c>
      <c r="E20" s="32"/>
      <c r="F20" s="32"/>
      <c r="G20" s="32"/>
      <c r="H20" s="33">
        <v>591.36</v>
      </c>
      <c r="I20" s="33">
        <v>629.81</v>
      </c>
      <c r="J20" s="33">
        <v>588.83</v>
      </c>
      <c r="K20" s="33">
        <v>607.78</v>
      </c>
      <c r="L20" s="33">
        <v>589.78</v>
      </c>
      <c r="M20" s="33">
        <v>693.57</v>
      </c>
      <c r="N20" s="33">
        <v>668.97</v>
      </c>
      <c r="O20" s="33">
        <v>769.55</v>
      </c>
      <c r="P20" s="33">
        <v>795.76</v>
      </c>
      <c r="Q20" s="33">
        <v>628.48</v>
      </c>
      <c r="R20" s="33">
        <v>704.74</v>
      </c>
      <c r="S20" s="33">
        <v>630.78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114</v>
      </c>
      <c r="E21" s="32"/>
      <c r="F21" s="32"/>
      <c r="G21" s="32"/>
      <c r="H21" s="33">
        <v>1195.24</v>
      </c>
      <c r="I21" s="33">
        <v>1446.58</v>
      </c>
      <c r="J21" s="33">
        <v>1128.23</v>
      </c>
      <c r="K21" s="33">
        <v>987.99</v>
      </c>
      <c r="L21" s="33">
        <v>1084.06</v>
      </c>
      <c r="M21" s="33">
        <v>1488.91</v>
      </c>
      <c r="N21" s="33">
        <v>2204.73</v>
      </c>
      <c r="O21" s="33">
        <v>3220.94</v>
      </c>
      <c r="P21" s="33">
        <v>3084.09</v>
      </c>
      <c r="Q21" s="33">
        <v>2235.93</v>
      </c>
      <c r="R21" s="33">
        <v>1827.32</v>
      </c>
      <c r="S21" s="33">
        <v>886.42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115</v>
      </c>
      <c r="E22" s="32"/>
      <c r="F22" s="32"/>
      <c r="G22" s="32"/>
      <c r="H22" s="33">
        <v>634.14</v>
      </c>
      <c r="I22" s="33">
        <v>765.18</v>
      </c>
      <c r="J22" s="33">
        <v>623.29</v>
      </c>
      <c r="K22" s="33">
        <v>570.66</v>
      </c>
      <c r="L22" s="33">
        <v>725.92</v>
      </c>
      <c r="M22" s="33">
        <v>937.01</v>
      </c>
      <c r="N22" s="33">
        <v>1076.1</v>
      </c>
      <c r="O22" s="33">
        <v>1545.3</v>
      </c>
      <c r="P22" s="33">
        <v>1278.28</v>
      </c>
      <c r="Q22" s="33">
        <v>976.51</v>
      </c>
      <c r="R22" s="33">
        <v>889.93</v>
      </c>
      <c r="S22" s="33">
        <v>577.14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116</v>
      </c>
      <c r="E23" s="32"/>
      <c r="F23" s="32"/>
      <c r="G23" s="32"/>
      <c r="H23" s="33">
        <v>1458.63</v>
      </c>
      <c r="I23" s="33">
        <v>1930.16</v>
      </c>
      <c r="J23" s="33">
        <v>1361</v>
      </c>
      <c r="K23" s="33">
        <v>1086.33</v>
      </c>
      <c r="L23" s="33">
        <v>1153.7</v>
      </c>
      <c r="M23" s="33">
        <v>1858.01</v>
      </c>
      <c r="N23" s="33">
        <v>3145.2</v>
      </c>
      <c r="O23" s="33">
        <v>4419.19</v>
      </c>
      <c r="P23" s="33">
        <v>4280.53</v>
      </c>
      <c r="Q23" s="33">
        <v>2993.09</v>
      </c>
      <c r="R23" s="33">
        <v>2458.77</v>
      </c>
      <c r="S23" s="33">
        <v>975.2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117</v>
      </c>
      <c r="E24" s="32"/>
      <c r="F24" s="32"/>
      <c r="G24" s="32"/>
      <c r="H24" s="33">
        <v>1210.06</v>
      </c>
      <c r="I24" s="33">
        <v>1816.4</v>
      </c>
      <c r="J24" s="33">
        <v>1252.85</v>
      </c>
      <c r="K24" s="33">
        <v>1193.92</v>
      </c>
      <c r="L24" s="33">
        <v>1291.46</v>
      </c>
      <c r="M24" s="33">
        <v>2030.17</v>
      </c>
      <c r="N24" s="33">
        <v>3419.67</v>
      </c>
      <c r="O24" s="33">
        <v>4883.15</v>
      </c>
      <c r="P24" s="33">
        <v>4559.32</v>
      </c>
      <c r="Q24" s="33">
        <v>3219.98</v>
      </c>
      <c r="R24" s="33">
        <v>2609.3</v>
      </c>
      <c r="S24" s="33">
        <v>1287.81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118</v>
      </c>
      <c r="E25" s="32"/>
      <c r="F25" s="32"/>
      <c r="G25" s="32"/>
      <c r="H25" s="33">
        <v>1311.47</v>
      </c>
      <c r="I25" s="33">
        <v>1627.98</v>
      </c>
      <c r="J25" s="33">
        <v>1238.18</v>
      </c>
      <c r="K25" s="33">
        <v>1174.65</v>
      </c>
      <c r="L25" s="33">
        <v>1339.29</v>
      </c>
      <c r="M25" s="33">
        <v>2138.05</v>
      </c>
      <c r="N25" s="33">
        <v>3149.76</v>
      </c>
      <c r="O25" s="33">
        <v>4245.65</v>
      </c>
      <c r="P25" s="33">
        <v>4285.61</v>
      </c>
      <c r="Q25" s="33">
        <v>2986.11</v>
      </c>
      <c r="R25" s="33">
        <v>2440.01</v>
      </c>
      <c r="S25" s="33">
        <v>1034.81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119</v>
      </c>
      <c r="E26" s="32"/>
      <c r="F26" s="32"/>
      <c r="G26" s="32"/>
      <c r="H26" s="33">
        <v>797.43</v>
      </c>
      <c r="I26" s="33">
        <v>1024.91</v>
      </c>
      <c r="J26" s="33">
        <v>749.63</v>
      </c>
      <c r="K26" s="33">
        <v>615.81</v>
      </c>
      <c r="L26" s="33">
        <v>692.46</v>
      </c>
      <c r="M26" s="33">
        <v>1222.09</v>
      </c>
      <c r="N26" s="33">
        <v>2063.62</v>
      </c>
      <c r="O26" s="33">
        <v>2862.08</v>
      </c>
      <c r="P26" s="33">
        <v>2447.82</v>
      </c>
      <c r="Q26" s="33">
        <v>1818.43</v>
      </c>
      <c r="R26" s="33">
        <v>1440.86</v>
      </c>
      <c r="S26" s="33">
        <v>704.29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120</v>
      </c>
      <c r="E27" s="32"/>
      <c r="F27" s="32"/>
      <c r="G27" s="32"/>
      <c r="H27" s="32"/>
      <c r="I27" s="33">
        <v>1470.71</v>
      </c>
      <c r="J27" s="33">
        <v>1470.71</v>
      </c>
      <c r="K27" s="33">
        <v>1470.71</v>
      </c>
      <c r="L27" s="33">
        <v>1470.71</v>
      </c>
      <c r="M27" s="33">
        <v>1471.08</v>
      </c>
      <c r="N27" s="33">
        <v>1471.27</v>
      </c>
      <c r="O27" s="33">
        <v>1471.27</v>
      </c>
      <c r="P27" s="33">
        <v>1471.27</v>
      </c>
      <c r="Q27" s="33">
        <v>1471.27</v>
      </c>
      <c r="R27" s="33">
        <v>1471.27</v>
      </c>
      <c r="S27" s="33">
        <v>1482.64</v>
      </c>
      <c r="T27" s="33">
        <v>1489.83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121</v>
      </c>
      <c r="E28" s="32"/>
      <c r="F28" s="32"/>
      <c r="G28" s="32"/>
      <c r="H28" s="33">
        <v>1092.9</v>
      </c>
      <c r="I28" s="33">
        <v>1441.14</v>
      </c>
      <c r="J28" s="33">
        <v>1007.42</v>
      </c>
      <c r="K28" s="33">
        <v>867.46</v>
      </c>
      <c r="L28" s="33">
        <v>829.62</v>
      </c>
      <c r="M28" s="33">
        <v>1200.31</v>
      </c>
      <c r="N28" s="33">
        <v>2040.55</v>
      </c>
      <c r="O28" s="33">
        <v>2993.16</v>
      </c>
      <c r="P28" s="33">
        <v>2734.13</v>
      </c>
      <c r="Q28" s="33">
        <v>1999.19</v>
      </c>
      <c r="R28" s="33">
        <v>1664.07</v>
      </c>
      <c r="S28" s="33">
        <v>961.59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122</v>
      </c>
      <c r="E29" s="32"/>
      <c r="F29" s="32"/>
      <c r="G29" s="32"/>
      <c r="H29" s="33">
        <v>643.68</v>
      </c>
      <c r="I29" s="33">
        <v>801.71</v>
      </c>
      <c r="J29" s="33">
        <v>610.09</v>
      </c>
      <c r="K29" s="33">
        <v>571.85</v>
      </c>
      <c r="L29" s="33">
        <v>669.62</v>
      </c>
      <c r="M29" s="33">
        <v>1100.86</v>
      </c>
      <c r="N29" s="33">
        <v>1982.63</v>
      </c>
      <c r="O29" s="33">
        <v>2977.34</v>
      </c>
      <c r="P29" s="33">
        <v>2802.74</v>
      </c>
      <c r="Q29" s="33">
        <v>1907.21</v>
      </c>
      <c r="R29" s="33">
        <v>1615.44</v>
      </c>
      <c r="S29" s="33">
        <v>625.37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123</v>
      </c>
      <c r="E30" s="32"/>
      <c r="F30" s="32"/>
      <c r="G30" s="32"/>
      <c r="H30" s="32"/>
      <c r="I30" s="33">
        <v>103.65</v>
      </c>
      <c r="J30" s="33">
        <v>114.62</v>
      </c>
      <c r="K30" s="33">
        <v>129.85</v>
      </c>
      <c r="L30" s="33">
        <v>192.35</v>
      </c>
      <c r="M30" s="33">
        <v>329.92</v>
      </c>
      <c r="N30" s="33">
        <v>492.46</v>
      </c>
      <c r="O30" s="33">
        <v>713.05</v>
      </c>
      <c r="P30" s="33">
        <v>736.61</v>
      </c>
      <c r="Q30" s="33">
        <v>502.85</v>
      </c>
      <c r="R30" s="33">
        <v>397.9</v>
      </c>
      <c r="S30" s="33">
        <v>154.33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124</v>
      </c>
      <c r="E31" s="32"/>
      <c r="F31" s="32"/>
      <c r="G31" s="32"/>
      <c r="H31" s="33">
        <v>1521.05</v>
      </c>
      <c r="I31" s="33">
        <v>1925.57</v>
      </c>
      <c r="J31" s="33">
        <v>1471.09</v>
      </c>
      <c r="K31" s="33">
        <v>1369.23</v>
      </c>
      <c r="L31" s="33">
        <v>1515.58</v>
      </c>
      <c r="M31" s="33">
        <v>2363.49</v>
      </c>
      <c r="N31" s="33">
        <v>3763.5</v>
      </c>
      <c r="O31" s="33">
        <v>5392.51</v>
      </c>
      <c r="P31" s="33">
        <v>5055.08</v>
      </c>
      <c r="Q31" s="33">
        <v>3309.55</v>
      </c>
      <c r="R31" s="36">
        <f>2800.69+0.00</f>
        <v>2800.69</v>
      </c>
      <c r="S31" s="33">
        <v>1444.05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125</v>
      </c>
      <c r="E32" s="32"/>
      <c r="F32" s="32"/>
      <c r="G32" s="32"/>
      <c r="H32" s="33">
        <v>254.8</v>
      </c>
      <c r="I32" s="33">
        <v>319.97</v>
      </c>
      <c r="J32" s="33">
        <v>248.87</v>
      </c>
      <c r="K32" s="33">
        <v>319.97</v>
      </c>
      <c r="L32" s="33">
        <v>371.34</v>
      </c>
      <c r="M32" s="33">
        <v>473.06</v>
      </c>
      <c r="N32" s="33">
        <v>600.65</v>
      </c>
      <c r="O32" s="33">
        <v>776.36</v>
      </c>
      <c r="P32" s="33">
        <v>685.16</v>
      </c>
      <c r="Q32" s="33">
        <v>561.68</v>
      </c>
      <c r="R32" s="33">
        <v>501.23</v>
      </c>
      <c r="S32" s="33">
        <v>250.06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126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6">
        <f>42.60+0.00</f>
        <v>42.6</v>
      </c>
      <c r="R33" s="33">
        <v>22.21</v>
      </c>
      <c r="S33" s="33">
        <v>21.66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127</v>
      </c>
      <c r="E34" s="32"/>
      <c r="F34" s="32"/>
      <c r="G34" s="32"/>
      <c r="H34" s="33">
        <v>1478.54</v>
      </c>
      <c r="I34" s="33">
        <v>2055.35</v>
      </c>
      <c r="J34" s="33">
        <v>1514.1</v>
      </c>
      <c r="K34" s="33">
        <v>1174.34</v>
      </c>
      <c r="L34" s="33">
        <v>1166.42</v>
      </c>
      <c r="M34" s="33">
        <v>1679.27</v>
      </c>
      <c r="N34" s="33">
        <v>2907.21</v>
      </c>
      <c r="O34" s="33">
        <v>4156.34</v>
      </c>
      <c r="P34" s="33">
        <v>3833.04</v>
      </c>
      <c r="Q34" s="36">
        <f>2213.61+0.00</f>
        <v>2213.61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128</v>
      </c>
      <c r="E35" s="32"/>
      <c r="F35" s="32"/>
      <c r="G35" s="32"/>
      <c r="H35" s="33">
        <v>1097.19</v>
      </c>
      <c r="I35" s="33">
        <v>1621.63</v>
      </c>
      <c r="J35" s="33">
        <v>1282.73</v>
      </c>
      <c r="K35" s="33">
        <v>1125.32</v>
      </c>
      <c r="L35" s="33">
        <v>1132.18</v>
      </c>
      <c r="M35" s="33">
        <v>1422.4</v>
      </c>
      <c r="N35" s="33">
        <v>2272.33</v>
      </c>
      <c r="O35" s="33">
        <v>3274.66</v>
      </c>
      <c r="P35" s="33">
        <v>2973.72</v>
      </c>
      <c r="Q35" s="33">
        <v>2000.62</v>
      </c>
      <c r="R35" s="33">
        <v>1627.19</v>
      </c>
      <c r="S35" s="33">
        <v>807.44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40"/>
    </row>
    <row r="37" ht="12.75" customHeight="1" spans="2:37" x14ac:dyDescent="0.25">
      <c r="B37" s="20" t="s">
        <v>85</v>
      </c>
      <c r="C37" s="21"/>
      <c r="D37" s="21"/>
      <c r="E37" s="22">
        <f>SUM(E18:E35)</f>
      </c>
      <c r="F37" s="22">
        <f>SUM(F18:F35)</f>
      </c>
      <c r="G37" s="22">
        <f>SUM(G18:G35)</f>
      </c>
      <c r="H37" s="22">
        <f>SUM(H18:H35)</f>
      </c>
      <c r="I37" s="22">
        <f>SUM(I18:I35)</f>
      </c>
      <c r="J37" s="22">
        <f>SUM(J18:J35)</f>
      </c>
      <c r="K37" s="22">
        <f>SUM(K18:K35)</f>
      </c>
      <c r="L37" s="22">
        <f>SUM(L18:L35)</f>
      </c>
      <c r="M37" s="22">
        <f>SUM(M18:M35)</f>
      </c>
      <c r="N37" s="22">
        <f>SUM(N18:N35)</f>
      </c>
      <c r="O37" s="22">
        <f>SUM(O18:O35)</f>
      </c>
      <c r="P37" s="22">
        <f>SUM(P18:P35)</f>
      </c>
      <c r="Q37" s="22">
        <f>SUM(Q18:Q35)</f>
      </c>
      <c r="R37" s="22">
        <f>SUM(R18:R35)</f>
      </c>
      <c r="S37" s="22">
        <f>SUM(S18:S35)</f>
      </c>
      <c r="T37" s="22">
        <f>SUM(T18:T35)</f>
      </c>
      <c r="U37" s="22">
        <f>SUM(U18:U35)</f>
      </c>
      <c r="V37" s="22">
        <f>SUM(V18:V35)</f>
      </c>
      <c r="W37" s="22">
        <f>SUM(W18:W35)</f>
      </c>
      <c r="X37" s="22">
        <f>SUM(X18:X35)</f>
      </c>
      <c r="Y37" s="22">
        <f>SUM(Y18:Y35)</f>
      </c>
      <c r="Z37" s="22">
        <f>SUM(Z18:Z35)</f>
      </c>
      <c r="AA37" s="22">
        <f>SUM(AA18:AA35)</f>
      </c>
      <c r="AB37" s="22">
        <f>SUM(AB18:AB35)</f>
      </c>
      <c r="AC37" s="22">
        <f>SUM(AC18:AC35)</f>
      </c>
      <c r="AD37" s="22">
        <f>SUM(AD18:AD35)</f>
      </c>
      <c r="AE37" s="22">
        <f>SUM(AE18:AE35)</f>
      </c>
      <c r="AF37" s="22">
        <f>SUM(AF18:AF35)</f>
      </c>
      <c r="AG37" s="22">
        <f>SUM(AG18:AG35)</f>
      </c>
      <c r="AH37" s="22">
        <f>SUM(AH18:AH35)</f>
      </c>
      <c r="AI37" s="22">
        <f>SUM(AI18:AI35)</f>
      </c>
      <c r="AJ37" s="22">
        <f>SUM(AJ18:AJ35)</f>
      </c>
      <c r="AK37" s="23"/>
    </row>
    <row r="39" ht="12.75" customHeight="1" spans="2:37" x14ac:dyDescent="0.25">
      <c r="B39" s="26" t="s">
        <v>43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9"/>
    </row>
    <row r="40" ht="12.75" customHeight="1" spans="2:37" x14ac:dyDescent="0.25">
      <c r="B40" s="30" t="s">
        <v>43</v>
      </c>
      <c r="C40" s="31" t="s">
        <v>3</v>
      </c>
      <c r="D40" s="32" t="s">
        <v>129</v>
      </c>
      <c r="E40" s="32"/>
      <c r="F40" s="32"/>
      <c r="G40" s="32"/>
      <c r="H40" s="36">
        <f>3821.16+3338.93</f>
        <v>7160.09</v>
      </c>
      <c r="I40" s="36">
        <f>4262.14+3718.33</f>
        <v>7980.47</v>
      </c>
      <c r="J40" s="36">
        <f>4441.94+3980.02</f>
        <v>8421.96</v>
      </c>
      <c r="K40" s="36">
        <f>3843.93+3390.75</f>
        <v>7234.68</v>
      </c>
      <c r="L40" s="36">
        <f>3902.46+3441.58</f>
        <v>7344.04</v>
      </c>
      <c r="M40" s="36">
        <f>3707.81+3272.56</f>
        <v>6980.37</v>
      </c>
      <c r="N40" s="36">
        <f>3308.67+2925.93</f>
        <v>6234.6</v>
      </c>
      <c r="O40" s="36">
        <f>4008.85+3533.98</f>
        <v>7542.83</v>
      </c>
      <c r="P40" s="36">
        <f>3391.74+2998.05</f>
        <v>6389.79</v>
      </c>
      <c r="Q40" s="36">
        <f>3681.25+3249.51</f>
        <v>6930.76</v>
      </c>
      <c r="R40" s="36">
        <f>3846.16+3392.72</f>
        <v>7238.879999999999</v>
      </c>
      <c r="S40" s="36">
        <f>3775.76+3077.57</f>
        <v>6853.33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7"/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40"/>
    </row>
    <row r="42" ht="12.75" customHeight="1" spans="2:37" x14ac:dyDescent="0.25">
      <c r="B42" s="20" t="s">
        <v>89</v>
      </c>
      <c r="C42" s="21"/>
      <c r="D42" s="21"/>
      <c r="E42" s="22">
        <f>SUM(E40:E40)</f>
      </c>
      <c r="F42" s="22">
        <f>SUM(F40:F40)</f>
      </c>
      <c r="G42" s="22">
        <f>SUM(G40:G40)</f>
      </c>
      <c r="H42" s="22">
        <f>SUM(H40:H40)</f>
      </c>
      <c r="I42" s="22">
        <f>SUM(I40:I40)</f>
      </c>
      <c r="J42" s="22">
        <f>SUM(J40:J40)</f>
      </c>
      <c r="K42" s="22">
        <f>SUM(K40:K40)</f>
      </c>
      <c r="L42" s="22">
        <f>SUM(L40:L40)</f>
      </c>
      <c r="M42" s="22">
        <f>SUM(M40:M40)</f>
      </c>
      <c r="N42" s="22">
        <f>SUM(N40:N40)</f>
      </c>
      <c r="O42" s="22">
        <f>SUM(O40:O40)</f>
      </c>
      <c r="P42" s="22">
        <f>SUM(P40:P40)</f>
      </c>
      <c r="Q42" s="22">
        <f>SUM(Q40:Q40)</f>
      </c>
      <c r="R42" s="22">
        <f>SUM(R40:R40)</f>
      </c>
      <c r="S42" s="22">
        <f>SUM(S40:S40)</f>
      </c>
      <c r="T42" s="22">
        <f>SUM(T40:T40)</f>
      </c>
      <c r="U42" s="22">
        <f>SUM(U40:U40)</f>
      </c>
      <c r="V42" s="22">
        <f>SUM(V40:V40)</f>
      </c>
      <c r="W42" s="22">
        <f>SUM(W40:W40)</f>
      </c>
      <c r="X42" s="22">
        <f>SUM(X40:X40)</f>
      </c>
      <c r="Y42" s="22">
        <f>SUM(Y40:Y40)</f>
      </c>
      <c r="Z42" s="22">
        <f>SUM(Z40:Z40)</f>
      </c>
      <c r="AA42" s="22">
        <f>SUM(AA40:AA40)</f>
      </c>
      <c r="AB42" s="22">
        <f>SUM(AB40:AB40)</f>
      </c>
      <c r="AC42" s="22">
        <f>SUM(AC40:AC40)</f>
      </c>
      <c r="AD42" s="22">
        <f>SUM(AD40:AD40)</f>
      </c>
      <c r="AE42" s="22">
        <f>SUM(AE40:AE40)</f>
      </c>
      <c r="AF42" s="22">
        <f>SUM(AF40:AF40)</f>
      </c>
      <c r="AG42" s="22">
        <f>SUM(AG40:AG40)</f>
      </c>
      <c r="AH42" s="22">
        <f>SUM(AH40:AH40)</f>
      </c>
      <c r="AI42" s="22">
        <f>SUM(AI40:AI40)</f>
      </c>
      <c r="AJ42" s="22">
        <f>SUM(AJ40:AJ40)</f>
      </c>
      <c r="AK42" s="23"/>
    </row>
    <row r="44" ht="12.75" customHeight="1" spans="2:37" x14ac:dyDescent="0.25">
      <c r="B44" s="26" t="s">
        <v>44</v>
      </c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9"/>
    </row>
    <row r="45" ht="12.75" customHeight="1" spans="2:37" x14ac:dyDescent="0.25">
      <c r="B45" s="30" t="s">
        <v>44</v>
      </c>
      <c r="C45" s="31" t="s">
        <v>3</v>
      </c>
      <c r="D45" s="32" t="s">
        <v>129</v>
      </c>
      <c r="E45" s="32"/>
      <c r="F45" s="32"/>
      <c r="G45" s="32"/>
      <c r="H45" s="33">
        <v>5794.87</v>
      </c>
      <c r="I45" s="33">
        <v>5972.66</v>
      </c>
      <c r="J45" s="33">
        <v>6409.78</v>
      </c>
      <c r="K45" s="33">
        <v>6251.29</v>
      </c>
      <c r="L45" s="33">
        <v>6149.64</v>
      </c>
      <c r="M45" s="33">
        <v>5413.64</v>
      </c>
      <c r="N45" s="33">
        <v>5637.55</v>
      </c>
      <c r="O45" s="33">
        <v>6698.55</v>
      </c>
      <c r="P45" s="33">
        <v>5092.48</v>
      </c>
      <c r="Q45" s="33">
        <v>5088.26</v>
      </c>
      <c r="R45" s="33">
        <v>5375.85</v>
      </c>
      <c r="S45" s="33">
        <v>6018.65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7"/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40"/>
    </row>
    <row r="47" ht="12.75" customHeight="1" spans="2:37" x14ac:dyDescent="0.25">
      <c r="B47" s="20" t="s">
        <v>90</v>
      </c>
      <c r="C47" s="21"/>
      <c r="D47" s="21"/>
      <c r="E47" s="22">
        <f>SUM(E45:E45)</f>
      </c>
      <c r="F47" s="22">
        <f>SUM(F45:F45)</f>
      </c>
      <c r="G47" s="22">
        <f>SUM(G45:G45)</f>
      </c>
      <c r="H47" s="22">
        <f>SUM(H45:H45)</f>
      </c>
      <c r="I47" s="22">
        <f>SUM(I45:I45)</f>
      </c>
      <c r="J47" s="22">
        <f>SUM(J45:J45)</f>
      </c>
      <c r="K47" s="22">
        <f>SUM(K45:K45)</f>
      </c>
      <c r="L47" s="22">
        <f>SUM(L45:L45)</f>
      </c>
      <c r="M47" s="22">
        <f>SUM(M45:M45)</f>
      </c>
      <c r="N47" s="22">
        <f>SUM(N45:N45)</f>
      </c>
      <c r="O47" s="22">
        <f>SUM(O45:O45)</f>
      </c>
      <c r="P47" s="22">
        <f>SUM(P45:P45)</f>
      </c>
      <c r="Q47" s="22">
        <f>SUM(Q45:Q45)</f>
      </c>
      <c r="R47" s="22">
        <f>SUM(R45:R45)</f>
      </c>
      <c r="S47" s="22">
        <f>SUM(S45:S45)</f>
      </c>
      <c r="T47" s="22">
        <f>SUM(T45:T45)</f>
      </c>
      <c r="U47" s="22">
        <f>SUM(U45:U45)</f>
      </c>
      <c r="V47" s="22">
        <f>SUM(V45:V45)</f>
      </c>
      <c r="W47" s="22">
        <f>SUM(W45:W45)</f>
      </c>
      <c r="X47" s="22">
        <f>SUM(X45:X45)</f>
      </c>
      <c r="Y47" s="22">
        <f>SUM(Y45:Y45)</f>
      </c>
      <c r="Z47" s="22">
        <f>SUM(Z45:Z45)</f>
      </c>
      <c r="AA47" s="22">
        <f>SUM(AA45:AA45)</f>
      </c>
      <c r="AB47" s="22">
        <f>SUM(AB45:AB45)</f>
      </c>
      <c r="AC47" s="22">
        <f>SUM(AC45:AC45)</f>
      </c>
      <c r="AD47" s="22">
        <f>SUM(AD45:AD45)</f>
      </c>
      <c r="AE47" s="22">
        <f>SUM(AE45:AE45)</f>
      </c>
      <c r="AF47" s="22">
        <f>SUM(AF45:AF45)</f>
      </c>
      <c r="AG47" s="22">
        <f>SUM(AG45:AG45)</f>
      </c>
      <c r="AH47" s="22">
        <f>SUM(AH45:AH45)</f>
      </c>
      <c r="AI47" s="22">
        <f>SUM(AI45:AI45)</f>
      </c>
      <c r="AJ47" s="22">
        <f>SUM(AJ45:AJ45)</f>
      </c>
      <c r="AK47" s="23"/>
    </row>
    <row r="50" ht="12.75" customHeight="1" spans="2:37" x14ac:dyDescent="0.25">
      <c r="B50" s="11" t="s">
        <v>40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18">
        <f>E15</f>
      </c>
      <c r="F51" s="18">
        <f>F15</f>
      </c>
      <c r="G51" s="18">
        <f>G15</f>
      </c>
      <c r="H51" s="18">
        <f>H15</f>
      </c>
      <c r="I51" s="18">
        <f>I15</f>
      </c>
      <c r="J51" s="18">
        <f>J15</f>
      </c>
      <c r="K51" s="18">
        <f>K15</f>
      </c>
      <c r="L51" s="18">
        <f>L15</f>
      </c>
      <c r="M51" s="18">
        <f>M15</f>
      </c>
      <c r="N51" s="18">
        <f>N15</f>
      </c>
      <c r="O51" s="18">
        <f>O15</f>
      </c>
      <c r="P51" s="18">
        <f>P15</f>
      </c>
      <c r="Q51" s="18">
        <f>Q15</f>
      </c>
      <c r="R51" s="18">
        <f>R15</f>
      </c>
      <c r="S51" s="18">
        <f>S15</f>
      </c>
      <c r="T51" s="18">
        <f>T15</f>
      </c>
      <c r="U51" s="18">
        <f>U15</f>
      </c>
      <c r="V51" s="18">
        <f>V15</f>
      </c>
      <c r="W51" s="18">
        <f>W15</f>
      </c>
      <c r="X51" s="18">
        <f>X15</f>
      </c>
      <c r="Y51" s="18">
        <f>Y15</f>
      </c>
      <c r="Z51" s="18">
        <f>Z15</f>
      </c>
      <c r="AA51" s="18">
        <f>AA15</f>
      </c>
      <c r="AB51" s="18">
        <f>AB15</f>
      </c>
      <c r="AC51" s="18">
        <f>AC15</f>
      </c>
      <c r="AD51" s="18">
        <f>AD15</f>
      </c>
      <c r="AE51" s="18">
        <f>AE15</f>
      </c>
      <c r="AF51" s="18">
        <f>AF15</f>
      </c>
      <c r="AG51" s="18">
        <f>AG15</f>
      </c>
      <c r="AH51" s="18">
        <f>AH15</f>
      </c>
      <c r="AI51" s="18">
        <f>AI15</f>
      </c>
      <c r="AJ51" s="18">
        <f>AJ15</f>
      </c>
      <c r="AK51" s="19"/>
    </row>
    <row r="52" ht="12.75" customHeight="1" spans="2:37" x14ac:dyDescent="0.25">
      <c r="B52" s="16" t="s">
        <v>42</v>
      </c>
      <c r="C52" s="17"/>
      <c r="D52" s="17"/>
      <c r="E52" s="18">
        <f>E37</f>
      </c>
      <c r="F52" s="18">
        <f>F37</f>
      </c>
      <c r="G52" s="18">
        <f>G37</f>
      </c>
      <c r="H52" s="18">
        <f>H37</f>
      </c>
      <c r="I52" s="18">
        <f>I37</f>
      </c>
      <c r="J52" s="18">
        <f>J37</f>
      </c>
      <c r="K52" s="18">
        <f>K37</f>
      </c>
      <c r="L52" s="18">
        <f>L37</f>
      </c>
      <c r="M52" s="18">
        <f>M37</f>
      </c>
      <c r="N52" s="18">
        <f>N37</f>
      </c>
      <c r="O52" s="18">
        <f>O37</f>
      </c>
      <c r="P52" s="18">
        <f>P37</f>
      </c>
      <c r="Q52" s="18">
        <f>Q37</f>
      </c>
      <c r="R52" s="18">
        <f>R37</f>
      </c>
      <c r="S52" s="18">
        <f>S37</f>
      </c>
      <c r="T52" s="18">
        <f>T37</f>
      </c>
      <c r="U52" s="18">
        <f>U37</f>
      </c>
      <c r="V52" s="18">
        <f>V37</f>
      </c>
      <c r="W52" s="18">
        <f>W37</f>
      </c>
      <c r="X52" s="18">
        <f>X37</f>
      </c>
      <c r="Y52" s="18">
        <f>Y37</f>
      </c>
      <c r="Z52" s="18">
        <f>Z37</f>
      </c>
      <c r="AA52" s="18">
        <f>AA37</f>
      </c>
      <c r="AB52" s="18">
        <f>AB37</f>
      </c>
      <c r="AC52" s="18">
        <f>AC37</f>
      </c>
      <c r="AD52" s="18">
        <f>AD37</f>
      </c>
      <c r="AE52" s="18">
        <f>AE37</f>
      </c>
      <c r="AF52" s="18">
        <f>AF37</f>
      </c>
      <c r="AG52" s="18">
        <f>AG37</f>
      </c>
      <c r="AH52" s="18">
        <f>AH37</f>
      </c>
      <c r="AI52" s="18">
        <f>AI37</f>
      </c>
      <c r="AJ52" s="18">
        <f>AJ37</f>
      </c>
      <c r="AK52" s="19"/>
    </row>
    <row r="53" ht="12.75" customHeight="1" spans="2:37" x14ac:dyDescent="0.25">
      <c r="B53" s="16" t="s">
        <v>43</v>
      </c>
      <c r="C53" s="17"/>
      <c r="D53" s="17"/>
      <c r="E53" s="18">
        <f>E42</f>
      </c>
      <c r="F53" s="18">
        <f>F42</f>
      </c>
      <c r="G53" s="18">
        <f>G42</f>
      </c>
      <c r="H53" s="18">
        <f>H42</f>
      </c>
      <c r="I53" s="18">
        <f>I42</f>
      </c>
      <c r="J53" s="18">
        <f>J42</f>
      </c>
      <c r="K53" s="18">
        <f>K42</f>
      </c>
      <c r="L53" s="18">
        <f>L42</f>
      </c>
      <c r="M53" s="18">
        <f>M42</f>
      </c>
      <c r="N53" s="18">
        <f>N42</f>
      </c>
      <c r="O53" s="18">
        <f>O42</f>
      </c>
      <c r="P53" s="18">
        <f>P42</f>
      </c>
      <c r="Q53" s="18">
        <f>Q42</f>
      </c>
      <c r="R53" s="18">
        <f>R42</f>
      </c>
      <c r="S53" s="18">
        <f>S42</f>
      </c>
      <c r="T53" s="18">
        <f>T42</f>
      </c>
      <c r="U53" s="18">
        <f>U42</f>
      </c>
      <c r="V53" s="18">
        <f>V42</f>
      </c>
      <c r="W53" s="18">
        <f>W42</f>
      </c>
      <c r="X53" s="18">
        <f>X42</f>
      </c>
      <c r="Y53" s="18">
        <f>Y42</f>
      </c>
      <c r="Z53" s="18">
        <f>Z42</f>
      </c>
      <c r="AA53" s="18">
        <f>AA42</f>
      </c>
      <c r="AB53" s="18">
        <f>AB42</f>
      </c>
      <c r="AC53" s="18">
        <f>AC42</f>
      </c>
      <c r="AD53" s="18">
        <f>AD42</f>
      </c>
      <c r="AE53" s="18">
        <f>AE42</f>
      </c>
      <c r="AF53" s="18">
        <f>AF42</f>
      </c>
      <c r="AG53" s="18">
        <f>AG42</f>
      </c>
      <c r="AH53" s="18">
        <f>AH42</f>
      </c>
      <c r="AI53" s="18">
        <f>AI42</f>
      </c>
      <c r="AJ53" s="18">
        <f>AJ42</f>
      </c>
      <c r="AK53" s="19"/>
    </row>
    <row r="54" ht="12.75" customHeight="1" spans="2:37" x14ac:dyDescent="0.25">
      <c r="B54" s="16" t="s">
        <v>44</v>
      </c>
      <c r="C54" s="17"/>
      <c r="D54" s="17"/>
      <c r="E54" s="18">
        <f>E47</f>
      </c>
      <c r="F54" s="18">
        <f>F47</f>
      </c>
      <c r="G54" s="18">
        <f>G47</f>
      </c>
      <c r="H54" s="18">
        <f>H47</f>
      </c>
      <c r="I54" s="18">
        <f>I47</f>
      </c>
      <c r="J54" s="18">
        <f>J47</f>
      </c>
      <c r="K54" s="18">
        <f>K47</f>
      </c>
      <c r="L54" s="18">
        <f>L47</f>
      </c>
      <c r="M54" s="18">
        <f>M47</f>
      </c>
      <c r="N54" s="18">
        <f>N47</f>
      </c>
      <c r="O54" s="18">
        <f>O47</f>
      </c>
      <c r="P54" s="18">
        <f>P47</f>
      </c>
      <c r="Q54" s="18">
        <f>Q47</f>
      </c>
      <c r="R54" s="18">
        <f>R47</f>
      </c>
      <c r="S54" s="18">
        <f>S47</f>
      </c>
      <c r="T54" s="18">
        <f>T47</f>
      </c>
      <c r="U54" s="18">
        <f>U47</f>
      </c>
      <c r="V54" s="18">
        <f>V47</f>
      </c>
      <c r="W54" s="18">
        <f>W47</f>
      </c>
      <c r="X54" s="18">
        <f>X47</f>
      </c>
      <c r="Y54" s="18">
        <f>Y47</f>
      </c>
      <c r="Z54" s="18">
        <f>Z47</f>
      </c>
      <c r="AA54" s="18">
        <f>AA47</f>
      </c>
      <c r="AB54" s="18">
        <f>AB47</f>
      </c>
      <c r="AC54" s="18">
        <f>AC47</f>
      </c>
      <c r="AD54" s="18">
        <f>AD47</f>
      </c>
      <c r="AE54" s="18">
        <f>AE47</f>
      </c>
      <c r="AF54" s="18">
        <f>AF47</f>
      </c>
      <c r="AG54" s="18">
        <f>AG47</f>
      </c>
      <c r="AH54" s="18">
        <f>AH47</f>
      </c>
      <c r="AI54" s="18">
        <f>AI47</f>
      </c>
      <c r="AJ54" s="18">
        <f>AJ47</f>
      </c>
      <c r="AK54" s="19"/>
    </row>
    <row r="55" ht="12.75" customHeight="1" spans="2:37" x14ac:dyDescent="0.25">
      <c r="B55" s="20" t="s">
        <v>45</v>
      </c>
      <c r="C55" s="21"/>
      <c r="D55" s="21"/>
      <c r="E55" s="22">
        <f>E51+E52+E53+E54</f>
      </c>
      <c r="F55" s="22">
        <f>F51+F52+F53+F54</f>
      </c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3"/>
    </row>
    <row r="57" ht="12.75" customHeight="1" spans="2:37" x14ac:dyDescent="0.25">
      <c r="B57" s="11" t="s">
        <v>46</v>
      </c>
      <c r="C57" s="12"/>
      <c r="D57" s="13"/>
      <c r="E57" s="14" t="s">
        <v>7</v>
      </c>
      <c r="F57" s="14" t="s">
        <v>8</v>
      </c>
      <c r="G57" s="14" t="s">
        <v>9</v>
      </c>
      <c r="H57" s="14" t="s">
        <v>10</v>
      </c>
      <c r="I57" s="14" t="s">
        <v>11</v>
      </c>
      <c r="J57" s="14" t="s">
        <v>12</v>
      </c>
      <c r="K57" s="14" t="s">
        <v>13</v>
      </c>
      <c r="L57" s="14" t="s">
        <v>14</v>
      </c>
      <c r="M57" s="14" t="s">
        <v>15</v>
      </c>
      <c r="N57" s="14" t="s">
        <v>16</v>
      </c>
      <c r="O57" s="14" t="s">
        <v>17</v>
      </c>
      <c r="P57" s="14" t="s">
        <v>18</v>
      </c>
      <c r="Q57" s="14" t="s">
        <v>19</v>
      </c>
      <c r="R57" s="14" t="s">
        <v>20</v>
      </c>
      <c r="S57" s="14" t="s">
        <v>21</v>
      </c>
      <c r="T57" s="14" t="s">
        <v>22</v>
      </c>
      <c r="U57" s="14" t="s">
        <v>23</v>
      </c>
      <c r="V57" s="14" t="s">
        <v>24</v>
      </c>
      <c r="W57" s="14" t="s">
        <v>25</v>
      </c>
      <c r="X57" s="14" t="s">
        <v>26</v>
      </c>
      <c r="Y57" s="14" t="s">
        <v>27</v>
      </c>
      <c r="Z57" s="14" t="s">
        <v>28</v>
      </c>
      <c r="AA57" s="14" t="s">
        <v>29</v>
      </c>
      <c r="AB57" s="14" t="s">
        <v>30</v>
      </c>
      <c r="AC57" s="14" t="s">
        <v>31</v>
      </c>
      <c r="AD57" s="14" t="s">
        <v>32</v>
      </c>
      <c r="AE57" s="14" t="s">
        <v>33</v>
      </c>
      <c r="AF57" s="14" t="s">
        <v>34</v>
      </c>
      <c r="AG57" s="14" t="s">
        <v>35</v>
      </c>
      <c r="AH57" s="14" t="s">
        <v>36</v>
      </c>
      <c r="AI57" s="14" t="s">
        <v>37</v>
      </c>
      <c r="AJ57" s="14" t="s">
        <v>38</v>
      </c>
      <c r="AK57" s="15"/>
    </row>
    <row r="58" ht="12.75" customHeight="1" spans="2:37" x14ac:dyDescent="0.25">
      <c r="B58" s="16" t="s">
        <v>41</v>
      </c>
      <c r="C58" s="17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9"/>
    </row>
    <row r="59" ht="12.75" customHeight="1" spans="2:37" x14ac:dyDescent="0.25">
      <c r="B59" s="16" t="s">
        <v>42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</row>
    <row r="60" ht="12.75" customHeight="1" spans="2:37" x14ac:dyDescent="0.25">
      <c r="B60" s="16" t="s">
        <v>43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</row>
    <row r="61" ht="12.75" customHeight="1" spans="2:37" x14ac:dyDescent="0.25">
      <c r="B61" s="16" t="s">
        <v>44</v>
      </c>
      <c r="C61" s="17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9"/>
    </row>
    <row r="62" ht="12.75" customHeight="1" spans="2:37" x14ac:dyDescent="0.25">
      <c r="B62" s="20" t="s">
        <v>45</v>
      </c>
      <c r="C62" s="21"/>
      <c r="D62" s="21"/>
      <c r="E62" s="22">
        <f>E58+E59+E60+E61</f>
      </c>
      <c r="F62" s="22">
        <f>F58+F59+F60+F61</f>
      </c>
      <c r="G62" s="22">
        <f>G58+G59+G60+G61</f>
      </c>
      <c r="H62" s="22">
        <f>H58+H59+H60+H61</f>
      </c>
      <c r="I62" s="22">
        <f>I58+I59+I60+I61</f>
      </c>
      <c r="J62" s="22">
        <f>J58+J59+J60+J61</f>
      </c>
      <c r="K62" s="22">
        <f>K58+K59+K60+K61</f>
      </c>
      <c r="L62" s="22">
        <f>L58+L59+L60+L61</f>
      </c>
      <c r="M62" s="22">
        <f>M58+M59+M60+M61</f>
      </c>
      <c r="N62" s="22">
        <f>N58+N59+N60+N61</f>
      </c>
      <c r="O62" s="22">
        <f>O58+O59+O60+O61</f>
      </c>
      <c r="P62" s="22">
        <f>P58+P59+P60+P61</f>
      </c>
      <c r="Q62" s="22">
        <f>Q58+Q59+Q60+Q61</f>
      </c>
      <c r="R62" s="22">
        <f>R58+R59+R60+R61</f>
      </c>
      <c r="S62" s="22">
        <f>S58+S59+S60+S61</f>
      </c>
      <c r="T62" s="22">
        <f>T58+T59+T60+T61</f>
      </c>
      <c r="U62" s="22">
        <f>U58+U59+U60+U61</f>
      </c>
      <c r="V62" s="22">
        <f>V58+V59+V60+V61</f>
      </c>
      <c r="W62" s="22">
        <f>W58+W59+W60+W61</f>
      </c>
      <c r="X62" s="22">
        <f>X58+X59+X60+X61</f>
      </c>
      <c r="Y62" s="22">
        <f>Y58+Y59+Y60+Y61</f>
      </c>
      <c r="Z62" s="22">
        <f>Z58+Z59+Z60+Z61</f>
      </c>
      <c r="AA62" s="22">
        <f>AA58+AA59+AA60+AA61</f>
      </c>
      <c r="AB62" s="22">
        <f>AB58+AB59+AB60+AB61</f>
      </c>
      <c r="AC62" s="22">
        <f>AC58+AC59+AC60+AC61</f>
      </c>
      <c r="AD62" s="22">
        <f>AD58+AD59+AD60+AD61</f>
      </c>
      <c r="AE62" s="22">
        <f>AE58+AE59+AE60+AE61</f>
      </c>
      <c r="AF62" s="22">
        <f>AF58+AF59+AF60+AF61</f>
      </c>
      <c r="AG62" s="22">
        <f>AG58+AG59+AG60+AG61</f>
      </c>
      <c r="AH62" s="22">
        <f>AH58+AH59+AH60+AH61</f>
      </c>
      <c r="AI62" s="22">
        <f>AI58+AI59+AI60+AI61</f>
      </c>
      <c r="AJ62" s="22">
        <f>AJ58+AJ59+AJ60+AJ61</f>
      </c>
      <c r="AK62" s="23"/>
    </row>
    <row r="64" ht="12.75" customHeight="1" spans="2:37" x14ac:dyDescent="0.25">
      <c r="B64" s="11" t="s">
        <v>47</v>
      </c>
      <c r="C64" s="12"/>
      <c r="D64" s="13"/>
      <c r="E64" s="14" t="s">
        <v>7</v>
      </c>
      <c r="F64" s="14" t="s">
        <v>8</v>
      </c>
      <c r="G64" s="14" t="s">
        <v>9</v>
      </c>
      <c r="H64" s="14" t="s">
        <v>10</v>
      </c>
      <c r="I64" s="14" t="s">
        <v>11</v>
      </c>
      <c r="J64" s="14" t="s">
        <v>12</v>
      </c>
      <c r="K64" s="14" t="s">
        <v>13</v>
      </c>
      <c r="L64" s="14" t="s">
        <v>14</v>
      </c>
      <c r="M64" s="14" t="s">
        <v>15</v>
      </c>
      <c r="N64" s="14" t="s">
        <v>16</v>
      </c>
      <c r="O64" s="14" t="s">
        <v>17</v>
      </c>
      <c r="P64" s="14" t="s">
        <v>18</v>
      </c>
      <c r="Q64" s="14" t="s">
        <v>19</v>
      </c>
      <c r="R64" s="14" t="s">
        <v>20</v>
      </c>
      <c r="S64" s="14" t="s">
        <v>21</v>
      </c>
      <c r="T64" s="14" t="s">
        <v>22</v>
      </c>
      <c r="U64" s="14" t="s">
        <v>23</v>
      </c>
      <c r="V64" s="14" t="s">
        <v>24</v>
      </c>
      <c r="W64" s="14" t="s">
        <v>25</v>
      </c>
      <c r="X64" s="14" t="s">
        <v>26</v>
      </c>
      <c r="Y64" s="14" t="s">
        <v>27</v>
      </c>
      <c r="Z64" s="14" t="s">
        <v>28</v>
      </c>
      <c r="AA64" s="14" t="s">
        <v>29</v>
      </c>
      <c r="AB64" s="14" t="s">
        <v>30</v>
      </c>
      <c r="AC64" s="14" t="s">
        <v>31</v>
      </c>
      <c r="AD64" s="14" t="s">
        <v>32</v>
      </c>
      <c r="AE64" s="14" t="s">
        <v>33</v>
      </c>
      <c r="AF64" s="14" t="s">
        <v>34</v>
      </c>
      <c r="AG64" s="14" t="s">
        <v>35</v>
      </c>
      <c r="AH64" s="14" t="s">
        <v>36</v>
      </c>
      <c r="AI64" s="14" t="s">
        <v>37</v>
      </c>
      <c r="AJ64" s="14" t="s">
        <v>38</v>
      </c>
      <c r="AK64" s="15"/>
    </row>
    <row r="65" ht="12.75" customHeight="1" spans="2:37" x14ac:dyDescent="0.25">
      <c r="B65" s="16" t="s">
        <v>41</v>
      </c>
      <c r="C65" s="17"/>
      <c r="D65" s="17"/>
      <c r="E65" s="24">
        <f>E58-E51</f>
      </c>
      <c r="F65" s="24">
        <f>F58-F51</f>
      </c>
      <c r="G65" s="24">
        <f>G58-G51</f>
      </c>
      <c r="H65" s="24">
        <f>H58-H51</f>
      </c>
      <c r="I65" s="24">
        <f>I58-I51</f>
      </c>
      <c r="J65" s="24">
        <f>J58-J51</f>
      </c>
      <c r="K65" s="24">
        <f>K58-K51</f>
      </c>
      <c r="L65" s="24">
        <f>L58-L51</f>
      </c>
      <c r="M65" s="24">
        <f>M58-M51</f>
      </c>
      <c r="N65" s="24">
        <f>N58-N51</f>
      </c>
      <c r="O65" s="24">
        <f>O58-O51</f>
      </c>
      <c r="P65" s="24">
        <f>P58-P51</f>
      </c>
      <c r="Q65" s="24">
        <f>Q58-Q51</f>
      </c>
      <c r="R65" s="24">
        <f>R58-R51</f>
      </c>
      <c r="S65" s="24">
        <f>S58-S51</f>
      </c>
      <c r="T65" s="24">
        <f>T58-T51</f>
      </c>
      <c r="U65" s="24">
        <f>U58-U51</f>
      </c>
      <c r="V65" s="24">
        <f>V58-V51</f>
      </c>
      <c r="W65" s="24">
        <f>W58-W51</f>
      </c>
      <c r="X65" s="24">
        <f>X58-X51</f>
      </c>
      <c r="Y65" s="24">
        <f>Y58-Y51</f>
      </c>
      <c r="Z65" s="24">
        <f>Z58-Z51</f>
      </c>
      <c r="AA65" s="24">
        <f>AA58-AA51</f>
      </c>
      <c r="AB65" s="24">
        <f>AB58-AB51</f>
      </c>
      <c r="AC65" s="24">
        <f>AC58-AC51</f>
      </c>
      <c r="AD65" s="24">
        <f>AD58-AD51</f>
      </c>
      <c r="AE65" s="24">
        <f>AE58-AE51</f>
      </c>
      <c r="AF65" s="24">
        <f>AF58-AF51</f>
      </c>
      <c r="AG65" s="24">
        <f>AG58-AG51</f>
      </c>
      <c r="AH65" s="24">
        <f>AH58-AH51</f>
      </c>
      <c r="AI65" s="24">
        <f>AI58-AI51</f>
      </c>
      <c r="AJ65" s="24">
        <f>AJ58-AJ51</f>
      </c>
      <c r="AK65" s="19"/>
    </row>
    <row r="66" ht="12.75" customHeight="1" spans="2:37" x14ac:dyDescent="0.25">
      <c r="B66" s="16" t="s">
        <v>42</v>
      </c>
      <c r="C66" s="17"/>
      <c r="D66" s="17"/>
      <c r="E66" s="24">
        <f>E59-E52</f>
      </c>
      <c r="F66" s="24">
        <f>F59-F52</f>
      </c>
      <c r="G66" s="24">
        <f>G59-G52</f>
      </c>
      <c r="H66" s="24">
        <f>H59-H52</f>
      </c>
      <c r="I66" s="24">
        <f>I59-I52</f>
      </c>
      <c r="J66" s="24">
        <f>J59-J52</f>
      </c>
      <c r="K66" s="24">
        <f>K59-K52</f>
      </c>
      <c r="L66" s="24">
        <f>L59-L52</f>
      </c>
      <c r="M66" s="24">
        <f>M59-M52</f>
      </c>
      <c r="N66" s="24">
        <f>N59-N52</f>
      </c>
      <c r="O66" s="24">
        <f>O59-O52</f>
      </c>
      <c r="P66" s="24">
        <f>P59-P52</f>
      </c>
      <c r="Q66" s="24">
        <f>Q59-Q52</f>
      </c>
      <c r="R66" s="24">
        <f>R59-R52</f>
      </c>
      <c r="S66" s="24">
        <f>S59-S52</f>
      </c>
      <c r="T66" s="24">
        <f>T59-T52</f>
      </c>
      <c r="U66" s="24">
        <f>U59-U52</f>
      </c>
      <c r="V66" s="24">
        <f>V59-V52</f>
      </c>
      <c r="W66" s="24">
        <f>W59-W52</f>
      </c>
      <c r="X66" s="24">
        <f>X59-X52</f>
      </c>
      <c r="Y66" s="24">
        <f>Y59-Y52</f>
      </c>
      <c r="Z66" s="24">
        <f>Z59-Z52</f>
      </c>
      <c r="AA66" s="24">
        <f>AA59-AA52</f>
      </c>
      <c r="AB66" s="24">
        <f>AB59-AB52</f>
      </c>
      <c r="AC66" s="24">
        <f>AC59-AC52</f>
      </c>
      <c r="AD66" s="24">
        <f>AD59-AD52</f>
      </c>
      <c r="AE66" s="24">
        <f>AE59-AE52</f>
      </c>
      <c r="AF66" s="24">
        <f>AF59-AF52</f>
      </c>
      <c r="AG66" s="24">
        <f>AG59-AG52</f>
      </c>
      <c r="AH66" s="24">
        <f>AH59-AH52</f>
      </c>
      <c r="AI66" s="24">
        <f>AI59-AI52</f>
      </c>
      <c r="AJ66" s="24">
        <f>AJ59-AJ52</f>
      </c>
      <c r="AK66" s="19"/>
    </row>
    <row r="67" ht="12.75" customHeight="1" spans="2:37" x14ac:dyDescent="0.25">
      <c r="B67" s="16" t="s">
        <v>43</v>
      </c>
      <c r="C67" s="17"/>
      <c r="D67" s="17"/>
      <c r="E67" s="24">
        <f>E60-E53</f>
      </c>
      <c r="F67" s="24">
        <f>F60-F53</f>
      </c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19"/>
    </row>
    <row r="68" ht="12.75" customHeight="1" spans="2:37" x14ac:dyDescent="0.25">
      <c r="B68" s="16" t="s">
        <v>44</v>
      </c>
      <c r="C68" s="17"/>
      <c r="D68" s="17"/>
      <c r="E68" s="24">
        <f>E61-E54</f>
      </c>
      <c r="F68" s="24">
        <f>F61-F54</f>
      </c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19"/>
    </row>
    <row r="69" ht="12.75" customHeight="1" spans="2:37" x14ac:dyDescent="0.25">
      <c r="B69" s="20" t="s">
        <v>45</v>
      </c>
      <c r="C69" s="21"/>
      <c r="D69" s="21"/>
      <c r="E69" s="25">
        <f>E65+E66+E67+E68</f>
      </c>
      <c r="F69" s="25">
        <f>F65+F66+F67+F68</f>
      </c>
      <c r="G69" s="25">
        <f>G65+G66+G67+G68</f>
      </c>
      <c r="H69" s="25">
        <f>H65+H66+H67+H68</f>
      </c>
      <c r="I69" s="25">
        <f>I65+I66+I67+I68</f>
      </c>
      <c r="J69" s="25">
        <f>J65+J66+J67+J68</f>
      </c>
      <c r="K69" s="25">
        <f>K65+K66+K67+K68</f>
      </c>
      <c r="L69" s="25">
        <f>L65+L66+L67+L68</f>
      </c>
      <c r="M69" s="25">
        <f>M65+M66+M67+M68</f>
      </c>
      <c r="N69" s="25">
        <f>N65+N66+N67+N68</f>
      </c>
      <c r="O69" s="25">
        <f>O65+O66+O67+O68</f>
      </c>
      <c r="P69" s="25">
        <f>P65+P66+P67+P68</f>
      </c>
      <c r="Q69" s="25">
        <f>Q65+Q66+Q67+Q68</f>
      </c>
      <c r="R69" s="25">
        <f>R65+R66+R67+R68</f>
      </c>
      <c r="S69" s="25">
        <f>S65+S66+S67+S68</f>
      </c>
      <c r="T69" s="25">
        <f>T65+T66+T67+T68</f>
      </c>
      <c r="U69" s="25">
        <f>U65+U66+U67+U68</f>
      </c>
      <c r="V69" s="25">
        <f>V65+V66+V67+V68</f>
      </c>
      <c r="W69" s="25">
        <f>W65+W66+W67+W68</f>
      </c>
      <c r="X69" s="25">
        <f>X65+X66+X67+X68</f>
      </c>
      <c r="Y69" s="25">
        <f>Y65+Y66+Y67+Y68</f>
      </c>
      <c r="Z69" s="25">
        <f>Z65+Z66+Z67+Z68</f>
      </c>
      <c r="AA69" s="25">
        <f>AA65+AA66+AA67+AA68</f>
      </c>
      <c r="AB69" s="25">
        <f>AB65+AB66+AB67+AB68</f>
      </c>
      <c r="AC69" s="25">
        <f>AC65+AC66+AC67+AC68</f>
      </c>
      <c r="AD69" s="25">
        <f>AD65+AD66+AD67+AD68</f>
      </c>
      <c r="AE69" s="25">
        <f>AE65+AE66+AE67+AE68</f>
      </c>
      <c r="AF69" s="25">
        <f>AF65+AF66+AF67+AF68</f>
      </c>
      <c r="AG69" s="25">
        <f>AG65+AG66+AG67+AG68</f>
      </c>
      <c r="AH69" s="25">
        <f>AH65+AH66+AH67+AH68</f>
      </c>
      <c r="AI69" s="25">
        <f>AI65+AI66+AI67+AI68</f>
      </c>
      <c r="AJ69" s="25">
        <f>AJ65+AJ66+AJ67+AJ68</f>
      </c>
      <c r="AK6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7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110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130</v>
      </c>
      <c r="K8" s="44" t="s">
        <v>131</v>
      </c>
      <c r="L8" s="44" t="s">
        <v>132</v>
      </c>
      <c r="M8" s="44" t="s">
        <v>133</v>
      </c>
      <c r="N8" s="44" t="s">
        <v>134</v>
      </c>
      <c r="O8" s="44" t="s">
        <v>135</v>
      </c>
      <c r="P8" s="44" t="s">
        <v>136</v>
      </c>
      <c r="Q8" s="44" t="s">
        <v>137</v>
      </c>
      <c r="R8" s="44" t="s">
        <v>138</v>
      </c>
      <c r="S8" s="44" t="s">
        <v>139</v>
      </c>
      <c r="T8" s="44" t="s">
        <v>140</v>
      </c>
      <c r="U8" s="44" t="s">
        <v>141</v>
      </c>
      <c r="V8" s="44" t="s">
        <v>142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110</v>
      </c>
      <c r="D10" s="50" t="s">
        <v>41</v>
      </c>
      <c r="E10" s="32" t="s">
        <v>3</v>
      </c>
      <c r="F10" s="32" t="s">
        <v>50</v>
      </c>
      <c r="G10" s="32"/>
      <c r="H10" s="32"/>
      <c r="I10" s="32"/>
      <c r="J10" s="32"/>
      <c r="K10" s="33">
        <v>1769.67</v>
      </c>
      <c r="L10" s="33">
        <v>1323.68</v>
      </c>
      <c r="M10" s="33">
        <v>1198.76</v>
      </c>
      <c r="N10" s="33">
        <v>816.13</v>
      </c>
      <c r="O10" s="33">
        <v>540.39</v>
      </c>
      <c r="P10" s="33">
        <v>130.47</v>
      </c>
      <c r="Q10" s="33">
        <v>96.75</v>
      </c>
      <c r="R10" s="33">
        <v>188.41</v>
      </c>
      <c r="S10" s="33">
        <v>400.18</v>
      </c>
      <c r="T10" s="33">
        <v>662.08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110</v>
      </c>
      <c r="D11" s="50" t="s">
        <v>41</v>
      </c>
      <c r="E11" s="32" t="s">
        <v>3</v>
      </c>
      <c r="F11" s="32" t="s">
        <v>51</v>
      </c>
      <c r="G11" s="32"/>
      <c r="H11" s="32"/>
      <c r="I11" s="32"/>
      <c r="J11" s="32"/>
      <c r="K11" s="33">
        <v>4867.52</v>
      </c>
      <c r="L11" s="33">
        <v>3471.19</v>
      </c>
      <c r="M11" s="33">
        <v>3075.23</v>
      </c>
      <c r="N11" s="33">
        <v>1935.74</v>
      </c>
      <c r="O11" s="33">
        <v>1287.33</v>
      </c>
      <c r="P11" s="33">
        <v>238.23</v>
      </c>
      <c r="Q11" s="33">
        <v>168.65</v>
      </c>
      <c r="R11" s="33">
        <v>427.17</v>
      </c>
      <c r="S11" s="33">
        <v>952.06</v>
      </c>
      <c r="T11" s="33">
        <v>1683.35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4">
        <f>SUM(G11:AK11)</f>
      </c>
      <c r="AM11" s="35"/>
    </row>
    <row r="12" ht="13.5" customHeight="1" spans="2:39" x14ac:dyDescent="0.25">
      <c r="B12" s="48" t="s">
        <v>3</v>
      </c>
      <c r="C12" s="49" t="s">
        <v>110</v>
      </c>
      <c r="D12" s="50" t="s">
        <v>41</v>
      </c>
      <c r="E12" s="32" t="s">
        <v>3</v>
      </c>
      <c r="F12" s="32" t="s">
        <v>52</v>
      </c>
      <c r="G12" s="32"/>
      <c r="H12" s="32"/>
      <c r="I12" s="32"/>
      <c r="J12" s="32"/>
      <c r="K12" s="33">
        <v>227.8</v>
      </c>
      <c r="L12" s="33">
        <v>217.47</v>
      </c>
      <c r="M12" s="33">
        <v>192.94</v>
      </c>
      <c r="N12" s="33">
        <v>153.22</v>
      </c>
      <c r="O12" s="33">
        <v>133.36</v>
      </c>
      <c r="P12" s="33">
        <v>107.45</v>
      </c>
      <c r="Q12" s="33">
        <v>109.02</v>
      </c>
      <c r="R12" s="33">
        <v>108.68</v>
      </c>
      <c r="S12" s="33">
        <v>102.57</v>
      </c>
      <c r="T12" s="33">
        <v>96.75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4">
        <f>SUM(G12:AK12)</f>
      </c>
      <c r="AM12" s="35"/>
    </row>
    <row r="13" ht="13.5" customHeight="1" spans="2:39" x14ac:dyDescent="0.25">
      <c r="B13" s="48" t="s">
        <v>3</v>
      </c>
      <c r="C13" s="49" t="s">
        <v>110</v>
      </c>
      <c r="D13" s="50" t="s">
        <v>41</v>
      </c>
      <c r="E13" s="32" t="s">
        <v>3</v>
      </c>
      <c r="F13" s="32" t="s">
        <v>54</v>
      </c>
      <c r="G13" s="32"/>
      <c r="H13" s="32"/>
      <c r="I13" s="32"/>
      <c r="J13" s="32"/>
      <c r="K13" s="32"/>
      <c r="L13" s="32"/>
      <c r="M13" s="33">
        <v>45.07</v>
      </c>
      <c r="N13" s="33">
        <v>12.1</v>
      </c>
      <c r="O13" s="33">
        <v>12.1</v>
      </c>
      <c r="P13" s="33">
        <v>12.1</v>
      </c>
      <c r="Q13" s="33">
        <v>12.11</v>
      </c>
      <c r="R13" s="33">
        <v>12.11</v>
      </c>
      <c r="S13" s="33">
        <v>12.11</v>
      </c>
      <c r="T13" s="33">
        <v>12.11</v>
      </c>
      <c r="U13" s="33">
        <v>12.11</v>
      </c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4">
        <f>SUM(G13:AK13)</f>
      </c>
      <c r="AM13" s="35"/>
    </row>
    <row r="14" ht="13.5" customHeight="1" spans="2:39" x14ac:dyDescent="0.25">
      <c r="B14" s="48" t="s">
        <v>3</v>
      </c>
      <c r="C14" s="49" t="s">
        <v>110</v>
      </c>
      <c r="D14" s="50" t="s">
        <v>41</v>
      </c>
      <c r="E14" s="32" t="s">
        <v>3</v>
      </c>
      <c r="F14" s="32" t="s">
        <v>55</v>
      </c>
      <c r="G14" s="32"/>
      <c r="H14" s="32"/>
      <c r="I14" s="32"/>
      <c r="J14" s="32"/>
      <c r="K14" s="32"/>
      <c r="L14" s="32"/>
      <c r="M14" s="32"/>
      <c r="N14" s="32"/>
      <c r="O14" s="33">
        <v>51.58</v>
      </c>
      <c r="P14" s="33">
        <v>12.1</v>
      </c>
      <c r="Q14" s="33">
        <v>12.11</v>
      </c>
      <c r="R14" s="33">
        <v>12.11</v>
      </c>
      <c r="S14" s="33">
        <v>12.11</v>
      </c>
      <c r="T14" s="33">
        <v>12.11</v>
      </c>
      <c r="U14" s="33">
        <v>12.11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5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40"/>
    </row>
    <row r="16" ht="13.5" customHeight="1" spans="2:39" x14ac:dyDescent="0.25">
      <c r="B16" s="20"/>
      <c r="C16" s="21"/>
      <c r="D16" s="21" t="s">
        <v>64</v>
      </c>
      <c r="E16" s="21"/>
      <c r="F16" s="21"/>
      <c r="G16" s="22">
        <f>SUM(G10:G14)</f>
      </c>
      <c r="H16" s="22">
        <f>SUM(H10:H14)</f>
      </c>
      <c r="I16" s="22">
        <f>SUM(I10:I14)</f>
      </c>
      <c r="J16" s="22">
        <f>SUM(J10:J14)</f>
      </c>
      <c r="K16" s="22">
        <f>SUM(K10:K14)</f>
      </c>
      <c r="L16" s="22">
        <f>SUM(L10:L14)</f>
      </c>
      <c r="M16" s="22">
        <f>SUM(M10:M14)</f>
      </c>
      <c r="N16" s="22">
        <f>SUM(N10:N14)</f>
      </c>
      <c r="O16" s="22">
        <f>SUM(O10:O14)</f>
      </c>
      <c r="P16" s="22">
        <f>SUM(P10:P14)</f>
      </c>
      <c r="Q16" s="22">
        <f>SUM(Q10:Q14)</f>
      </c>
      <c r="R16" s="22">
        <f>SUM(R10:R14)</f>
      </c>
      <c r="S16" s="22">
        <f>SUM(S10:S14)</f>
      </c>
      <c r="T16" s="22">
        <f>SUM(T10:T14)</f>
      </c>
      <c r="U16" s="22">
        <f>SUM(U10:U14)</f>
      </c>
      <c r="V16" s="22">
        <f>SUM(V10:V14)</f>
      </c>
      <c r="W16" s="22">
        <f>SUM(W10:W14)</f>
      </c>
      <c r="X16" s="22">
        <f>SUM(X10:X14)</f>
      </c>
      <c r="Y16" s="22">
        <f>SUM(Y10:Y14)</f>
      </c>
      <c r="Z16" s="22">
        <f>SUM(Z10:Z14)</f>
      </c>
      <c r="AA16" s="22">
        <f>SUM(AA10:AA14)</f>
      </c>
      <c r="AB16" s="22">
        <f>SUM(AB10:AB14)</f>
      </c>
      <c r="AC16" s="22">
        <f>SUM(AC10:AC14)</f>
      </c>
      <c r="AD16" s="22">
        <f>SUM(AD10:AD14)</f>
      </c>
      <c r="AE16" s="22">
        <f>SUM(AE10:AE14)</f>
      </c>
      <c r="AF16" s="22">
        <f>SUM(AF10:AF14)</f>
      </c>
      <c r="AG16" s="22">
        <f>SUM(AG10:AG14)</f>
      </c>
      <c r="AH16" s="22">
        <f>SUM(AH10:AH14)</f>
      </c>
      <c r="AI16" s="22">
        <f>SUM(AI10:AI14)</f>
      </c>
      <c r="AJ16" s="22">
        <f>SUM(AJ10:AJ14)</f>
      </c>
      <c r="AK16" s="22">
        <f>SUM(AK10:AK14)</f>
      </c>
      <c r="AL16" s="22">
        <f>SUM(AL10:AL14)</f>
      </c>
      <c r="AM16" s="23"/>
    </row>
    <row r="18" ht="13.5" customHeight="1" spans="2:39" x14ac:dyDescent="0.25">
      <c r="B18" s="46"/>
      <c r="C18" s="28"/>
      <c r="D18" s="47" t="s">
        <v>42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/>
    </row>
    <row r="19" ht="13.5" customHeight="1" spans="2:39" x14ac:dyDescent="0.25">
      <c r="B19" s="48" t="s">
        <v>3</v>
      </c>
      <c r="C19" s="49" t="s">
        <v>110</v>
      </c>
      <c r="D19" s="50" t="s">
        <v>42</v>
      </c>
      <c r="E19" s="32" t="s">
        <v>3</v>
      </c>
      <c r="F19" s="32" t="s">
        <v>111</v>
      </c>
      <c r="G19" s="32"/>
      <c r="H19" s="32"/>
      <c r="I19" s="32"/>
      <c r="J19" s="33">
        <f>29.15+52.11+134.93</f>
        <v>216.19</v>
      </c>
      <c r="K19" s="33">
        <f>134.93+52.11+29.15</f>
        <v>216.19000000000003</v>
      </c>
      <c r="L19" s="33">
        <f>133.44+31.22+51.53</f>
        <v>216.19</v>
      </c>
      <c r="M19" s="33">
        <f>51.53+133.44+31.22</f>
        <v>216.19</v>
      </c>
      <c r="N19" s="33">
        <f>52.11+134.93+29.15</f>
        <v>216.19000000000003</v>
      </c>
      <c r="O19" s="33">
        <f>133.52+31.23+51.53</f>
        <v>216.28</v>
      </c>
      <c r="P19" s="33">
        <f>133.54+51.58+31.22</f>
        <v>216.34</v>
      </c>
      <c r="Q19" s="33">
        <f>133.54+51.57+31.23</f>
        <v>216.33999999999997</v>
      </c>
      <c r="R19" s="33">
        <f>31.23+133.54+51.57</f>
        <v>216.33999999999997</v>
      </c>
      <c r="S19" s="33">
        <f>31.23+133.54+51.57</f>
        <v>216.33999999999997</v>
      </c>
      <c r="T19" s="33">
        <f>51.57+31.23+133.54</f>
        <v>216.33999999999997</v>
      </c>
      <c r="U19" s="33">
        <f>136.43+52.15+31.23</f>
        <v>219.81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110</v>
      </c>
      <c r="D20" s="50" t="s">
        <v>42</v>
      </c>
      <c r="E20" s="32" t="s">
        <v>3</v>
      </c>
      <c r="F20" s="32" t="s">
        <v>112</v>
      </c>
      <c r="G20" s="32"/>
      <c r="H20" s="32"/>
      <c r="I20" s="32"/>
      <c r="J20" s="33">
        <v>41.23</v>
      </c>
      <c r="K20" s="33">
        <v>40.91</v>
      </c>
      <c r="L20" s="33">
        <v>40.3</v>
      </c>
      <c r="M20" s="33">
        <v>40.71</v>
      </c>
      <c r="N20" s="33">
        <v>40.71</v>
      </c>
      <c r="O20" s="33">
        <v>44.15</v>
      </c>
      <c r="P20" s="33">
        <v>43.06</v>
      </c>
      <c r="Q20" s="33">
        <v>46.01</v>
      </c>
      <c r="R20" s="33">
        <v>46.75</v>
      </c>
      <c r="S20" s="33">
        <v>44.53</v>
      </c>
      <c r="T20" s="33">
        <v>43.42</v>
      </c>
      <c r="U20" s="33">
        <v>42.18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110</v>
      </c>
      <c r="D21" s="50" t="s">
        <v>42</v>
      </c>
      <c r="E21" s="32" t="s">
        <v>3</v>
      </c>
      <c r="F21" s="32" t="s">
        <v>113</v>
      </c>
      <c r="G21" s="32"/>
      <c r="H21" s="32"/>
      <c r="I21" s="32"/>
      <c r="J21" s="33">
        <v>591.36</v>
      </c>
      <c r="K21" s="33">
        <v>629.81</v>
      </c>
      <c r="L21" s="33">
        <v>588.83</v>
      </c>
      <c r="M21" s="33">
        <v>607.78</v>
      </c>
      <c r="N21" s="33">
        <v>589.78</v>
      </c>
      <c r="O21" s="33">
        <v>693.57</v>
      </c>
      <c r="P21" s="33">
        <v>668.97</v>
      </c>
      <c r="Q21" s="33">
        <v>769.55</v>
      </c>
      <c r="R21" s="33">
        <v>795.76</v>
      </c>
      <c r="S21" s="33">
        <v>628.48</v>
      </c>
      <c r="T21" s="33">
        <v>704.74</v>
      </c>
      <c r="U21" s="33">
        <v>630.78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110</v>
      </c>
      <c r="D22" s="50" t="s">
        <v>42</v>
      </c>
      <c r="E22" s="32" t="s">
        <v>3</v>
      </c>
      <c r="F22" s="32" t="s">
        <v>114</v>
      </c>
      <c r="G22" s="32"/>
      <c r="H22" s="32"/>
      <c r="I22" s="32"/>
      <c r="J22" s="33">
        <v>1195.24</v>
      </c>
      <c r="K22" s="33">
        <v>1446.58</v>
      </c>
      <c r="L22" s="33">
        <v>1128.23</v>
      </c>
      <c r="M22" s="33">
        <v>987.99</v>
      </c>
      <c r="N22" s="33">
        <v>1084.06</v>
      </c>
      <c r="O22" s="33">
        <v>1488.91</v>
      </c>
      <c r="P22" s="33">
        <v>2204.73</v>
      </c>
      <c r="Q22" s="33">
        <v>3220.94</v>
      </c>
      <c r="R22" s="33">
        <v>3084.09</v>
      </c>
      <c r="S22" s="33">
        <v>2235.93</v>
      </c>
      <c r="T22" s="33">
        <v>1827.32</v>
      </c>
      <c r="U22" s="33">
        <v>886.42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110</v>
      </c>
      <c r="D23" s="50" t="s">
        <v>42</v>
      </c>
      <c r="E23" s="32" t="s">
        <v>3</v>
      </c>
      <c r="F23" s="32" t="s">
        <v>115</v>
      </c>
      <c r="G23" s="32"/>
      <c r="H23" s="32"/>
      <c r="I23" s="32"/>
      <c r="J23" s="33">
        <v>634.14</v>
      </c>
      <c r="K23" s="33">
        <v>765.18</v>
      </c>
      <c r="L23" s="33">
        <v>623.29</v>
      </c>
      <c r="M23" s="33">
        <v>570.66</v>
      </c>
      <c r="N23" s="33">
        <v>725.92</v>
      </c>
      <c r="O23" s="33">
        <v>937.01</v>
      </c>
      <c r="P23" s="33">
        <v>1076.1</v>
      </c>
      <c r="Q23" s="33">
        <v>1545.3</v>
      </c>
      <c r="R23" s="33">
        <v>1278.28</v>
      </c>
      <c r="S23" s="33">
        <v>976.51</v>
      </c>
      <c r="T23" s="33">
        <v>889.93</v>
      </c>
      <c r="U23" s="33">
        <v>577.14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110</v>
      </c>
      <c r="D24" s="50" t="s">
        <v>42</v>
      </c>
      <c r="E24" s="32" t="s">
        <v>3</v>
      </c>
      <c r="F24" s="32" t="s">
        <v>116</v>
      </c>
      <c r="G24" s="32"/>
      <c r="H24" s="32"/>
      <c r="I24" s="32"/>
      <c r="J24" s="33">
        <v>1458.63</v>
      </c>
      <c r="K24" s="33">
        <v>1930.16</v>
      </c>
      <c r="L24" s="33">
        <v>1361</v>
      </c>
      <c r="M24" s="33">
        <v>1086.33</v>
      </c>
      <c r="N24" s="33">
        <v>1153.7</v>
      </c>
      <c r="O24" s="33">
        <v>1858.01</v>
      </c>
      <c r="P24" s="33">
        <v>3145.2</v>
      </c>
      <c r="Q24" s="33">
        <v>4419.19</v>
      </c>
      <c r="R24" s="33">
        <v>4280.53</v>
      </c>
      <c r="S24" s="33">
        <v>2993.09</v>
      </c>
      <c r="T24" s="33">
        <v>2458.77</v>
      </c>
      <c r="U24" s="33">
        <v>975.2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110</v>
      </c>
      <c r="D25" s="50" t="s">
        <v>42</v>
      </c>
      <c r="E25" s="32" t="s">
        <v>3</v>
      </c>
      <c r="F25" s="32" t="s">
        <v>117</v>
      </c>
      <c r="G25" s="32"/>
      <c r="H25" s="32"/>
      <c r="I25" s="32"/>
      <c r="J25" s="33">
        <v>1210.06</v>
      </c>
      <c r="K25" s="33">
        <v>1816.4</v>
      </c>
      <c r="L25" s="33">
        <v>1252.85</v>
      </c>
      <c r="M25" s="33">
        <v>1193.92</v>
      </c>
      <c r="N25" s="33">
        <v>1291.46</v>
      </c>
      <c r="O25" s="33">
        <v>2030.17</v>
      </c>
      <c r="P25" s="33">
        <v>3419.67</v>
      </c>
      <c r="Q25" s="33">
        <v>4883.15</v>
      </c>
      <c r="R25" s="33">
        <v>4559.32</v>
      </c>
      <c r="S25" s="33">
        <v>3219.98</v>
      </c>
      <c r="T25" s="33">
        <v>2609.3</v>
      </c>
      <c r="U25" s="33">
        <v>1287.81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110</v>
      </c>
      <c r="D26" s="50" t="s">
        <v>42</v>
      </c>
      <c r="E26" s="32" t="s">
        <v>3</v>
      </c>
      <c r="F26" s="32" t="s">
        <v>118</v>
      </c>
      <c r="G26" s="32"/>
      <c r="H26" s="32"/>
      <c r="I26" s="32"/>
      <c r="J26" s="33">
        <v>1311.47</v>
      </c>
      <c r="K26" s="33">
        <v>1627.98</v>
      </c>
      <c r="L26" s="33">
        <v>1238.18</v>
      </c>
      <c r="M26" s="33">
        <v>1174.65</v>
      </c>
      <c r="N26" s="33">
        <v>1339.29</v>
      </c>
      <c r="O26" s="33">
        <v>2138.05</v>
      </c>
      <c r="P26" s="33">
        <v>3149.76</v>
      </c>
      <c r="Q26" s="33">
        <v>4245.65</v>
      </c>
      <c r="R26" s="33">
        <v>4285.61</v>
      </c>
      <c r="S26" s="33">
        <v>2986.11</v>
      </c>
      <c r="T26" s="33">
        <v>2440.01</v>
      </c>
      <c r="U26" s="33">
        <v>1034.81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110</v>
      </c>
      <c r="D27" s="50" t="s">
        <v>42</v>
      </c>
      <c r="E27" s="32" t="s">
        <v>3</v>
      </c>
      <c r="F27" s="32" t="s">
        <v>119</v>
      </c>
      <c r="G27" s="32"/>
      <c r="H27" s="32"/>
      <c r="I27" s="32"/>
      <c r="J27" s="33">
        <v>797.43</v>
      </c>
      <c r="K27" s="33">
        <v>1024.91</v>
      </c>
      <c r="L27" s="33">
        <v>749.63</v>
      </c>
      <c r="M27" s="33">
        <v>615.81</v>
      </c>
      <c r="N27" s="33">
        <v>692.46</v>
      </c>
      <c r="O27" s="33">
        <v>1222.09</v>
      </c>
      <c r="P27" s="33">
        <v>2063.62</v>
      </c>
      <c r="Q27" s="33">
        <v>2862.08</v>
      </c>
      <c r="R27" s="33">
        <v>2447.82</v>
      </c>
      <c r="S27" s="33">
        <v>1818.43</v>
      </c>
      <c r="T27" s="33">
        <v>1440.86</v>
      </c>
      <c r="U27" s="33">
        <v>704.29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110</v>
      </c>
      <c r="D28" s="50" t="s">
        <v>42</v>
      </c>
      <c r="E28" s="32" t="s">
        <v>3</v>
      </c>
      <c r="F28" s="32" t="s">
        <v>120</v>
      </c>
      <c r="G28" s="32"/>
      <c r="H28" s="32"/>
      <c r="I28" s="32"/>
      <c r="J28" s="32"/>
      <c r="K28" s="33">
        <v>1470.71</v>
      </c>
      <c r="L28" s="33">
        <v>1470.71</v>
      </c>
      <c r="M28" s="33">
        <v>1470.71</v>
      </c>
      <c r="N28" s="33">
        <v>1470.71</v>
      </c>
      <c r="O28" s="33">
        <v>1471.08</v>
      </c>
      <c r="P28" s="33">
        <v>1471.27</v>
      </c>
      <c r="Q28" s="33">
        <v>1471.27</v>
      </c>
      <c r="R28" s="33">
        <v>1471.27</v>
      </c>
      <c r="S28" s="33">
        <v>1471.27</v>
      </c>
      <c r="T28" s="33">
        <v>1471.27</v>
      </c>
      <c r="U28" s="33">
        <v>1482.64</v>
      </c>
      <c r="V28" s="33">
        <v>1489.83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110</v>
      </c>
      <c r="D29" s="50" t="s">
        <v>42</v>
      </c>
      <c r="E29" s="32" t="s">
        <v>3</v>
      </c>
      <c r="F29" s="32" t="s">
        <v>121</v>
      </c>
      <c r="G29" s="32"/>
      <c r="H29" s="32"/>
      <c r="I29" s="32"/>
      <c r="J29" s="33">
        <v>1092.9</v>
      </c>
      <c r="K29" s="33">
        <v>1441.14</v>
      </c>
      <c r="L29" s="33">
        <v>1007.42</v>
      </c>
      <c r="M29" s="33">
        <v>867.46</v>
      </c>
      <c r="N29" s="33">
        <v>829.62</v>
      </c>
      <c r="O29" s="33">
        <v>1200.31</v>
      </c>
      <c r="P29" s="33">
        <v>2040.55</v>
      </c>
      <c r="Q29" s="33">
        <v>2993.16</v>
      </c>
      <c r="R29" s="33">
        <v>2734.13</v>
      </c>
      <c r="S29" s="33">
        <v>1999.19</v>
      </c>
      <c r="T29" s="33">
        <v>1664.07</v>
      </c>
      <c r="U29" s="33">
        <v>961.59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110</v>
      </c>
      <c r="D30" s="50" t="s">
        <v>42</v>
      </c>
      <c r="E30" s="32" t="s">
        <v>3</v>
      </c>
      <c r="F30" s="32" t="s">
        <v>122</v>
      </c>
      <c r="G30" s="32"/>
      <c r="H30" s="32"/>
      <c r="I30" s="32"/>
      <c r="J30" s="33">
        <v>643.68</v>
      </c>
      <c r="K30" s="33">
        <v>801.71</v>
      </c>
      <c r="L30" s="33">
        <v>610.09</v>
      </c>
      <c r="M30" s="33">
        <v>571.85</v>
      </c>
      <c r="N30" s="33">
        <v>669.62</v>
      </c>
      <c r="O30" s="33">
        <v>1100.86</v>
      </c>
      <c r="P30" s="33">
        <v>1982.63</v>
      </c>
      <c r="Q30" s="33">
        <v>2977.34</v>
      </c>
      <c r="R30" s="33">
        <v>2802.74</v>
      </c>
      <c r="S30" s="33">
        <v>1907.21</v>
      </c>
      <c r="T30" s="33">
        <v>1615.44</v>
      </c>
      <c r="U30" s="33">
        <v>625.37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110</v>
      </c>
      <c r="D31" s="50" t="s">
        <v>42</v>
      </c>
      <c r="E31" s="32" t="s">
        <v>3</v>
      </c>
      <c r="F31" s="32" t="s">
        <v>123</v>
      </c>
      <c r="G31" s="32"/>
      <c r="H31" s="32"/>
      <c r="I31" s="32"/>
      <c r="J31" s="32"/>
      <c r="K31" s="33">
        <v>103.65</v>
      </c>
      <c r="L31" s="33">
        <v>114.62</v>
      </c>
      <c r="M31" s="33">
        <v>129.85</v>
      </c>
      <c r="N31" s="33">
        <v>192.35</v>
      </c>
      <c r="O31" s="33">
        <v>329.92</v>
      </c>
      <c r="P31" s="33">
        <v>492.46</v>
      </c>
      <c r="Q31" s="33">
        <v>713.05</v>
      </c>
      <c r="R31" s="33">
        <v>736.61</v>
      </c>
      <c r="S31" s="33">
        <v>502.85</v>
      </c>
      <c r="T31" s="33">
        <v>397.9</v>
      </c>
      <c r="U31" s="33">
        <v>154.33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110</v>
      </c>
      <c r="D32" s="50" t="s">
        <v>42</v>
      </c>
      <c r="E32" s="32" t="s">
        <v>3</v>
      </c>
      <c r="F32" s="32" t="s">
        <v>124</v>
      </c>
      <c r="G32" s="32"/>
      <c r="H32" s="32"/>
      <c r="I32" s="32"/>
      <c r="J32" s="33">
        <v>1521.05</v>
      </c>
      <c r="K32" s="33">
        <v>1925.57</v>
      </c>
      <c r="L32" s="33">
        <v>1471.09</v>
      </c>
      <c r="M32" s="33">
        <v>1369.23</v>
      </c>
      <c r="N32" s="33">
        <v>1515.58</v>
      </c>
      <c r="O32" s="33">
        <v>2363.49</v>
      </c>
      <c r="P32" s="33">
        <v>3763.5</v>
      </c>
      <c r="Q32" s="33">
        <v>5392.51</v>
      </c>
      <c r="R32" s="33">
        <v>5055.08</v>
      </c>
      <c r="S32" s="33">
        <v>3309.55</v>
      </c>
      <c r="T32" s="33">
        <f>2800.69+0.00</f>
        <v>2800.69</v>
      </c>
      <c r="U32" s="33">
        <v>1444.05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110</v>
      </c>
      <c r="D33" s="50" t="s">
        <v>42</v>
      </c>
      <c r="E33" s="32" t="s">
        <v>3</v>
      </c>
      <c r="F33" s="32" t="s">
        <v>125</v>
      </c>
      <c r="G33" s="32"/>
      <c r="H33" s="32"/>
      <c r="I33" s="32"/>
      <c r="J33" s="33">
        <v>254.8</v>
      </c>
      <c r="K33" s="33">
        <v>319.97</v>
      </c>
      <c r="L33" s="33">
        <v>248.87</v>
      </c>
      <c r="M33" s="33">
        <v>319.97</v>
      </c>
      <c r="N33" s="33">
        <v>371.34</v>
      </c>
      <c r="O33" s="33">
        <v>473.06</v>
      </c>
      <c r="P33" s="33">
        <v>600.65</v>
      </c>
      <c r="Q33" s="33">
        <v>776.36</v>
      </c>
      <c r="R33" s="33">
        <v>685.16</v>
      </c>
      <c r="S33" s="33">
        <v>561.68</v>
      </c>
      <c r="T33" s="33">
        <v>501.23</v>
      </c>
      <c r="U33" s="33">
        <v>250.06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110</v>
      </c>
      <c r="D34" s="50" t="s">
        <v>42</v>
      </c>
      <c r="E34" s="32" t="s">
        <v>3</v>
      </c>
      <c r="F34" s="32" t="s">
        <v>126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>
        <f>42.60+0.00</f>
        <v>42.6</v>
      </c>
      <c r="T34" s="33">
        <v>22.21</v>
      </c>
      <c r="U34" s="33">
        <v>21.66</v>
      </c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110</v>
      </c>
      <c r="D35" s="50" t="s">
        <v>42</v>
      </c>
      <c r="E35" s="32" t="s">
        <v>3</v>
      </c>
      <c r="F35" s="32" t="s">
        <v>127</v>
      </c>
      <c r="G35" s="32"/>
      <c r="H35" s="32"/>
      <c r="I35" s="32"/>
      <c r="J35" s="33">
        <v>1478.54</v>
      </c>
      <c r="K35" s="33">
        <v>2055.35</v>
      </c>
      <c r="L35" s="33">
        <v>1514.1</v>
      </c>
      <c r="M35" s="33">
        <v>1174.34</v>
      </c>
      <c r="N35" s="33">
        <v>1166.42</v>
      </c>
      <c r="O35" s="33">
        <v>1679.27</v>
      </c>
      <c r="P35" s="33">
        <v>2907.21</v>
      </c>
      <c r="Q35" s="33">
        <v>4156.34</v>
      </c>
      <c r="R35" s="33">
        <v>3833.04</v>
      </c>
      <c r="S35" s="33">
        <f>2213.61+0.00</f>
        <v>2213.61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110</v>
      </c>
      <c r="D36" s="50" t="s">
        <v>42</v>
      </c>
      <c r="E36" s="32" t="s">
        <v>3</v>
      </c>
      <c r="F36" s="32" t="s">
        <v>128</v>
      </c>
      <c r="G36" s="32"/>
      <c r="H36" s="32"/>
      <c r="I36" s="32"/>
      <c r="J36" s="33">
        <v>1097.19</v>
      </c>
      <c r="K36" s="33">
        <v>1621.63</v>
      </c>
      <c r="L36" s="33">
        <v>1282.73</v>
      </c>
      <c r="M36" s="33">
        <v>1125.32</v>
      </c>
      <c r="N36" s="33">
        <v>1132.18</v>
      </c>
      <c r="O36" s="33">
        <v>1422.4</v>
      </c>
      <c r="P36" s="33">
        <v>2272.33</v>
      </c>
      <c r="Q36" s="33">
        <v>3274.66</v>
      </c>
      <c r="R36" s="33">
        <v>2973.72</v>
      </c>
      <c r="S36" s="33">
        <v>2000.62</v>
      </c>
      <c r="T36" s="33">
        <v>1627.19</v>
      </c>
      <c r="U36" s="33">
        <v>807.44</v>
      </c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5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ht="13.5" customHeight="1" spans="2:39" x14ac:dyDescent="0.25">
      <c r="B38" s="20"/>
      <c r="C38" s="21"/>
      <c r="D38" s="21" t="s">
        <v>85</v>
      </c>
      <c r="E38" s="21"/>
      <c r="F38" s="21"/>
      <c r="G38" s="22">
        <f>SUM(G19:G36)</f>
      </c>
      <c r="H38" s="22">
        <f>SUM(H19:H36)</f>
      </c>
      <c r="I38" s="22">
        <f>SUM(I19:I36)</f>
      </c>
      <c r="J38" s="22">
        <f>SUM(J19:J36)</f>
      </c>
      <c r="K38" s="22">
        <f>SUM(K19:K36)</f>
      </c>
      <c r="L38" s="22">
        <f>SUM(L19:L36)</f>
      </c>
      <c r="M38" s="22">
        <f>SUM(M19:M36)</f>
      </c>
      <c r="N38" s="22">
        <f>SUM(N19:N36)</f>
      </c>
      <c r="O38" s="22">
        <f>SUM(O19:O36)</f>
      </c>
      <c r="P38" s="22">
        <f>SUM(P19:P36)</f>
      </c>
      <c r="Q38" s="22">
        <f>SUM(Q19:Q36)</f>
      </c>
      <c r="R38" s="22">
        <f>SUM(R19:R36)</f>
      </c>
      <c r="S38" s="22">
        <f>SUM(S19:S36)</f>
      </c>
      <c r="T38" s="22">
        <f>SUM(T19:T36)</f>
      </c>
      <c r="U38" s="22">
        <f>SUM(U19:U36)</f>
      </c>
      <c r="V38" s="22">
        <f>SUM(V19:V36)</f>
      </c>
      <c r="W38" s="22">
        <f>SUM(W19:W36)</f>
      </c>
      <c r="X38" s="22">
        <f>SUM(X19:X36)</f>
      </c>
      <c r="Y38" s="22">
        <f>SUM(Y19:Y36)</f>
      </c>
      <c r="Z38" s="22">
        <f>SUM(Z19:Z36)</f>
      </c>
      <c r="AA38" s="22">
        <f>SUM(AA19:AA36)</f>
      </c>
      <c r="AB38" s="22">
        <f>SUM(AB19:AB36)</f>
      </c>
      <c r="AC38" s="22">
        <f>SUM(AC19:AC36)</f>
      </c>
      <c r="AD38" s="22">
        <f>SUM(AD19:AD36)</f>
      </c>
      <c r="AE38" s="22">
        <f>SUM(AE19:AE36)</f>
      </c>
      <c r="AF38" s="22">
        <f>SUM(AF19:AF36)</f>
      </c>
      <c r="AG38" s="22">
        <f>SUM(AG19:AG36)</f>
      </c>
      <c r="AH38" s="22">
        <f>SUM(AH19:AH36)</f>
      </c>
      <c r="AI38" s="22">
        <f>SUM(AI19:AI36)</f>
      </c>
      <c r="AJ38" s="22">
        <f>SUM(AJ19:AJ36)</f>
      </c>
      <c r="AK38" s="22">
        <f>SUM(AK19:AK36)</f>
      </c>
      <c r="AL38" s="22">
        <f>SUM(AL19:AL36)</f>
      </c>
      <c r="AM38" s="23"/>
    </row>
    <row r="40" ht="13.5" customHeight="1" spans="2:39" x14ac:dyDescent="0.25">
      <c r="B40" s="46"/>
      <c r="C40" s="28"/>
      <c r="D40" s="47" t="s">
        <v>43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/>
    </row>
    <row r="41" ht="13.5" customHeight="1" spans="2:39" x14ac:dyDescent="0.25">
      <c r="B41" s="48" t="s">
        <v>3</v>
      </c>
      <c r="C41" s="49" t="s">
        <v>110</v>
      </c>
      <c r="D41" s="50" t="s">
        <v>43</v>
      </c>
      <c r="E41" s="32" t="s">
        <v>3</v>
      </c>
      <c r="F41" s="32" t="s">
        <v>129</v>
      </c>
      <c r="G41" s="32"/>
      <c r="H41" s="32"/>
      <c r="I41" s="32"/>
      <c r="J41" s="33">
        <f>3821.16+3338.93</f>
        <v>7160.09</v>
      </c>
      <c r="K41" s="33">
        <f>4262.14+3718.33</f>
        <v>7980.47</v>
      </c>
      <c r="L41" s="33">
        <f>4441.94+3980.02</f>
        <v>8421.96</v>
      </c>
      <c r="M41" s="33">
        <f>3843.93+3390.75</f>
        <v>7234.68</v>
      </c>
      <c r="N41" s="33">
        <f>3902.46+3441.58</f>
        <v>7344.04</v>
      </c>
      <c r="O41" s="33">
        <f>3707.81+3272.56</f>
        <v>6980.37</v>
      </c>
      <c r="P41" s="33">
        <f>3308.67+2925.93</f>
        <v>6234.6</v>
      </c>
      <c r="Q41" s="33">
        <f>4008.85+3533.98</f>
        <v>7542.83</v>
      </c>
      <c r="R41" s="33">
        <f>3391.74+2998.05</f>
        <v>6389.79</v>
      </c>
      <c r="S41" s="33">
        <f>3681.25+3249.51</f>
        <v>6930.76</v>
      </c>
      <c r="T41" s="33">
        <f>3846.16+3392.72</f>
        <v>7238.879999999999</v>
      </c>
      <c r="U41" s="33">
        <f>3775.76+3077.57</f>
        <v>6853.33</v>
      </c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51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40"/>
    </row>
    <row r="43" ht="13.5" customHeight="1" spans="2:39" x14ac:dyDescent="0.25">
      <c r="B43" s="20"/>
      <c r="C43" s="21"/>
      <c r="D43" s="21" t="s">
        <v>89</v>
      </c>
      <c r="E43" s="21"/>
      <c r="F43" s="21"/>
      <c r="G43" s="22">
        <f>SUM(G41:G41)</f>
      </c>
      <c r="H43" s="22">
        <f>SUM(H41:H41)</f>
      </c>
      <c r="I43" s="22">
        <f>SUM(I41:I41)</f>
      </c>
      <c r="J43" s="22">
        <f>SUM(J41:J41)</f>
      </c>
      <c r="K43" s="22">
        <f>SUM(K41:K41)</f>
      </c>
      <c r="L43" s="22">
        <f>SUM(L41:L41)</f>
      </c>
      <c r="M43" s="22">
        <f>SUM(M41:M41)</f>
      </c>
      <c r="N43" s="22">
        <f>SUM(N41:N41)</f>
      </c>
      <c r="O43" s="22">
        <f>SUM(O41:O41)</f>
      </c>
      <c r="P43" s="22">
        <f>SUM(P41:P41)</f>
      </c>
      <c r="Q43" s="22">
        <f>SUM(Q41:Q41)</f>
      </c>
      <c r="R43" s="22">
        <f>SUM(R41:R41)</f>
      </c>
      <c r="S43" s="22">
        <f>SUM(S41:S41)</f>
      </c>
      <c r="T43" s="22">
        <f>SUM(T41:T41)</f>
      </c>
      <c r="U43" s="22">
        <f>SUM(U41:U41)</f>
      </c>
      <c r="V43" s="22">
        <f>SUM(V41:V41)</f>
      </c>
      <c r="W43" s="22">
        <f>SUM(W41:W41)</f>
      </c>
      <c r="X43" s="22">
        <f>SUM(X41:X41)</f>
      </c>
      <c r="Y43" s="22">
        <f>SUM(Y41:Y41)</f>
      </c>
      <c r="Z43" s="22">
        <f>SUM(Z41:Z41)</f>
      </c>
      <c r="AA43" s="22">
        <f>SUM(AA41:AA41)</f>
      </c>
      <c r="AB43" s="22">
        <f>SUM(AB41:AB41)</f>
      </c>
      <c r="AC43" s="22">
        <f>SUM(AC41:AC41)</f>
      </c>
      <c r="AD43" s="22">
        <f>SUM(AD41:AD41)</f>
      </c>
      <c r="AE43" s="22">
        <f>SUM(AE41:AE41)</f>
      </c>
      <c r="AF43" s="22">
        <f>SUM(AF41:AF41)</f>
      </c>
      <c r="AG43" s="22">
        <f>SUM(AG41:AG41)</f>
      </c>
      <c r="AH43" s="22">
        <f>SUM(AH41:AH41)</f>
      </c>
      <c r="AI43" s="22">
        <f>SUM(AI41:AI41)</f>
      </c>
      <c r="AJ43" s="22">
        <f>SUM(AJ41:AJ41)</f>
      </c>
      <c r="AK43" s="22">
        <f>SUM(AK41:AK41)</f>
      </c>
      <c r="AL43" s="22">
        <f>SUM(AL41:AL41)</f>
      </c>
      <c r="AM43" s="23"/>
    </row>
    <row r="45" ht="13.5" customHeight="1" spans="2:39" x14ac:dyDescent="0.25">
      <c r="B45" s="46"/>
      <c r="C45" s="28"/>
      <c r="D45" s="47" t="s">
        <v>44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9"/>
    </row>
    <row r="46" ht="13.5" customHeight="1" spans="2:39" x14ac:dyDescent="0.25">
      <c r="B46" s="48" t="s">
        <v>3</v>
      </c>
      <c r="C46" s="49" t="s">
        <v>110</v>
      </c>
      <c r="D46" s="50" t="s">
        <v>44</v>
      </c>
      <c r="E46" s="32" t="s">
        <v>3</v>
      </c>
      <c r="F46" s="32" t="s">
        <v>129</v>
      </c>
      <c r="G46" s="32"/>
      <c r="H46" s="32"/>
      <c r="I46" s="32"/>
      <c r="J46" s="33">
        <v>5794.87</v>
      </c>
      <c r="K46" s="33">
        <v>5972.66</v>
      </c>
      <c r="L46" s="33">
        <v>6409.78</v>
      </c>
      <c r="M46" s="33">
        <v>6251.29</v>
      </c>
      <c r="N46" s="33">
        <v>6149.64</v>
      </c>
      <c r="O46" s="33">
        <v>5413.64</v>
      </c>
      <c r="P46" s="33">
        <v>5637.55</v>
      </c>
      <c r="Q46" s="33">
        <v>6698.55</v>
      </c>
      <c r="R46" s="33">
        <v>5092.48</v>
      </c>
      <c r="S46" s="33">
        <v>5088.26</v>
      </c>
      <c r="T46" s="33">
        <v>5375.85</v>
      </c>
      <c r="U46" s="33">
        <v>6018.65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51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40"/>
    </row>
    <row r="48" ht="13.5" customHeight="1" spans="2:39" x14ac:dyDescent="0.25">
      <c r="B48" s="20"/>
      <c r="C48" s="21"/>
      <c r="D48" s="21" t="s">
        <v>90</v>
      </c>
      <c r="E48" s="21"/>
      <c r="F48" s="21"/>
      <c r="G48" s="22">
        <f>SUM(G46:G46)</f>
      </c>
      <c r="H48" s="22">
        <f>SUM(H46:H46)</f>
      </c>
      <c r="I48" s="22">
        <f>SUM(I46:I46)</f>
      </c>
      <c r="J48" s="22">
        <f>SUM(J46:J46)</f>
      </c>
      <c r="K48" s="22">
        <f>SUM(K46:K46)</f>
      </c>
      <c r="L48" s="22">
        <f>SUM(L46:L46)</f>
      </c>
      <c r="M48" s="22">
        <f>SUM(M46:M46)</f>
      </c>
      <c r="N48" s="22">
        <f>SUM(N46:N46)</f>
      </c>
      <c r="O48" s="22">
        <f>SUM(O46:O46)</f>
      </c>
      <c r="P48" s="22">
        <f>SUM(P46:P46)</f>
      </c>
      <c r="Q48" s="22">
        <f>SUM(Q46:Q46)</f>
      </c>
      <c r="R48" s="22">
        <f>SUM(R46:R46)</f>
      </c>
      <c r="S48" s="22">
        <f>SUM(S46:S46)</f>
      </c>
      <c r="T48" s="22">
        <f>SUM(T46:T46)</f>
      </c>
      <c r="U48" s="22">
        <f>SUM(U46:U46)</f>
      </c>
      <c r="V48" s="22">
        <f>SUM(V46:V46)</f>
      </c>
      <c r="W48" s="22">
        <f>SUM(W46:W46)</f>
      </c>
      <c r="X48" s="22">
        <f>SUM(X46:X46)</f>
      </c>
      <c r="Y48" s="22">
        <f>SUM(Y46:Y46)</f>
      </c>
      <c r="Z48" s="22">
        <f>SUM(Z46:Z46)</f>
      </c>
      <c r="AA48" s="22">
        <f>SUM(AA46:AA46)</f>
      </c>
      <c r="AB48" s="22">
        <f>SUM(AB46:AB46)</f>
      </c>
      <c r="AC48" s="22">
        <f>SUM(AC46:AC46)</f>
      </c>
      <c r="AD48" s="22">
        <f>SUM(AD46:AD46)</f>
      </c>
      <c r="AE48" s="22">
        <f>SUM(AE46:AE46)</f>
      </c>
      <c r="AF48" s="22">
        <f>SUM(AF46:AF46)</f>
      </c>
      <c r="AG48" s="22">
        <f>SUM(AG46:AG46)</f>
      </c>
      <c r="AH48" s="22">
        <f>SUM(AH46:AH46)</f>
      </c>
      <c r="AI48" s="22">
        <f>SUM(AI46:AI46)</f>
      </c>
      <c r="AJ48" s="22">
        <f>SUM(AJ46:AJ46)</f>
      </c>
      <c r="AK48" s="22">
        <f>SUM(AK46:AK46)</f>
      </c>
      <c r="AL48" s="22">
        <f>SUM(AL46:AL46)</f>
      </c>
      <c r="AM48" s="23"/>
    </row>
    <row r="51" ht="12.75" customHeight="1" spans="2:39" x14ac:dyDescent="0.25">
      <c r="B51" s="11" t="s">
        <v>40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18">
        <f>G16</f>
      </c>
      <c r="H52" s="18">
        <f>H16</f>
      </c>
      <c r="I52" s="18">
        <f>I16</f>
      </c>
      <c r="J52" s="18">
        <f>J16</f>
      </c>
      <c r="K52" s="18">
        <f>K16</f>
      </c>
      <c r="L52" s="18">
        <f>L16</f>
      </c>
      <c r="M52" s="18">
        <f>M16</f>
      </c>
      <c r="N52" s="18">
        <f>N16</f>
      </c>
      <c r="O52" s="18">
        <f>O16</f>
      </c>
      <c r="P52" s="18">
        <f>P16</f>
      </c>
      <c r="Q52" s="18">
        <f>Q16</f>
      </c>
      <c r="R52" s="18">
        <f>R16</f>
      </c>
      <c r="S52" s="18">
        <f>S16</f>
      </c>
      <c r="T52" s="18">
        <f>T16</f>
      </c>
      <c r="U52" s="18">
        <f>U16</f>
      </c>
      <c r="V52" s="18">
        <f>V16</f>
      </c>
      <c r="W52" s="18">
        <f>W16</f>
      </c>
      <c r="X52" s="18">
        <f>X16</f>
      </c>
      <c r="Y52" s="18">
        <f>Y16</f>
      </c>
      <c r="Z52" s="18">
        <f>Z16</f>
      </c>
      <c r="AA52" s="18">
        <f>AA16</f>
      </c>
      <c r="AB52" s="18">
        <f>AB16</f>
      </c>
      <c r="AC52" s="18">
        <f>AC16</f>
      </c>
      <c r="AD52" s="18">
        <f>AD16</f>
      </c>
      <c r="AE52" s="18">
        <f>AE16</f>
      </c>
      <c r="AF52" s="18">
        <f>AF16</f>
      </c>
      <c r="AG52" s="18">
        <f>AG16</f>
      </c>
      <c r="AH52" s="18">
        <f>AH16</f>
      </c>
      <c r="AI52" s="18">
        <f>AI16</f>
      </c>
      <c r="AJ52" s="18">
        <f>AJ16</f>
      </c>
      <c r="AK52" s="18">
        <f>AK16</f>
      </c>
      <c r="AL52" s="18">
        <f>AL16</f>
      </c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18">
        <f>G38</f>
      </c>
      <c r="H53" s="18">
        <f>H38</f>
      </c>
      <c r="I53" s="18">
        <f>I38</f>
      </c>
      <c r="J53" s="18">
        <f>J38</f>
      </c>
      <c r="K53" s="18">
        <f>K38</f>
      </c>
      <c r="L53" s="18">
        <f>L38</f>
      </c>
      <c r="M53" s="18">
        <f>M38</f>
      </c>
      <c r="N53" s="18">
        <f>N38</f>
      </c>
      <c r="O53" s="18">
        <f>O38</f>
      </c>
      <c r="P53" s="18">
        <f>P38</f>
      </c>
      <c r="Q53" s="18">
        <f>Q38</f>
      </c>
      <c r="R53" s="18">
        <f>R38</f>
      </c>
      <c r="S53" s="18">
        <f>S38</f>
      </c>
      <c r="T53" s="18">
        <f>T38</f>
      </c>
      <c r="U53" s="18">
        <f>U38</f>
      </c>
      <c r="V53" s="18">
        <f>V38</f>
      </c>
      <c r="W53" s="18">
        <f>W38</f>
      </c>
      <c r="X53" s="18">
        <f>X38</f>
      </c>
      <c r="Y53" s="18">
        <f>Y38</f>
      </c>
      <c r="Z53" s="18">
        <f>Z38</f>
      </c>
      <c r="AA53" s="18">
        <f>AA38</f>
      </c>
      <c r="AB53" s="18">
        <f>AB38</f>
      </c>
      <c r="AC53" s="18">
        <f>AC38</f>
      </c>
      <c r="AD53" s="18">
        <f>AD38</f>
      </c>
      <c r="AE53" s="18">
        <f>AE38</f>
      </c>
      <c r="AF53" s="18">
        <f>AF38</f>
      </c>
      <c r="AG53" s="18">
        <f>AG38</f>
      </c>
      <c r="AH53" s="18">
        <f>AH38</f>
      </c>
      <c r="AI53" s="18">
        <f>AI38</f>
      </c>
      <c r="AJ53" s="18">
        <f>AJ38</f>
      </c>
      <c r="AK53" s="18">
        <f>AK38</f>
      </c>
      <c r="AL53" s="18">
        <f>AL38</f>
      </c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18">
        <f>G43</f>
      </c>
      <c r="H54" s="18">
        <f>H43</f>
      </c>
      <c r="I54" s="18">
        <f>I43</f>
      </c>
      <c r="J54" s="18">
        <f>J43</f>
      </c>
      <c r="K54" s="18">
        <f>K43</f>
      </c>
      <c r="L54" s="18">
        <f>L43</f>
      </c>
      <c r="M54" s="18">
        <f>M43</f>
      </c>
      <c r="N54" s="18">
        <f>N43</f>
      </c>
      <c r="O54" s="18">
        <f>O43</f>
      </c>
      <c r="P54" s="18">
        <f>P43</f>
      </c>
      <c r="Q54" s="18">
        <f>Q43</f>
      </c>
      <c r="R54" s="18">
        <f>R43</f>
      </c>
      <c r="S54" s="18">
        <f>S43</f>
      </c>
      <c r="T54" s="18">
        <f>T43</f>
      </c>
      <c r="U54" s="18">
        <f>U43</f>
      </c>
      <c r="V54" s="18">
        <f>V43</f>
      </c>
      <c r="W54" s="18">
        <f>W43</f>
      </c>
      <c r="X54" s="18">
        <f>X43</f>
      </c>
      <c r="Y54" s="18">
        <f>Y43</f>
      </c>
      <c r="Z54" s="18">
        <f>Z43</f>
      </c>
      <c r="AA54" s="18">
        <f>AA43</f>
      </c>
      <c r="AB54" s="18">
        <f>AB43</f>
      </c>
      <c r="AC54" s="18">
        <f>AC43</f>
      </c>
      <c r="AD54" s="18">
        <f>AD43</f>
      </c>
      <c r="AE54" s="18">
        <f>AE43</f>
      </c>
      <c r="AF54" s="18">
        <f>AF43</f>
      </c>
      <c r="AG54" s="18">
        <f>AG43</f>
      </c>
      <c r="AH54" s="18">
        <f>AH43</f>
      </c>
      <c r="AI54" s="18">
        <f>AI43</f>
      </c>
      <c r="AJ54" s="18">
        <f>AJ43</f>
      </c>
      <c r="AK54" s="18">
        <f>AK43</f>
      </c>
      <c r="AL54" s="18">
        <f>AL43</f>
      </c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18">
        <f>G48</f>
      </c>
      <c r="H55" s="18">
        <f>H48</f>
      </c>
      <c r="I55" s="18">
        <f>I48</f>
      </c>
      <c r="J55" s="18">
        <f>J48</f>
      </c>
      <c r="K55" s="18">
        <f>K48</f>
      </c>
      <c r="L55" s="18">
        <f>L48</f>
      </c>
      <c r="M55" s="18">
        <f>M48</f>
      </c>
      <c r="N55" s="18">
        <f>N48</f>
      </c>
      <c r="O55" s="18">
        <f>O48</f>
      </c>
      <c r="P55" s="18">
        <f>P48</f>
      </c>
      <c r="Q55" s="18">
        <f>Q48</f>
      </c>
      <c r="R55" s="18">
        <f>R48</f>
      </c>
      <c r="S55" s="18">
        <f>S48</f>
      </c>
      <c r="T55" s="18">
        <f>T48</f>
      </c>
      <c r="U55" s="18">
        <f>U48</f>
      </c>
      <c r="V55" s="18">
        <f>V48</f>
      </c>
      <c r="W55" s="18">
        <f>W48</f>
      </c>
      <c r="X55" s="18">
        <f>X48</f>
      </c>
      <c r="Y55" s="18">
        <f>Y48</f>
      </c>
      <c r="Z55" s="18">
        <f>Z48</f>
      </c>
      <c r="AA55" s="18">
        <f>AA48</f>
      </c>
      <c r="AB55" s="18">
        <f>AB48</f>
      </c>
      <c r="AC55" s="18">
        <f>AC48</f>
      </c>
      <c r="AD55" s="18">
        <f>AD48</f>
      </c>
      <c r="AE55" s="18">
        <f>AE48</f>
      </c>
      <c r="AF55" s="18">
        <f>AF48</f>
      </c>
      <c r="AG55" s="18">
        <f>AG48</f>
      </c>
      <c r="AH55" s="18">
        <f>AH48</f>
      </c>
      <c r="AI55" s="18">
        <f>AI48</f>
      </c>
      <c r="AJ55" s="18">
        <f>AJ48</f>
      </c>
      <c r="AK55" s="18">
        <f>AK48</f>
      </c>
      <c r="AL55" s="18">
        <f>AL48</f>
      </c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2">
        <f>AK52+AK53+AK54+AK55</f>
      </c>
      <c r="AL56" s="22">
        <f>AL52+AL53+AL54+AL55</f>
      </c>
      <c r="AM56" s="23"/>
    </row>
    <row r="58" ht="12.75" customHeight="1" spans="2:39" x14ac:dyDescent="0.25">
      <c r="B58" s="11" t="s">
        <v>46</v>
      </c>
      <c r="C58" s="12"/>
      <c r="D58" s="12"/>
      <c r="E58" s="12"/>
      <c r="F58" s="12"/>
      <c r="G58" s="52" t="s">
        <v>7</v>
      </c>
      <c r="H58" s="52" t="s">
        <v>8</v>
      </c>
      <c r="I58" s="52" t="s">
        <v>9</v>
      </c>
      <c r="J58" s="52" t="s">
        <v>10</v>
      </c>
      <c r="K58" s="52" t="s">
        <v>11</v>
      </c>
      <c r="L58" s="52" t="s">
        <v>12</v>
      </c>
      <c r="M58" s="52" t="s">
        <v>13</v>
      </c>
      <c r="N58" s="52" t="s">
        <v>14</v>
      </c>
      <c r="O58" s="52" t="s">
        <v>15</v>
      </c>
      <c r="P58" s="52" t="s">
        <v>16</v>
      </c>
      <c r="Q58" s="52" t="s">
        <v>17</v>
      </c>
      <c r="R58" s="52" t="s">
        <v>18</v>
      </c>
      <c r="S58" s="52" t="s">
        <v>19</v>
      </c>
      <c r="T58" s="52" t="s">
        <v>20</v>
      </c>
      <c r="U58" s="52" t="s">
        <v>21</v>
      </c>
      <c r="V58" s="52" t="s">
        <v>22</v>
      </c>
      <c r="W58" s="52" t="s">
        <v>23</v>
      </c>
      <c r="X58" s="52" t="s">
        <v>24</v>
      </c>
      <c r="Y58" s="52" t="s">
        <v>25</v>
      </c>
      <c r="Z58" s="52" t="s">
        <v>26</v>
      </c>
      <c r="AA58" s="52" t="s">
        <v>27</v>
      </c>
      <c r="AB58" s="52" t="s">
        <v>28</v>
      </c>
      <c r="AC58" s="52" t="s">
        <v>29</v>
      </c>
      <c r="AD58" s="52" t="s">
        <v>30</v>
      </c>
      <c r="AE58" s="52" t="s">
        <v>31</v>
      </c>
      <c r="AF58" s="52" t="s">
        <v>32</v>
      </c>
      <c r="AG58" s="52" t="s">
        <v>33</v>
      </c>
      <c r="AH58" s="52" t="s">
        <v>34</v>
      </c>
      <c r="AI58" s="52" t="s">
        <v>35</v>
      </c>
      <c r="AJ58" s="52" t="s">
        <v>36</v>
      </c>
      <c r="AK58" s="52" t="s">
        <v>37</v>
      </c>
      <c r="AL58" s="52" t="s">
        <v>38</v>
      </c>
      <c r="AM58" s="15"/>
    </row>
    <row r="59" ht="12.75" customHeight="1" spans="2:39" x14ac:dyDescent="0.25">
      <c r="B59" s="16"/>
      <c r="C59" s="17"/>
      <c r="D59" s="17" t="s">
        <v>41</v>
      </c>
      <c r="E59" s="17"/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9"/>
    </row>
    <row r="60" ht="12.75" customHeight="1" spans="2:39" x14ac:dyDescent="0.25">
      <c r="B60" s="16"/>
      <c r="C60" s="17"/>
      <c r="D60" s="17" t="s">
        <v>42</v>
      </c>
      <c r="E60" s="17"/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9"/>
    </row>
    <row r="61" ht="12.75" customHeight="1" spans="2:39" x14ac:dyDescent="0.25">
      <c r="B61" s="16"/>
      <c r="C61" s="17"/>
      <c r="D61" s="17" t="s">
        <v>43</v>
      </c>
      <c r="E61" s="17"/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9"/>
    </row>
    <row r="62" ht="12.75" customHeight="1" spans="2:39" x14ac:dyDescent="0.25">
      <c r="B62" s="16"/>
      <c r="C62" s="17"/>
      <c r="D62" s="17" t="s">
        <v>44</v>
      </c>
      <c r="E62" s="17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9"/>
    </row>
    <row r="63" ht="12.75" customHeight="1" spans="2:39" x14ac:dyDescent="0.25">
      <c r="B63" s="20"/>
      <c r="C63" s="21"/>
      <c r="D63" s="21" t="s">
        <v>45</v>
      </c>
      <c r="E63" s="21"/>
      <c r="F63" s="21"/>
      <c r="G63" s="22">
        <f>G59+G60+G61+G62</f>
      </c>
      <c r="H63" s="22">
        <f>H59+H60+H61+H62</f>
      </c>
      <c r="I63" s="22">
        <f>I59+I60+I61+I62</f>
      </c>
      <c r="J63" s="22">
        <f>J59+J60+J61+J62</f>
      </c>
      <c r="K63" s="22">
        <f>K59+K60+K61+K62</f>
      </c>
      <c r="L63" s="22">
        <f>L59+L60+L61+L62</f>
      </c>
      <c r="M63" s="22">
        <f>M59+M60+M61+M62</f>
      </c>
      <c r="N63" s="22">
        <f>N59+N60+N61+N62</f>
      </c>
      <c r="O63" s="22">
        <f>O59+O60+O61+O62</f>
      </c>
      <c r="P63" s="22">
        <f>P59+P60+P61+P62</f>
      </c>
      <c r="Q63" s="22">
        <f>Q59+Q60+Q61+Q62</f>
      </c>
      <c r="R63" s="22">
        <f>R59+R60+R61+R62</f>
      </c>
      <c r="S63" s="22">
        <f>S59+S60+S61+S62</f>
      </c>
      <c r="T63" s="22">
        <f>T59+T60+T61+T62</f>
      </c>
      <c r="U63" s="22">
        <f>U59+U60+U61+U62</f>
      </c>
      <c r="V63" s="22">
        <f>V59+V60+V61+V62</f>
      </c>
      <c r="W63" s="22">
        <f>W59+W60+W61+W62</f>
      </c>
      <c r="X63" s="22">
        <f>X59+X60+X61+X62</f>
      </c>
      <c r="Y63" s="22">
        <f>Y59+Y60+Y61+Y62</f>
      </c>
      <c r="Z63" s="22">
        <f>Z59+Z60+Z61+Z62</f>
      </c>
      <c r="AA63" s="22">
        <f>AA59+AA60+AA61+AA62</f>
      </c>
      <c r="AB63" s="22">
        <f>AB59+AB60+AB61+AB62</f>
      </c>
      <c r="AC63" s="22">
        <f>AC59+AC60+AC61+AC62</f>
      </c>
      <c r="AD63" s="22">
        <f>AD59+AD60+AD61+AD62</f>
      </c>
      <c r="AE63" s="22">
        <f>AE59+AE60+AE61+AE62</f>
      </c>
      <c r="AF63" s="22">
        <f>AF59+AF60+AF61+AF62</f>
      </c>
      <c r="AG63" s="22">
        <f>AG59+AG60+AG61+AG62</f>
      </c>
      <c r="AH63" s="22">
        <f>AH59+AH60+AH61+AH62</f>
      </c>
      <c r="AI63" s="22">
        <f>AI59+AI60+AI61+AI62</f>
      </c>
      <c r="AJ63" s="22">
        <f>AJ59+AJ60+AJ61+AJ62</f>
      </c>
      <c r="AK63" s="22">
        <f>AK59+AK60+AK61+AK62</f>
      </c>
      <c r="AL63" s="22">
        <f>AL59+AL60+AL61+AL62</f>
      </c>
      <c r="AM63" s="23"/>
    </row>
    <row r="65" ht="12.75" customHeight="1" spans="2:39" x14ac:dyDescent="0.25">
      <c r="B65" s="11" t="s">
        <v>47</v>
      </c>
      <c r="C65" s="12"/>
      <c r="D65" s="12"/>
      <c r="E65" s="12"/>
      <c r="F65" s="12"/>
      <c r="G65" s="52" t="s">
        <v>7</v>
      </c>
      <c r="H65" s="52" t="s">
        <v>8</v>
      </c>
      <c r="I65" s="52" t="s">
        <v>9</v>
      </c>
      <c r="J65" s="52" t="s">
        <v>10</v>
      </c>
      <c r="K65" s="52" t="s">
        <v>11</v>
      </c>
      <c r="L65" s="52" t="s">
        <v>12</v>
      </c>
      <c r="M65" s="52" t="s">
        <v>13</v>
      </c>
      <c r="N65" s="52" t="s">
        <v>14</v>
      </c>
      <c r="O65" s="52" t="s">
        <v>15</v>
      </c>
      <c r="P65" s="52" t="s">
        <v>16</v>
      </c>
      <c r="Q65" s="52" t="s">
        <v>17</v>
      </c>
      <c r="R65" s="52" t="s">
        <v>18</v>
      </c>
      <c r="S65" s="52" t="s">
        <v>19</v>
      </c>
      <c r="T65" s="52" t="s">
        <v>20</v>
      </c>
      <c r="U65" s="52" t="s">
        <v>21</v>
      </c>
      <c r="V65" s="52" t="s">
        <v>22</v>
      </c>
      <c r="W65" s="52" t="s">
        <v>23</v>
      </c>
      <c r="X65" s="52" t="s">
        <v>24</v>
      </c>
      <c r="Y65" s="52" t="s">
        <v>25</v>
      </c>
      <c r="Z65" s="52" t="s">
        <v>26</v>
      </c>
      <c r="AA65" s="52" t="s">
        <v>27</v>
      </c>
      <c r="AB65" s="52" t="s">
        <v>28</v>
      </c>
      <c r="AC65" s="52" t="s">
        <v>29</v>
      </c>
      <c r="AD65" s="52" t="s">
        <v>30</v>
      </c>
      <c r="AE65" s="52" t="s">
        <v>31</v>
      </c>
      <c r="AF65" s="52" t="s">
        <v>32</v>
      </c>
      <c r="AG65" s="52" t="s">
        <v>33</v>
      </c>
      <c r="AH65" s="52" t="s">
        <v>34</v>
      </c>
      <c r="AI65" s="52" t="s">
        <v>35</v>
      </c>
      <c r="AJ65" s="52" t="s">
        <v>36</v>
      </c>
      <c r="AK65" s="52" t="s">
        <v>37</v>
      </c>
      <c r="AL65" s="52" t="s">
        <v>38</v>
      </c>
      <c r="AM65" s="15"/>
    </row>
    <row r="66" ht="12.75" customHeight="1" spans="2:39" x14ac:dyDescent="0.25">
      <c r="B66" s="16"/>
      <c r="C66" s="17"/>
      <c r="D66" s="17" t="s">
        <v>41</v>
      </c>
      <c r="E66" s="17"/>
      <c r="F66" s="17"/>
      <c r="G66" s="24">
        <f>G59-G52</f>
      </c>
      <c r="H66" s="24">
        <f>H59-H52</f>
      </c>
      <c r="I66" s="24">
        <f>I59-I52</f>
      </c>
      <c r="J66" s="24">
        <f>J59-J52</f>
      </c>
      <c r="K66" s="24">
        <f>K59-K52</f>
      </c>
      <c r="L66" s="24">
        <f>L59-L52</f>
      </c>
      <c r="M66" s="24">
        <f>M59-M52</f>
      </c>
      <c r="N66" s="24">
        <f>N59-N52</f>
      </c>
      <c r="O66" s="24">
        <f>O59-O52</f>
      </c>
      <c r="P66" s="24">
        <f>P59-P52</f>
      </c>
      <c r="Q66" s="24">
        <f>Q59-Q52</f>
      </c>
      <c r="R66" s="24">
        <f>R59-R52</f>
      </c>
      <c r="S66" s="24">
        <f>S59-S52</f>
      </c>
      <c r="T66" s="24">
        <f>T59-T52</f>
      </c>
      <c r="U66" s="24">
        <f>U59-U52</f>
      </c>
      <c r="V66" s="24">
        <f>V59-V52</f>
      </c>
      <c r="W66" s="24">
        <f>W59-W52</f>
      </c>
      <c r="X66" s="24">
        <f>X59-X52</f>
      </c>
      <c r="Y66" s="24">
        <f>Y59-Y52</f>
      </c>
      <c r="Z66" s="24">
        <f>Z59-Z52</f>
      </c>
      <c r="AA66" s="24">
        <f>AA59-AA52</f>
      </c>
      <c r="AB66" s="24">
        <f>AB59-AB52</f>
      </c>
      <c r="AC66" s="24">
        <f>AC59-AC52</f>
      </c>
      <c r="AD66" s="24">
        <f>AD59-AD52</f>
      </c>
      <c r="AE66" s="24">
        <f>AE59-AE52</f>
      </c>
      <c r="AF66" s="24">
        <f>AF59-AF52</f>
      </c>
      <c r="AG66" s="24">
        <f>AG59-AG52</f>
      </c>
      <c r="AH66" s="24">
        <f>AH59-AH52</f>
      </c>
      <c r="AI66" s="24">
        <f>AI59-AI52</f>
      </c>
      <c r="AJ66" s="24">
        <f>AJ59-AJ52</f>
      </c>
      <c r="AK66" s="24">
        <f>AK59-AK52</f>
      </c>
      <c r="AL66" s="24">
        <f>AL59-AL52</f>
      </c>
      <c r="AM66" s="19"/>
    </row>
    <row r="67" ht="12.75" customHeight="1" spans="2:39" x14ac:dyDescent="0.25">
      <c r="B67" s="16"/>
      <c r="C67" s="17"/>
      <c r="D67" s="17" t="s">
        <v>42</v>
      </c>
      <c r="E67" s="17"/>
      <c r="F67" s="17"/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24">
        <f>AK60-AK53</f>
      </c>
      <c r="AL67" s="24">
        <f>AL60-AL53</f>
      </c>
      <c r="AM67" s="19"/>
    </row>
    <row r="68" ht="12.75" customHeight="1" spans="2:39" x14ac:dyDescent="0.25">
      <c r="B68" s="16"/>
      <c r="C68" s="17"/>
      <c r="D68" s="17" t="s">
        <v>43</v>
      </c>
      <c r="E68" s="17"/>
      <c r="F68" s="17"/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24">
        <f>AK61-AK54</f>
      </c>
      <c r="AL68" s="24">
        <f>AL61-AL54</f>
      </c>
      <c r="AM68" s="19"/>
    </row>
    <row r="69" ht="12.75" customHeight="1" spans="2:39" x14ac:dyDescent="0.25">
      <c r="B69" s="16"/>
      <c r="C69" s="17"/>
      <c r="D69" s="17" t="s">
        <v>44</v>
      </c>
      <c r="E69" s="17"/>
      <c r="F69" s="17"/>
      <c r="G69" s="24">
        <f>G62-G55</f>
      </c>
      <c r="H69" s="24">
        <f>H62-H55</f>
      </c>
      <c r="I69" s="24">
        <f>I62-I55</f>
      </c>
      <c r="J69" s="24">
        <f>J62-J55</f>
      </c>
      <c r="K69" s="24">
        <f>K62-K55</f>
      </c>
      <c r="L69" s="24">
        <f>L62-L55</f>
      </c>
      <c r="M69" s="24">
        <f>M62-M55</f>
      </c>
      <c r="N69" s="24">
        <f>N62-N55</f>
      </c>
      <c r="O69" s="24">
        <f>O62-O55</f>
      </c>
      <c r="P69" s="24">
        <f>P62-P55</f>
      </c>
      <c r="Q69" s="24">
        <f>Q62-Q55</f>
      </c>
      <c r="R69" s="24">
        <f>R62-R55</f>
      </c>
      <c r="S69" s="24">
        <f>S62-S55</f>
      </c>
      <c r="T69" s="24">
        <f>T62-T55</f>
      </c>
      <c r="U69" s="24">
        <f>U62-U55</f>
      </c>
      <c r="V69" s="24">
        <f>V62-V55</f>
      </c>
      <c r="W69" s="24">
        <f>W62-W55</f>
      </c>
      <c r="X69" s="24">
        <f>X62-X55</f>
      </c>
      <c r="Y69" s="24">
        <f>Y62-Y55</f>
      </c>
      <c r="Z69" s="24">
        <f>Z62-Z55</f>
      </c>
      <c r="AA69" s="24">
        <f>AA62-AA55</f>
      </c>
      <c r="AB69" s="24">
        <f>AB62-AB55</f>
      </c>
      <c r="AC69" s="24">
        <f>AC62-AC55</f>
      </c>
      <c r="AD69" s="24">
        <f>AD62-AD55</f>
      </c>
      <c r="AE69" s="24">
        <f>AE62-AE55</f>
      </c>
      <c r="AF69" s="24">
        <f>AF62-AF55</f>
      </c>
      <c r="AG69" s="24">
        <f>AG62-AG55</f>
      </c>
      <c r="AH69" s="24">
        <f>AH62-AH55</f>
      </c>
      <c r="AI69" s="24">
        <f>AI62-AI55</f>
      </c>
      <c r="AJ69" s="24">
        <f>AJ62-AJ55</f>
      </c>
      <c r="AK69" s="24">
        <f>AK62-AK55</f>
      </c>
      <c r="AL69" s="24">
        <f>AL62-AL55</f>
      </c>
      <c r="AM69" s="19"/>
    </row>
    <row r="70" ht="12.75" customHeight="1" spans="2:39" x14ac:dyDescent="0.25">
      <c r="B70" s="20"/>
      <c r="C70" s="21"/>
      <c r="D70" s="21" t="s">
        <v>45</v>
      </c>
      <c r="E70" s="21"/>
      <c r="F70" s="21"/>
      <c r="G70" s="25">
        <f>G66+G67+G68+G69</f>
      </c>
      <c r="H70" s="25">
        <f>H66+H67+H68+H69</f>
      </c>
      <c r="I70" s="25">
        <f>I66+I67+I68+I69</f>
      </c>
      <c r="J70" s="25">
        <f>J66+J67+J68+J69</f>
      </c>
      <c r="K70" s="25">
        <f>K66+K67+K68+K69</f>
      </c>
      <c r="L70" s="25">
        <f>L66+L67+L68+L69</f>
      </c>
      <c r="M70" s="25">
        <f>M66+M67+M68+M69</f>
      </c>
      <c r="N70" s="25">
        <f>N66+N67+N68+N69</f>
      </c>
      <c r="O70" s="25">
        <f>O66+O67+O68+O69</f>
      </c>
      <c r="P70" s="25">
        <f>P66+P67+P68+P69</f>
      </c>
      <c r="Q70" s="25">
        <f>Q66+Q67+Q68+Q69</f>
      </c>
      <c r="R70" s="25">
        <f>R66+R67+R68+R69</f>
      </c>
      <c r="S70" s="25">
        <f>S66+S67+S68+S69</f>
      </c>
      <c r="T70" s="25">
        <f>T66+T67+T68+T69</f>
      </c>
      <c r="U70" s="25">
        <f>U66+U67+U68+U69</f>
      </c>
      <c r="V70" s="25">
        <f>V66+V67+V68+V69</f>
      </c>
      <c r="W70" s="25">
        <f>W66+W67+W68+W69</f>
      </c>
      <c r="X70" s="25">
        <f>X66+X67+X68+X69</f>
      </c>
      <c r="Y70" s="25">
        <f>Y66+Y67+Y68+Y69</f>
      </c>
      <c r="Z70" s="25">
        <f>Z66+Z67+Z68+Z69</f>
      </c>
      <c r="AA70" s="25">
        <f>AA66+AA67+AA68+AA69</f>
      </c>
      <c r="AB70" s="25">
        <f>AB66+AB67+AB68+AB69</f>
      </c>
      <c r="AC70" s="25">
        <f>AC66+AC67+AC68+AC69</f>
      </c>
      <c r="AD70" s="25">
        <f>AD66+AD67+AD68+AD69</f>
      </c>
      <c r="AE70" s="25">
        <f>AE66+AE67+AE68+AE69</f>
      </c>
      <c r="AF70" s="25">
        <f>AF66+AF67+AF68+AF69</f>
      </c>
      <c r="AG70" s="25">
        <f>AG66+AG67+AG68+AG69</f>
      </c>
      <c r="AH70" s="25">
        <f>AH66+AH67+AH68+AH69</f>
      </c>
      <c r="AI70" s="25">
        <f>AI66+AI67+AI68+AI69</f>
      </c>
      <c r="AJ70" s="25">
        <f>AJ66+AJ67+AJ68+AJ69</f>
      </c>
      <c r="AK70" s="25">
        <f>AK66+AK67+AK68+AK69</f>
      </c>
      <c r="AL70" s="25">
        <f>AL66+AL67+AL68+AL69</f>
      </c>
      <c r="AM7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143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65</v>
      </c>
      <c r="D13" s="32" t="s">
        <v>144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>
        <v>95.58</v>
      </c>
      <c r="AH13" s="33">
        <v>7.43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65</v>
      </c>
      <c r="D14" s="32" t="s">
        <v>145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6">
        <f>30.27+50.57</f>
        <v>80.84</v>
      </c>
      <c r="V14" s="32"/>
      <c r="W14" s="33">
        <v>39.77</v>
      </c>
      <c r="X14" s="33">
        <v>69.89</v>
      </c>
      <c r="Y14" s="33">
        <v>47.12</v>
      </c>
      <c r="Z14" s="33">
        <v>40.24</v>
      </c>
      <c r="AA14" s="33">
        <v>44.94</v>
      </c>
      <c r="AB14" s="33">
        <v>38.87</v>
      </c>
      <c r="AC14" s="33">
        <v>35.13</v>
      </c>
      <c r="AD14" s="33">
        <v>37.06</v>
      </c>
      <c r="AE14" s="33">
        <v>44.01</v>
      </c>
      <c r="AF14" s="33">
        <v>42.49</v>
      </c>
      <c r="AG14" s="36">
        <f>52.51+40.24</f>
        <v>92.75</v>
      </c>
      <c r="AH14" s="32"/>
      <c r="AI14" s="33">
        <v>50.04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65</v>
      </c>
      <c r="D15" s="32" t="s">
        <v>146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6">
        <f>675.43+655.78</f>
        <v>1331.21</v>
      </c>
      <c r="V15" s="32"/>
      <c r="W15" s="33">
        <v>642.51</v>
      </c>
      <c r="X15" s="33">
        <v>691</v>
      </c>
      <c r="Y15" s="33">
        <v>716.23</v>
      </c>
      <c r="Z15" s="33">
        <v>831.1</v>
      </c>
      <c r="AA15" s="33">
        <v>1018.4</v>
      </c>
      <c r="AB15" s="33">
        <v>1018.4</v>
      </c>
      <c r="AC15" s="33">
        <v>898.03</v>
      </c>
      <c r="AD15" s="33">
        <v>797.15</v>
      </c>
      <c r="AE15" s="33">
        <v>672.42</v>
      </c>
      <c r="AF15" s="33">
        <v>644.46</v>
      </c>
      <c r="AG15" s="36">
        <f>671.35+657.17</f>
        <v>1328.52</v>
      </c>
      <c r="AH15" s="32"/>
      <c r="AI15" s="33">
        <v>692.05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65</v>
      </c>
      <c r="D16" s="32" t="s">
        <v>147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>
        <v>81.14</v>
      </c>
      <c r="V16" s="33">
        <v>38.65</v>
      </c>
      <c r="W16" s="33">
        <v>29.93</v>
      </c>
      <c r="X16" s="33">
        <v>21.34</v>
      </c>
      <c r="Y16" s="33">
        <v>21.34</v>
      </c>
      <c r="Z16" s="33">
        <v>21.34</v>
      </c>
      <c r="AA16" s="33">
        <v>21.34</v>
      </c>
      <c r="AB16" s="33">
        <v>21.34</v>
      </c>
      <c r="AC16" s="33">
        <v>21.34</v>
      </c>
      <c r="AD16" s="33">
        <v>32.01</v>
      </c>
      <c r="AE16" s="33">
        <v>32.01</v>
      </c>
      <c r="AF16" s="33">
        <v>22.21</v>
      </c>
      <c r="AG16" s="33">
        <v>32.01</v>
      </c>
      <c r="AH16" s="33">
        <v>32.01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65</v>
      </c>
      <c r="D17" s="32" t="s">
        <v>148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6">
        <f>0.00+72.55</f>
        <v>72.55</v>
      </c>
      <c r="X17" s="36">
        <f>0.00+27.53</f>
        <v>27.53</v>
      </c>
      <c r="Y17" s="36">
        <f>21.34+0.00</f>
        <v>21.34</v>
      </c>
      <c r="Z17" s="36">
        <f>21.34+0.00</f>
        <v>21.34</v>
      </c>
      <c r="AA17" s="36">
        <f>21.34+0.00</f>
        <v>21.34</v>
      </c>
      <c r="AB17" s="36">
        <f>21.34+0.00</f>
        <v>21.34</v>
      </c>
      <c r="AC17" s="36">
        <f>0.00+21.34</f>
        <v>21.34</v>
      </c>
      <c r="AD17" s="36">
        <f>0.00+0.00+21.34+0.00</f>
        <v>21.34</v>
      </c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65</v>
      </c>
      <c r="D18" s="32" t="s">
        <v>149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>
        <v>290</v>
      </c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65</v>
      </c>
      <c r="D19" s="32" t="s">
        <v>150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>
        <v>67.15</v>
      </c>
      <c r="X19" s="33">
        <v>37.12</v>
      </c>
      <c r="Y19" s="33">
        <v>21.34</v>
      </c>
      <c r="Z19" s="33">
        <v>21.34</v>
      </c>
      <c r="AA19" s="33">
        <v>21.34</v>
      </c>
      <c r="AB19" s="33">
        <v>21.34</v>
      </c>
      <c r="AC19" s="33">
        <v>21.34</v>
      </c>
      <c r="AD19" s="33">
        <v>21.34</v>
      </c>
      <c r="AE19" s="33">
        <v>32.01</v>
      </c>
      <c r="AF19" s="33">
        <v>32.01</v>
      </c>
      <c r="AG19" s="36">
        <f>32.01+25.08</f>
        <v>57.089999999999996</v>
      </c>
      <c r="AH19" s="32"/>
      <c r="AI19" s="33">
        <v>32.01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65</v>
      </c>
      <c r="D20" s="32" t="s">
        <v>151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>
        <v>290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65</v>
      </c>
      <c r="D21" s="32" t="s">
        <v>152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>
        <v>263.41</v>
      </c>
      <c r="U21" s="33">
        <v>248.04</v>
      </c>
      <c r="V21" s="33">
        <v>96.24</v>
      </c>
      <c r="W21" s="33">
        <v>91.19</v>
      </c>
      <c r="X21" s="33">
        <v>54.31</v>
      </c>
      <c r="Y21" s="33">
        <v>227.44</v>
      </c>
      <c r="Z21" s="33">
        <v>424.31</v>
      </c>
      <c r="AA21" s="33">
        <v>444.71</v>
      </c>
      <c r="AB21" s="33">
        <v>430.94</v>
      </c>
      <c r="AC21" s="33">
        <v>319.57</v>
      </c>
      <c r="AD21" s="33">
        <v>143.22</v>
      </c>
      <c r="AE21" s="33">
        <v>78.14</v>
      </c>
      <c r="AF21" s="33">
        <v>41.53</v>
      </c>
      <c r="AG21" s="33">
        <v>77.55</v>
      </c>
      <c r="AH21" s="33">
        <v>120.14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65</v>
      </c>
      <c r="D22" s="32" t="s">
        <v>153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>
        <v>140.65</v>
      </c>
      <c r="U22" s="33">
        <v>199.8</v>
      </c>
      <c r="V22" s="33">
        <v>108.82</v>
      </c>
      <c r="W22" s="33">
        <v>97.13</v>
      </c>
      <c r="X22" s="33">
        <v>63.67</v>
      </c>
      <c r="Y22" s="33">
        <v>51.55</v>
      </c>
      <c r="Z22" s="33">
        <v>137.97</v>
      </c>
      <c r="AA22" s="33">
        <v>126.26</v>
      </c>
      <c r="AB22" s="33">
        <v>95.38</v>
      </c>
      <c r="AC22" s="33">
        <v>63.67</v>
      </c>
      <c r="AD22" s="33">
        <v>59.2</v>
      </c>
      <c r="AE22" s="33">
        <v>58.72</v>
      </c>
      <c r="AF22" s="33">
        <v>52.51</v>
      </c>
      <c r="AG22" s="33">
        <v>81.41</v>
      </c>
      <c r="AH22" s="33">
        <v>49.59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65</v>
      </c>
      <c r="D23" s="32" t="s">
        <v>154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>
        <v>38.19</v>
      </c>
      <c r="V23" s="33">
        <v>21.34</v>
      </c>
      <c r="W23" s="33">
        <v>21.34</v>
      </c>
      <c r="X23" s="33">
        <v>21.34</v>
      </c>
      <c r="Y23" s="33">
        <v>21.34</v>
      </c>
      <c r="Z23" s="33">
        <v>21.34</v>
      </c>
      <c r="AA23" s="33">
        <v>21.34</v>
      </c>
      <c r="AB23" s="33">
        <v>21.34</v>
      </c>
      <c r="AC23" s="33">
        <v>21.34</v>
      </c>
      <c r="AD23" s="33">
        <v>32.01</v>
      </c>
      <c r="AE23" s="33">
        <v>32.01</v>
      </c>
      <c r="AF23" s="33">
        <v>22.21</v>
      </c>
      <c r="AG23" s="33">
        <v>32.01</v>
      </c>
      <c r="AH23" s="33">
        <v>32.01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65</v>
      </c>
      <c r="D24" s="32" t="s">
        <v>155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3">
        <v>74.1</v>
      </c>
      <c r="Y24" s="33">
        <v>25.35</v>
      </c>
      <c r="Z24" s="33">
        <v>25.35</v>
      </c>
      <c r="AA24" s="33">
        <v>25.54</v>
      </c>
      <c r="AB24" s="33">
        <v>25.69</v>
      </c>
      <c r="AC24" s="33">
        <v>25.35</v>
      </c>
      <c r="AD24" s="33">
        <v>25.48</v>
      </c>
      <c r="AE24" s="33">
        <v>35.32</v>
      </c>
      <c r="AF24" s="36">
        <f>0.00+35.66</f>
        <v>35.66</v>
      </c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65</v>
      </c>
      <c r="D25" s="32" t="s">
        <v>156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3">
        <v>290</v>
      </c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65</v>
      </c>
      <c r="D26" s="32" t="s">
        <v>157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6">
        <f>325.04+0.00</f>
        <v>325.04</v>
      </c>
      <c r="U26" s="36">
        <f>289.46+33.31</f>
        <v>322.77</v>
      </c>
      <c r="V26" s="36">
        <f>217.30+27.20</f>
        <v>244.5</v>
      </c>
      <c r="W26" s="36">
        <f>201.12+26.16</f>
        <v>227.28</v>
      </c>
      <c r="X26" s="36">
        <f>222.63+69.98</f>
        <v>292.61</v>
      </c>
      <c r="Y26" s="36">
        <f>236.95+60.37</f>
        <v>297.32</v>
      </c>
      <c r="Z26" s="36">
        <f>246.49+82.38</f>
        <v>328.87</v>
      </c>
      <c r="AA26" s="36">
        <f>261.93+91.14</f>
        <v>353.07</v>
      </c>
      <c r="AB26" s="36">
        <f>257.45+77.71</f>
        <v>335.15999999999997</v>
      </c>
      <c r="AC26" s="36">
        <f>228.92+70.28</f>
        <v>299.2</v>
      </c>
      <c r="AD26" s="36">
        <f>222.41+25.61</f>
        <v>248.01999999999998</v>
      </c>
      <c r="AE26" s="36">
        <f>218.85+25.09</f>
        <v>243.94</v>
      </c>
      <c r="AF26" s="36">
        <f>211.56+25.37</f>
        <v>236.93</v>
      </c>
      <c r="AG26" s="36">
        <f>265.45+0.00</f>
        <v>265.45</v>
      </c>
      <c r="AH26" s="36">
        <f>197.30+21.74</f>
        <v>219.04000000000002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65</v>
      </c>
      <c r="D27" s="32" t="s">
        <v>158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>
        <v>0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65</v>
      </c>
      <c r="D28" s="32" t="s">
        <v>159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3">
        <v>60.72</v>
      </c>
      <c r="AH28" s="33">
        <v>65.34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65</v>
      </c>
      <c r="D29" s="32" t="s">
        <v>160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6">
        <f>53.82+11.23</f>
        <v>65.05</v>
      </c>
      <c r="V29" s="32"/>
      <c r="W29" s="33">
        <v>51.25</v>
      </c>
      <c r="X29" s="33">
        <v>43</v>
      </c>
      <c r="Y29" s="33">
        <v>21.34</v>
      </c>
      <c r="Z29" s="33">
        <v>21.34</v>
      </c>
      <c r="AA29" s="33">
        <v>21.34</v>
      </c>
      <c r="AB29" s="33">
        <v>21.34</v>
      </c>
      <c r="AC29" s="33">
        <v>21.34</v>
      </c>
      <c r="AD29" s="33">
        <v>21.34</v>
      </c>
      <c r="AE29" s="33">
        <v>32.01</v>
      </c>
      <c r="AF29" s="33">
        <v>32.01</v>
      </c>
      <c r="AG29" s="36">
        <f>63.15+22.21</f>
        <v>85.36</v>
      </c>
      <c r="AH29" s="33">
        <v>-63.15</v>
      </c>
      <c r="AI29" s="32"/>
      <c r="AJ29" s="34">
        <f>SUM(E29:AI29)</f>
      </c>
      <c r="AK29" s="35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85</v>
      </c>
      <c r="C31" s="21"/>
      <c r="D31" s="21"/>
      <c r="E31" s="22">
        <f>SUM(E13:E29)</f>
      </c>
      <c r="F31" s="22">
        <f>SUM(F13:F29)</f>
      </c>
      <c r="G31" s="22">
        <f>SUM(G13:G29)</f>
      </c>
      <c r="H31" s="22">
        <f>SUM(H13:H29)</f>
      </c>
      <c r="I31" s="22">
        <f>SUM(I13:I29)</f>
      </c>
      <c r="J31" s="22">
        <f>SUM(J13:J29)</f>
      </c>
      <c r="K31" s="22">
        <f>SUM(K13:K29)</f>
      </c>
      <c r="L31" s="22">
        <f>SUM(L13:L29)</f>
      </c>
      <c r="M31" s="22">
        <f>SUM(M13:M29)</f>
      </c>
      <c r="N31" s="22">
        <f>SUM(N13:N29)</f>
      </c>
      <c r="O31" s="22">
        <f>SUM(O13:O29)</f>
      </c>
      <c r="P31" s="22">
        <f>SUM(P13:P29)</f>
      </c>
      <c r="Q31" s="22">
        <f>SUM(Q13:Q29)</f>
      </c>
      <c r="R31" s="22">
        <f>SUM(R13:R29)</f>
      </c>
      <c r="S31" s="22">
        <f>SUM(S13:S29)</f>
      </c>
      <c r="T31" s="22">
        <f>SUM(T13:T29)</f>
      </c>
      <c r="U31" s="22">
        <f>SUM(U13:U29)</f>
      </c>
      <c r="V31" s="22">
        <f>SUM(V13:V29)</f>
      </c>
      <c r="W31" s="22">
        <f>SUM(W13:W29)</f>
      </c>
      <c r="X31" s="22">
        <f>SUM(X13:X29)</f>
      </c>
      <c r="Y31" s="22">
        <f>SUM(Y13:Y29)</f>
      </c>
      <c r="Z31" s="22">
        <f>SUM(Z13:Z29)</f>
      </c>
      <c r="AA31" s="22">
        <f>SUM(AA13:AA29)</f>
      </c>
      <c r="AB31" s="22">
        <f>SUM(AB13:AB29)</f>
      </c>
      <c r="AC31" s="22">
        <f>SUM(AC13:AC29)</f>
      </c>
      <c r="AD31" s="22">
        <f>SUM(AD13:AD29)</f>
      </c>
      <c r="AE31" s="22">
        <f>SUM(AE13:AE29)</f>
      </c>
      <c r="AF31" s="22">
        <f>SUM(AF13:AF29)</f>
      </c>
      <c r="AG31" s="22">
        <f>SUM(AG13:AG29)</f>
      </c>
      <c r="AH31" s="22">
        <f>SUM(AH13:AH29)</f>
      </c>
      <c r="AI31" s="22">
        <f>SUM(AI13:AI29)</f>
      </c>
      <c r="AJ31" s="22">
        <f>SUM(AJ13:AJ29)</f>
      </c>
      <c r="AK31" s="23"/>
    </row>
    <row r="33" ht="12.75" customHeight="1" spans="2:37" x14ac:dyDescent="0.25">
      <c r="B33" s="26" t="s">
        <v>43</v>
      </c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9"/>
    </row>
    <row r="34" ht="12.75" customHeight="1" spans="2:37" x14ac:dyDescent="0.25">
      <c r="B34" s="30" t="s">
        <v>43</v>
      </c>
      <c r="C34" s="31" t="s">
        <v>161</v>
      </c>
      <c r="D34" s="32" t="s">
        <v>162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>
        <v>3096.85</v>
      </c>
      <c r="U34" s="33">
        <v>2367.1</v>
      </c>
      <c r="V34" s="33">
        <v>2816.28</v>
      </c>
      <c r="W34" s="33">
        <v>2783.34</v>
      </c>
      <c r="X34" s="33">
        <v>1389.17</v>
      </c>
      <c r="Y34" s="33">
        <v>1219.57</v>
      </c>
      <c r="Z34" s="33">
        <v>1179</v>
      </c>
      <c r="AA34" s="33">
        <v>939.94</v>
      </c>
      <c r="AB34" s="33">
        <v>952.12</v>
      </c>
      <c r="AC34" s="33">
        <v>1198.4</v>
      </c>
      <c r="AD34" s="33">
        <v>1415.8</v>
      </c>
      <c r="AE34" s="33">
        <v>1784.42</v>
      </c>
      <c r="AF34" s="33">
        <v>2264.12</v>
      </c>
      <c r="AG34" s="33">
        <v>2284.66</v>
      </c>
      <c r="AH34" s="33">
        <v>2480.68</v>
      </c>
      <c r="AI34" s="32"/>
      <c r="AJ34" s="34">
        <f>SUM(E34:AI34)</f>
      </c>
      <c r="AK34" s="35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89</v>
      </c>
      <c r="C36" s="21"/>
      <c r="D36" s="21"/>
      <c r="E36" s="22">
        <f>SUM(E34:E34)</f>
      </c>
      <c r="F36" s="22">
        <f>SUM(F34:F34)</f>
      </c>
      <c r="G36" s="22">
        <f>SUM(G34:G34)</f>
      </c>
      <c r="H36" s="22">
        <f>SUM(H34:H34)</f>
      </c>
      <c r="I36" s="22">
        <f>SUM(I34:I34)</f>
      </c>
      <c r="J36" s="22">
        <f>SUM(J34:J34)</f>
      </c>
      <c r="K36" s="22">
        <f>SUM(K34:K34)</f>
      </c>
      <c r="L36" s="22">
        <f>SUM(L34:L34)</f>
      </c>
      <c r="M36" s="22">
        <f>SUM(M34:M34)</f>
      </c>
      <c r="N36" s="22">
        <f>SUM(N34:N34)</f>
      </c>
      <c r="O36" s="22">
        <f>SUM(O34:O34)</f>
      </c>
      <c r="P36" s="22">
        <f>SUM(P34:P34)</f>
      </c>
      <c r="Q36" s="22">
        <f>SUM(Q34:Q34)</f>
      </c>
      <c r="R36" s="22">
        <f>SUM(R34:R34)</f>
      </c>
      <c r="S36" s="22">
        <f>SUM(S34:S34)</f>
      </c>
      <c r="T36" s="22">
        <f>SUM(T34:T34)</f>
      </c>
      <c r="U36" s="22">
        <f>SUM(U34:U34)</f>
      </c>
      <c r="V36" s="22">
        <f>SUM(V34:V34)</f>
      </c>
      <c r="W36" s="22">
        <f>SUM(W34:W34)</f>
      </c>
      <c r="X36" s="22">
        <f>SUM(X34:X34)</f>
      </c>
      <c r="Y36" s="22">
        <f>SUM(Y34:Y34)</f>
      </c>
      <c r="Z36" s="22">
        <f>SUM(Z34:Z34)</f>
      </c>
      <c r="AA36" s="22">
        <f>SUM(AA34:AA34)</f>
      </c>
      <c r="AB36" s="22">
        <f>SUM(AB34:AB34)</f>
      </c>
      <c r="AC36" s="22">
        <f>SUM(AC34:AC34)</f>
      </c>
      <c r="AD36" s="22">
        <f>SUM(AD34:AD34)</f>
      </c>
      <c r="AE36" s="22">
        <f>SUM(AE34:AE34)</f>
      </c>
      <c r="AF36" s="22">
        <f>SUM(AF34:AF34)</f>
      </c>
      <c r="AG36" s="22">
        <f>SUM(AG34:AG34)</f>
      </c>
      <c r="AH36" s="22">
        <f>SUM(AH34:AH34)</f>
      </c>
      <c r="AI36" s="22">
        <f>SUM(AI34:AI34)</f>
      </c>
      <c r="AJ36" s="22">
        <f>SUM(AJ34:AJ34)</f>
      </c>
      <c r="AK36" s="23"/>
    </row>
    <row r="38" ht="12.75" customHeight="1" spans="2:37" x14ac:dyDescent="0.25">
      <c r="B38" s="26" t="s">
        <v>44</v>
      </c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9"/>
    </row>
    <row r="39" ht="12.75" customHeight="1" spans="2:37" x14ac:dyDescent="0.25">
      <c r="B39" s="37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40"/>
    </row>
    <row r="40" ht="12.75" customHeight="1" spans="2:37" x14ac:dyDescent="0.25">
      <c r="B40" s="20" t="s">
        <v>90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3"/>
    </row>
    <row r="43" ht="12.75" customHeight="1" spans="2:37" x14ac:dyDescent="0.25">
      <c r="B43" s="11" t="s">
        <v>40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>
        <f>E10</f>
      </c>
      <c r="F44" s="18">
        <f>F10</f>
      </c>
      <c r="G44" s="18">
        <f>G10</f>
      </c>
      <c r="H44" s="18">
        <f>H10</f>
      </c>
      <c r="I44" s="18">
        <f>I10</f>
      </c>
      <c r="J44" s="18">
        <f>J10</f>
      </c>
      <c r="K44" s="18">
        <f>K10</f>
      </c>
      <c r="L44" s="18">
        <f>L10</f>
      </c>
      <c r="M44" s="18">
        <f>M10</f>
      </c>
      <c r="N44" s="18">
        <f>N10</f>
      </c>
      <c r="O44" s="18">
        <f>O10</f>
      </c>
      <c r="P44" s="18">
        <f>P10</f>
      </c>
      <c r="Q44" s="18">
        <f>Q10</f>
      </c>
      <c r="R44" s="18">
        <f>R10</f>
      </c>
      <c r="S44" s="18">
        <f>S10</f>
      </c>
      <c r="T44" s="18">
        <f>T10</f>
      </c>
      <c r="U44" s="18">
        <f>U10</f>
      </c>
      <c r="V44" s="18">
        <f>V10</f>
      </c>
      <c r="W44" s="18">
        <f>W10</f>
      </c>
      <c r="X44" s="18">
        <f>X10</f>
      </c>
      <c r="Y44" s="18">
        <f>Y10</f>
      </c>
      <c r="Z44" s="18">
        <f>Z10</f>
      </c>
      <c r="AA44" s="18">
        <f>AA10</f>
      </c>
      <c r="AB44" s="18">
        <f>AB10</f>
      </c>
      <c r="AC44" s="18">
        <f>AC10</f>
      </c>
      <c r="AD44" s="18">
        <f>AD10</f>
      </c>
      <c r="AE44" s="18">
        <f>AE10</f>
      </c>
      <c r="AF44" s="18">
        <f>AF10</f>
      </c>
      <c r="AG44" s="18">
        <f>AG10</f>
      </c>
      <c r="AH44" s="18">
        <f>AH10</f>
      </c>
      <c r="AI44" s="18">
        <f>AI10</f>
      </c>
      <c r="AJ44" s="18">
        <f>AJ10</f>
      </c>
      <c r="AK44" s="19"/>
    </row>
    <row r="45" ht="12.75" customHeight="1" spans="2:37" x14ac:dyDescent="0.25">
      <c r="B45" s="16" t="s">
        <v>42</v>
      </c>
      <c r="C45" s="17"/>
      <c r="D45" s="17"/>
      <c r="E45" s="18">
        <f>E31</f>
      </c>
      <c r="F45" s="18">
        <f>F31</f>
      </c>
      <c r="G45" s="18">
        <f>G31</f>
      </c>
      <c r="H45" s="18">
        <f>H31</f>
      </c>
      <c r="I45" s="18">
        <f>I31</f>
      </c>
      <c r="J45" s="18">
        <f>J31</f>
      </c>
      <c r="K45" s="18">
        <f>K31</f>
      </c>
      <c r="L45" s="18">
        <f>L31</f>
      </c>
      <c r="M45" s="18">
        <f>M31</f>
      </c>
      <c r="N45" s="18">
        <f>N31</f>
      </c>
      <c r="O45" s="18">
        <f>O31</f>
      </c>
      <c r="P45" s="18">
        <f>P31</f>
      </c>
      <c r="Q45" s="18">
        <f>Q31</f>
      </c>
      <c r="R45" s="18">
        <f>R31</f>
      </c>
      <c r="S45" s="18">
        <f>S31</f>
      </c>
      <c r="T45" s="18">
        <f>T31</f>
      </c>
      <c r="U45" s="18">
        <f>U31</f>
      </c>
      <c r="V45" s="18">
        <f>V31</f>
      </c>
      <c r="W45" s="18">
        <f>W31</f>
      </c>
      <c r="X45" s="18">
        <f>X31</f>
      </c>
      <c r="Y45" s="18">
        <f>Y31</f>
      </c>
      <c r="Z45" s="18">
        <f>Z31</f>
      </c>
      <c r="AA45" s="18">
        <f>AA31</f>
      </c>
      <c r="AB45" s="18">
        <f>AB31</f>
      </c>
      <c r="AC45" s="18">
        <f>AC31</f>
      </c>
      <c r="AD45" s="18">
        <f>AD31</f>
      </c>
      <c r="AE45" s="18">
        <f>AE31</f>
      </c>
      <c r="AF45" s="18">
        <f>AF31</f>
      </c>
      <c r="AG45" s="18">
        <f>AG31</f>
      </c>
      <c r="AH45" s="18">
        <f>AH31</f>
      </c>
      <c r="AI45" s="18">
        <f>AI31</f>
      </c>
      <c r="AJ45" s="18">
        <f>AJ31</f>
      </c>
      <c r="AK45" s="19"/>
    </row>
    <row r="46" ht="12.75" customHeight="1" spans="2:37" x14ac:dyDescent="0.25">
      <c r="B46" s="16" t="s">
        <v>43</v>
      </c>
      <c r="C46" s="17"/>
      <c r="D46" s="17"/>
      <c r="E46" s="18">
        <f>E36</f>
      </c>
      <c r="F46" s="18">
        <f>F36</f>
      </c>
      <c r="G46" s="18">
        <f>G36</f>
      </c>
      <c r="H46" s="18">
        <f>H36</f>
      </c>
      <c r="I46" s="18">
        <f>I36</f>
      </c>
      <c r="J46" s="18">
        <f>J36</f>
      </c>
      <c r="K46" s="18">
        <f>K36</f>
      </c>
      <c r="L46" s="18">
        <f>L36</f>
      </c>
      <c r="M46" s="18">
        <f>M36</f>
      </c>
      <c r="N46" s="18">
        <f>N36</f>
      </c>
      <c r="O46" s="18">
        <f>O36</f>
      </c>
      <c r="P46" s="18">
        <f>P36</f>
      </c>
      <c r="Q46" s="18">
        <f>Q36</f>
      </c>
      <c r="R46" s="18">
        <f>R36</f>
      </c>
      <c r="S46" s="18">
        <f>S36</f>
      </c>
      <c r="T46" s="18">
        <f>T36</f>
      </c>
      <c r="U46" s="18">
        <f>U36</f>
      </c>
      <c r="V46" s="18">
        <f>V36</f>
      </c>
      <c r="W46" s="18">
        <f>W36</f>
      </c>
      <c r="X46" s="18">
        <f>X36</f>
      </c>
      <c r="Y46" s="18">
        <f>Y36</f>
      </c>
      <c r="Z46" s="18">
        <f>Z36</f>
      </c>
      <c r="AA46" s="18">
        <f>AA36</f>
      </c>
      <c r="AB46" s="18">
        <f>AB36</f>
      </c>
      <c r="AC46" s="18">
        <f>AC36</f>
      </c>
      <c r="AD46" s="18">
        <f>AD36</f>
      </c>
      <c r="AE46" s="18">
        <f>AE36</f>
      </c>
      <c r="AF46" s="18">
        <f>AF36</f>
      </c>
      <c r="AG46" s="18">
        <f>AG36</f>
      </c>
      <c r="AH46" s="18">
        <f>AH36</f>
      </c>
      <c r="AI46" s="18">
        <f>AI36</f>
      </c>
      <c r="AJ46" s="18">
        <f>AJ36</f>
      </c>
      <c r="AK46" s="19"/>
    </row>
    <row r="47" ht="12.75" customHeight="1" spans="2:37" x14ac:dyDescent="0.25">
      <c r="B47" s="16" t="s">
        <v>44</v>
      </c>
      <c r="C47" s="17"/>
      <c r="D47" s="17"/>
      <c r="E47" s="18">
        <f>E40</f>
      </c>
      <c r="F47" s="18">
        <f>F40</f>
      </c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46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42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43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44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20" t="s">
        <v>45</v>
      </c>
      <c r="C55" s="21"/>
      <c r="D55" s="21"/>
      <c r="E55" s="22">
        <f>E51+E52+E53+E54</f>
      </c>
      <c r="F55" s="22">
        <f>F51+F52+F53+F54</f>
      </c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3"/>
    </row>
    <row r="57" ht="12.75" customHeight="1" spans="2:37" x14ac:dyDescent="0.25">
      <c r="B57" s="11" t="s">
        <v>47</v>
      </c>
      <c r="C57" s="12"/>
      <c r="D57" s="13"/>
      <c r="E57" s="14" t="s">
        <v>7</v>
      </c>
      <c r="F57" s="14" t="s">
        <v>8</v>
      </c>
      <c r="G57" s="14" t="s">
        <v>9</v>
      </c>
      <c r="H57" s="14" t="s">
        <v>10</v>
      </c>
      <c r="I57" s="14" t="s">
        <v>11</v>
      </c>
      <c r="J57" s="14" t="s">
        <v>12</v>
      </c>
      <c r="K57" s="14" t="s">
        <v>13</v>
      </c>
      <c r="L57" s="14" t="s">
        <v>14</v>
      </c>
      <c r="M57" s="14" t="s">
        <v>15</v>
      </c>
      <c r="N57" s="14" t="s">
        <v>16</v>
      </c>
      <c r="O57" s="14" t="s">
        <v>17</v>
      </c>
      <c r="P57" s="14" t="s">
        <v>18</v>
      </c>
      <c r="Q57" s="14" t="s">
        <v>19</v>
      </c>
      <c r="R57" s="14" t="s">
        <v>20</v>
      </c>
      <c r="S57" s="14" t="s">
        <v>21</v>
      </c>
      <c r="T57" s="14" t="s">
        <v>22</v>
      </c>
      <c r="U57" s="14" t="s">
        <v>23</v>
      </c>
      <c r="V57" s="14" t="s">
        <v>24</v>
      </c>
      <c r="W57" s="14" t="s">
        <v>25</v>
      </c>
      <c r="X57" s="14" t="s">
        <v>26</v>
      </c>
      <c r="Y57" s="14" t="s">
        <v>27</v>
      </c>
      <c r="Z57" s="14" t="s">
        <v>28</v>
      </c>
      <c r="AA57" s="14" t="s">
        <v>29</v>
      </c>
      <c r="AB57" s="14" t="s">
        <v>30</v>
      </c>
      <c r="AC57" s="14" t="s">
        <v>31</v>
      </c>
      <c r="AD57" s="14" t="s">
        <v>32</v>
      </c>
      <c r="AE57" s="14" t="s">
        <v>33</v>
      </c>
      <c r="AF57" s="14" t="s">
        <v>34</v>
      </c>
      <c r="AG57" s="14" t="s">
        <v>35</v>
      </c>
      <c r="AH57" s="14" t="s">
        <v>36</v>
      </c>
      <c r="AI57" s="14" t="s">
        <v>37</v>
      </c>
      <c r="AJ57" s="14" t="s">
        <v>38</v>
      </c>
      <c r="AK57" s="15"/>
    </row>
    <row r="58" ht="12.75" customHeight="1" spans="2:37" x14ac:dyDescent="0.25">
      <c r="B58" s="16" t="s">
        <v>41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42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43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44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20" t="s">
        <v>45</v>
      </c>
      <c r="C62" s="21"/>
      <c r="D62" s="21"/>
      <c r="E62" s="25">
        <f>E58+E59+E60+E61</f>
      </c>
      <c r="F62" s="25">
        <f>F58+F59+F60+F61</f>
      </c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143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163</v>
      </c>
      <c r="W8" s="44" t="s">
        <v>164</v>
      </c>
      <c r="X8" s="44" t="s">
        <v>165</v>
      </c>
      <c r="Y8" s="44" t="s">
        <v>166</v>
      </c>
      <c r="Z8" s="44" t="s">
        <v>167</v>
      </c>
      <c r="AA8" s="44" t="s">
        <v>168</v>
      </c>
      <c r="AB8" s="44" t="s">
        <v>169</v>
      </c>
      <c r="AC8" s="44" t="s">
        <v>170</v>
      </c>
      <c r="AD8" s="44" t="s">
        <v>171</v>
      </c>
      <c r="AE8" s="44" t="s">
        <v>172</v>
      </c>
      <c r="AF8" s="44" t="s">
        <v>173</v>
      </c>
      <c r="AG8" s="44" t="s">
        <v>174</v>
      </c>
      <c r="AH8" s="44" t="s">
        <v>175</v>
      </c>
      <c r="AI8" s="44" t="s">
        <v>176</v>
      </c>
      <c r="AJ8" s="44" t="s">
        <v>177</v>
      </c>
      <c r="AK8" s="44" t="s">
        <v>178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143</v>
      </c>
      <c r="D14" s="50" t="s">
        <v>42</v>
      </c>
      <c r="E14" s="32" t="s">
        <v>65</v>
      </c>
      <c r="F14" s="32" t="s">
        <v>144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v>95.58</v>
      </c>
      <c r="AJ14" s="33">
        <v>7.43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143</v>
      </c>
      <c r="D15" s="50" t="s">
        <v>42</v>
      </c>
      <c r="E15" s="32" t="s">
        <v>65</v>
      </c>
      <c r="F15" s="32" t="s">
        <v>145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f>30.27+50.57</f>
        <v>80.84</v>
      </c>
      <c r="X15" s="32"/>
      <c r="Y15" s="33">
        <v>39.77</v>
      </c>
      <c r="Z15" s="33">
        <v>69.89</v>
      </c>
      <c r="AA15" s="33">
        <v>47.12</v>
      </c>
      <c r="AB15" s="33">
        <v>40.24</v>
      </c>
      <c r="AC15" s="33">
        <v>44.94</v>
      </c>
      <c r="AD15" s="33">
        <v>38.87</v>
      </c>
      <c r="AE15" s="33">
        <v>35.13</v>
      </c>
      <c r="AF15" s="33">
        <v>37.06</v>
      </c>
      <c r="AG15" s="33">
        <v>44.01</v>
      </c>
      <c r="AH15" s="33">
        <v>42.49</v>
      </c>
      <c r="AI15" s="33">
        <f>52.51+40.24</f>
        <v>92.75</v>
      </c>
      <c r="AJ15" s="32"/>
      <c r="AK15" s="33">
        <v>50.04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143</v>
      </c>
      <c r="D16" s="50" t="s">
        <v>42</v>
      </c>
      <c r="E16" s="32" t="s">
        <v>65</v>
      </c>
      <c r="F16" s="32" t="s">
        <v>146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f>675.43+655.78</f>
        <v>1331.21</v>
      </c>
      <c r="X16" s="32"/>
      <c r="Y16" s="33">
        <v>642.51</v>
      </c>
      <c r="Z16" s="33">
        <v>691</v>
      </c>
      <c r="AA16" s="33">
        <v>716.23</v>
      </c>
      <c r="AB16" s="33">
        <v>831.1</v>
      </c>
      <c r="AC16" s="33">
        <v>1018.4</v>
      </c>
      <c r="AD16" s="33">
        <v>1018.4</v>
      </c>
      <c r="AE16" s="33">
        <v>898.03</v>
      </c>
      <c r="AF16" s="33">
        <v>797.15</v>
      </c>
      <c r="AG16" s="33">
        <v>672.42</v>
      </c>
      <c r="AH16" s="33">
        <v>644.46</v>
      </c>
      <c r="AI16" s="33">
        <f>671.35+657.17</f>
        <v>1328.52</v>
      </c>
      <c r="AJ16" s="32"/>
      <c r="AK16" s="33">
        <v>692.05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143</v>
      </c>
      <c r="D17" s="50" t="s">
        <v>42</v>
      </c>
      <c r="E17" s="32" t="s">
        <v>65</v>
      </c>
      <c r="F17" s="32" t="s">
        <v>147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v>81.14</v>
      </c>
      <c r="X17" s="33">
        <v>38.65</v>
      </c>
      <c r="Y17" s="33">
        <v>29.93</v>
      </c>
      <c r="Z17" s="33">
        <v>21.34</v>
      </c>
      <c r="AA17" s="33">
        <v>21.34</v>
      </c>
      <c r="AB17" s="33">
        <v>21.34</v>
      </c>
      <c r="AC17" s="33">
        <v>21.34</v>
      </c>
      <c r="AD17" s="33">
        <v>21.34</v>
      </c>
      <c r="AE17" s="33">
        <v>21.34</v>
      </c>
      <c r="AF17" s="33">
        <v>32.01</v>
      </c>
      <c r="AG17" s="33">
        <v>32.01</v>
      </c>
      <c r="AH17" s="33">
        <v>22.21</v>
      </c>
      <c r="AI17" s="33">
        <v>32.01</v>
      </c>
      <c r="AJ17" s="33">
        <v>32.01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143</v>
      </c>
      <c r="D18" s="50" t="s">
        <v>42</v>
      </c>
      <c r="E18" s="32" t="s">
        <v>65</v>
      </c>
      <c r="F18" s="32" t="s">
        <v>148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3">
        <f>0.00+72.55</f>
        <v>72.55</v>
      </c>
      <c r="Z18" s="33">
        <f>0.00+27.53</f>
        <v>27.53</v>
      </c>
      <c r="AA18" s="33">
        <f>21.34+0.00</f>
        <v>21.34</v>
      </c>
      <c r="AB18" s="33">
        <f>21.34+0.00</f>
        <v>21.34</v>
      </c>
      <c r="AC18" s="33">
        <f>21.34+0.00</f>
        <v>21.34</v>
      </c>
      <c r="AD18" s="33">
        <f>21.34+0.00</f>
        <v>21.34</v>
      </c>
      <c r="AE18" s="33">
        <f>0.00+21.34</f>
        <v>21.34</v>
      </c>
      <c r="AF18" s="33">
        <f>0.00+0.00+21.34+0.00</f>
        <v>21.34</v>
      </c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143</v>
      </c>
      <c r="D19" s="50" t="s">
        <v>42</v>
      </c>
      <c r="E19" s="32" t="s">
        <v>65</v>
      </c>
      <c r="F19" s="32" t="s">
        <v>149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3">
        <v>290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143</v>
      </c>
      <c r="D20" s="50" t="s">
        <v>42</v>
      </c>
      <c r="E20" s="32" t="s">
        <v>65</v>
      </c>
      <c r="F20" s="32" t="s">
        <v>150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3">
        <v>67.15</v>
      </c>
      <c r="Z20" s="33">
        <v>37.12</v>
      </c>
      <c r="AA20" s="33">
        <v>21.34</v>
      </c>
      <c r="AB20" s="33">
        <v>21.34</v>
      </c>
      <c r="AC20" s="33">
        <v>21.34</v>
      </c>
      <c r="AD20" s="33">
        <v>21.34</v>
      </c>
      <c r="AE20" s="33">
        <v>21.34</v>
      </c>
      <c r="AF20" s="33">
        <v>21.34</v>
      </c>
      <c r="AG20" s="33">
        <v>32.01</v>
      </c>
      <c r="AH20" s="33">
        <v>32.01</v>
      </c>
      <c r="AI20" s="33">
        <f>32.01+25.08</f>
        <v>57.089999999999996</v>
      </c>
      <c r="AJ20" s="32"/>
      <c r="AK20" s="33">
        <v>32.01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143</v>
      </c>
      <c r="D21" s="50" t="s">
        <v>42</v>
      </c>
      <c r="E21" s="32" t="s">
        <v>65</v>
      </c>
      <c r="F21" s="32" t="s">
        <v>151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290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143</v>
      </c>
      <c r="D22" s="50" t="s">
        <v>42</v>
      </c>
      <c r="E22" s="32" t="s">
        <v>65</v>
      </c>
      <c r="F22" s="32" t="s">
        <v>152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>
        <v>263.41</v>
      </c>
      <c r="W22" s="33">
        <v>248.04</v>
      </c>
      <c r="X22" s="33">
        <v>96.24</v>
      </c>
      <c r="Y22" s="33">
        <v>91.19</v>
      </c>
      <c r="Z22" s="33">
        <v>54.31</v>
      </c>
      <c r="AA22" s="33">
        <v>227.44</v>
      </c>
      <c r="AB22" s="33">
        <v>424.31</v>
      </c>
      <c r="AC22" s="33">
        <v>444.71</v>
      </c>
      <c r="AD22" s="33">
        <v>430.94</v>
      </c>
      <c r="AE22" s="33">
        <v>319.57</v>
      </c>
      <c r="AF22" s="33">
        <v>143.22</v>
      </c>
      <c r="AG22" s="33">
        <v>78.14</v>
      </c>
      <c r="AH22" s="33">
        <v>41.53</v>
      </c>
      <c r="AI22" s="33">
        <v>77.55</v>
      </c>
      <c r="AJ22" s="33">
        <v>120.14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143</v>
      </c>
      <c r="D23" s="50" t="s">
        <v>42</v>
      </c>
      <c r="E23" s="32" t="s">
        <v>65</v>
      </c>
      <c r="F23" s="32" t="s">
        <v>153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v>140.65</v>
      </c>
      <c r="W23" s="33">
        <v>199.8</v>
      </c>
      <c r="X23" s="33">
        <v>108.82</v>
      </c>
      <c r="Y23" s="33">
        <v>97.13</v>
      </c>
      <c r="Z23" s="33">
        <v>63.67</v>
      </c>
      <c r="AA23" s="33">
        <v>51.55</v>
      </c>
      <c r="AB23" s="33">
        <v>137.97</v>
      </c>
      <c r="AC23" s="33">
        <v>126.26</v>
      </c>
      <c r="AD23" s="33">
        <v>95.38</v>
      </c>
      <c r="AE23" s="33">
        <v>63.67</v>
      </c>
      <c r="AF23" s="33">
        <v>59.2</v>
      </c>
      <c r="AG23" s="33">
        <v>58.72</v>
      </c>
      <c r="AH23" s="33">
        <v>52.51</v>
      </c>
      <c r="AI23" s="33">
        <v>81.41</v>
      </c>
      <c r="AJ23" s="33">
        <v>49.59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143</v>
      </c>
      <c r="D24" s="50" t="s">
        <v>42</v>
      </c>
      <c r="E24" s="32" t="s">
        <v>65</v>
      </c>
      <c r="F24" s="32" t="s">
        <v>154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>
        <v>38.19</v>
      </c>
      <c r="X24" s="33">
        <v>21.34</v>
      </c>
      <c r="Y24" s="33">
        <v>21.34</v>
      </c>
      <c r="Z24" s="33">
        <v>21.34</v>
      </c>
      <c r="AA24" s="33">
        <v>21.34</v>
      </c>
      <c r="AB24" s="33">
        <v>21.34</v>
      </c>
      <c r="AC24" s="33">
        <v>21.34</v>
      </c>
      <c r="AD24" s="33">
        <v>21.34</v>
      </c>
      <c r="AE24" s="33">
        <v>21.34</v>
      </c>
      <c r="AF24" s="33">
        <v>32.01</v>
      </c>
      <c r="AG24" s="33">
        <v>32.01</v>
      </c>
      <c r="AH24" s="33">
        <v>22.21</v>
      </c>
      <c r="AI24" s="33">
        <v>32.01</v>
      </c>
      <c r="AJ24" s="33">
        <v>32.01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143</v>
      </c>
      <c r="D25" s="50" t="s">
        <v>42</v>
      </c>
      <c r="E25" s="32" t="s">
        <v>65</v>
      </c>
      <c r="F25" s="32" t="s">
        <v>155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74.1</v>
      </c>
      <c r="AA25" s="33">
        <v>25.35</v>
      </c>
      <c r="AB25" s="33">
        <v>25.35</v>
      </c>
      <c r="AC25" s="33">
        <v>25.54</v>
      </c>
      <c r="AD25" s="33">
        <v>25.69</v>
      </c>
      <c r="AE25" s="33">
        <v>25.35</v>
      </c>
      <c r="AF25" s="33">
        <v>25.48</v>
      </c>
      <c r="AG25" s="33">
        <v>35.32</v>
      </c>
      <c r="AH25" s="33">
        <f>0.00+35.66</f>
        <v>35.66</v>
      </c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143</v>
      </c>
      <c r="D26" s="50" t="s">
        <v>42</v>
      </c>
      <c r="E26" s="32" t="s">
        <v>65</v>
      </c>
      <c r="F26" s="32" t="s">
        <v>156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>
        <v>290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143</v>
      </c>
      <c r="D27" s="50" t="s">
        <v>42</v>
      </c>
      <c r="E27" s="32" t="s">
        <v>65</v>
      </c>
      <c r="F27" s="32" t="s">
        <v>157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f>325.04+0.00</f>
        <v>325.04</v>
      </c>
      <c r="W27" s="33">
        <f>289.46+33.31</f>
        <v>322.77</v>
      </c>
      <c r="X27" s="33">
        <f>217.30+27.20</f>
        <v>244.5</v>
      </c>
      <c r="Y27" s="33">
        <f>201.12+26.16</f>
        <v>227.28</v>
      </c>
      <c r="Z27" s="33">
        <f>222.63+69.98</f>
        <v>292.61</v>
      </c>
      <c r="AA27" s="33">
        <f>236.95+60.37</f>
        <v>297.32</v>
      </c>
      <c r="AB27" s="33">
        <f>246.49+82.38</f>
        <v>328.87</v>
      </c>
      <c r="AC27" s="33">
        <f>261.93+91.14</f>
        <v>353.07</v>
      </c>
      <c r="AD27" s="33">
        <f>257.45+77.71</f>
        <v>335.15999999999997</v>
      </c>
      <c r="AE27" s="33">
        <f>228.92+70.28</f>
        <v>299.2</v>
      </c>
      <c r="AF27" s="33">
        <f>222.41+25.61</f>
        <v>248.01999999999998</v>
      </c>
      <c r="AG27" s="33">
        <f>218.85+25.09</f>
        <v>243.94</v>
      </c>
      <c r="AH27" s="33">
        <f>211.56+25.37</f>
        <v>236.93</v>
      </c>
      <c r="AI27" s="33">
        <f>265.45+0.00</f>
        <v>265.45</v>
      </c>
      <c r="AJ27" s="33">
        <f>197.30+21.74</f>
        <v>219.04000000000002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143</v>
      </c>
      <c r="D28" s="50" t="s">
        <v>42</v>
      </c>
      <c r="E28" s="32" t="s">
        <v>65</v>
      </c>
      <c r="F28" s="32" t="s">
        <v>158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>
        <v>0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143</v>
      </c>
      <c r="D29" s="50" t="s">
        <v>42</v>
      </c>
      <c r="E29" s="32" t="s">
        <v>65</v>
      </c>
      <c r="F29" s="32" t="s">
        <v>159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3">
        <v>60.72</v>
      </c>
      <c r="AJ29" s="33">
        <v>65.34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143</v>
      </c>
      <c r="D30" s="50" t="s">
        <v>42</v>
      </c>
      <c r="E30" s="32" t="s">
        <v>65</v>
      </c>
      <c r="F30" s="32" t="s">
        <v>160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>
        <f>53.82+11.23</f>
        <v>65.05</v>
      </c>
      <c r="X30" s="32"/>
      <c r="Y30" s="33">
        <v>51.25</v>
      </c>
      <c r="Z30" s="33">
        <v>43</v>
      </c>
      <c r="AA30" s="33">
        <v>21.34</v>
      </c>
      <c r="AB30" s="33">
        <v>21.34</v>
      </c>
      <c r="AC30" s="33">
        <v>21.34</v>
      </c>
      <c r="AD30" s="33">
        <v>21.34</v>
      </c>
      <c r="AE30" s="33">
        <v>21.34</v>
      </c>
      <c r="AF30" s="33">
        <v>21.34</v>
      </c>
      <c r="AG30" s="33">
        <v>32.01</v>
      </c>
      <c r="AH30" s="33">
        <v>32.01</v>
      </c>
      <c r="AI30" s="33">
        <f>63.15+22.21</f>
        <v>85.36</v>
      </c>
      <c r="AJ30" s="33">
        <v>-63.15</v>
      </c>
      <c r="AK30" s="32"/>
      <c r="AL30" s="34">
        <f>SUM(G30:AK30)</f>
      </c>
      <c r="AM30" s="35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85</v>
      </c>
      <c r="E32" s="21"/>
      <c r="F32" s="21"/>
      <c r="G32" s="22">
        <f>SUM(G14:G30)</f>
      </c>
      <c r="H32" s="22">
        <f>SUM(H14:H30)</f>
      </c>
      <c r="I32" s="22">
        <f>SUM(I14:I30)</f>
      </c>
      <c r="J32" s="22">
        <f>SUM(J14:J30)</f>
      </c>
      <c r="K32" s="22">
        <f>SUM(K14:K30)</f>
      </c>
      <c r="L32" s="22">
        <f>SUM(L14:L30)</f>
      </c>
      <c r="M32" s="22">
        <f>SUM(M14:M30)</f>
      </c>
      <c r="N32" s="22">
        <f>SUM(N14:N30)</f>
      </c>
      <c r="O32" s="22">
        <f>SUM(O14:O30)</f>
      </c>
      <c r="P32" s="22">
        <f>SUM(P14:P30)</f>
      </c>
      <c r="Q32" s="22">
        <f>SUM(Q14:Q30)</f>
      </c>
      <c r="R32" s="22">
        <f>SUM(R14:R30)</f>
      </c>
      <c r="S32" s="22">
        <f>SUM(S14:S30)</f>
      </c>
      <c r="T32" s="22">
        <f>SUM(T14:T30)</f>
      </c>
      <c r="U32" s="22">
        <f>SUM(U14:U30)</f>
      </c>
      <c r="V32" s="22">
        <f>SUM(V14:V30)</f>
      </c>
      <c r="W32" s="22">
        <f>SUM(W14:W30)</f>
      </c>
      <c r="X32" s="22">
        <f>SUM(X14:X30)</f>
      </c>
      <c r="Y32" s="22">
        <f>SUM(Y14:Y30)</f>
      </c>
      <c r="Z32" s="22">
        <f>SUM(Z14:Z30)</f>
      </c>
      <c r="AA32" s="22">
        <f>SUM(AA14:AA30)</f>
      </c>
      <c r="AB32" s="22">
        <f>SUM(AB14:AB30)</f>
      </c>
      <c r="AC32" s="22">
        <f>SUM(AC14:AC30)</f>
      </c>
      <c r="AD32" s="22">
        <f>SUM(AD14:AD30)</f>
      </c>
      <c r="AE32" s="22">
        <f>SUM(AE14:AE30)</f>
      </c>
      <c r="AF32" s="22">
        <f>SUM(AF14:AF30)</f>
      </c>
      <c r="AG32" s="22">
        <f>SUM(AG14:AG30)</f>
      </c>
      <c r="AH32" s="22">
        <f>SUM(AH14:AH30)</f>
      </c>
      <c r="AI32" s="22">
        <f>SUM(AI14:AI30)</f>
      </c>
      <c r="AJ32" s="22">
        <f>SUM(AJ14:AJ30)</f>
      </c>
      <c r="AK32" s="22">
        <f>SUM(AK14:AK30)</f>
      </c>
      <c r="AL32" s="22">
        <f>SUM(AL14:AL30)</f>
      </c>
      <c r="AM32" s="23"/>
    </row>
    <row r="34" ht="13.5" customHeight="1" spans="2:39" x14ac:dyDescent="0.25">
      <c r="B34" s="46"/>
      <c r="C34" s="28"/>
      <c r="D34" s="47" t="s">
        <v>43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/>
    </row>
    <row r="35" ht="13.5" customHeight="1" spans="2:39" x14ac:dyDescent="0.25">
      <c r="B35" s="48" t="s">
        <v>3</v>
      </c>
      <c r="C35" s="49" t="s">
        <v>143</v>
      </c>
      <c r="D35" s="50" t="s">
        <v>43</v>
      </c>
      <c r="E35" s="32" t="s">
        <v>161</v>
      </c>
      <c r="F35" s="32" t="s">
        <v>162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v>3096.85</v>
      </c>
      <c r="W35" s="33">
        <v>2367.1</v>
      </c>
      <c r="X35" s="33">
        <v>2816.28</v>
      </c>
      <c r="Y35" s="33">
        <v>2783.34</v>
      </c>
      <c r="Z35" s="33">
        <v>1389.17</v>
      </c>
      <c r="AA35" s="33">
        <v>1219.57</v>
      </c>
      <c r="AB35" s="33">
        <v>1179</v>
      </c>
      <c r="AC35" s="33">
        <v>939.94</v>
      </c>
      <c r="AD35" s="33">
        <v>952.12</v>
      </c>
      <c r="AE35" s="33">
        <v>1198.4</v>
      </c>
      <c r="AF35" s="33">
        <v>1415.8</v>
      </c>
      <c r="AG35" s="33">
        <v>1784.42</v>
      </c>
      <c r="AH35" s="33">
        <v>2264.12</v>
      </c>
      <c r="AI35" s="33">
        <v>2284.66</v>
      </c>
      <c r="AJ35" s="33">
        <v>2480.68</v>
      </c>
      <c r="AK35" s="32"/>
      <c r="AL35" s="34">
        <f>SUM(G35:AK35)</f>
      </c>
      <c r="AM35" s="35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89</v>
      </c>
      <c r="E37" s="21"/>
      <c r="F37" s="21"/>
      <c r="G37" s="22">
        <f>SUM(G35:G35)</f>
      </c>
      <c r="H37" s="22">
        <f>SUM(H35:H35)</f>
      </c>
      <c r="I37" s="22">
        <f>SUM(I35:I35)</f>
      </c>
      <c r="J37" s="22">
        <f>SUM(J35:J35)</f>
      </c>
      <c r="K37" s="22">
        <f>SUM(K35:K35)</f>
      </c>
      <c r="L37" s="22">
        <f>SUM(L35:L35)</f>
      </c>
      <c r="M37" s="22">
        <f>SUM(M35:M35)</f>
      </c>
      <c r="N37" s="22">
        <f>SUM(N35:N35)</f>
      </c>
      <c r="O37" s="22">
        <f>SUM(O35:O35)</f>
      </c>
      <c r="P37" s="22">
        <f>SUM(P35:P35)</f>
      </c>
      <c r="Q37" s="22">
        <f>SUM(Q35:Q35)</f>
      </c>
      <c r="R37" s="22">
        <f>SUM(R35:R35)</f>
      </c>
      <c r="S37" s="22">
        <f>SUM(S35:S35)</f>
      </c>
      <c r="T37" s="22">
        <f>SUM(T35:T35)</f>
      </c>
      <c r="U37" s="22">
        <f>SUM(U35:U35)</f>
      </c>
      <c r="V37" s="22">
        <f>SUM(V35:V35)</f>
      </c>
      <c r="W37" s="22">
        <f>SUM(W35:W35)</f>
      </c>
      <c r="X37" s="22">
        <f>SUM(X35:X35)</f>
      </c>
      <c r="Y37" s="22">
        <f>SUM(Y35:Y35)</f>
      </c>
      <c r="Z37" s="22">
        <f>SUM(Z35:Z35)</f>
      </c>
      <c r="AA37" s="22">
        <f>SUM(AA35:AA35)</f>
      </c>
      <c r="AB37" s="22">
        <f>SUM(AB35:AB35)</f>
      </c>
      <c r="AC37" s="22">
        <f>SUM(AC35:AC35)</f>
      </c>
      <c r="AD37" s="22">
        <f>SUM(AD35:AD35)</f>
      </c>
      <c r="AE37" s="22">
        <f>SUM(AE35:AE35)</f>
      </c>
      <c r="AF37" s="22">
        <f>SUM(AF35:AF35)</f>
      </c>
      <c r="AG37" s="22">
        <f>SUM(AG35:AG35)</f>
      </c>
      <c r="AH37" s="22">
        <f>SUM(AH35:AH35)</f>
      </c>
      <c r="AI37" s="22">
        <f>SUM(AI35:AI35)</f>
      </c>
      <c r="AJ37" s="22">
        <f>SUM(AJ35:AJ35)</f>
      </c>
      <c r="AK37" s="22">
        <f>SUM(AK35:AK35)</f>
      </c>
      <c r="AL37" s="22">
        <f>SUM(AL35:AL35)</f>
      </c>
      <c r="AM37" s="23"/>
    </row>
    <row r="39" ht="13.5" customHeight="1" spans="2:39" x14ac:dyDescent="0.25">
      <c r="B39" s="46"/>
      <c r="C39" s="28"/>
      <c r="D39" s="47" t="s">
        <v>44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9"/>
    </row>
    <row r="40" ht="13.5" customHeight="1" spans="2:39" x14ac:dyDescent="0.25">
      <c r="B40" s="5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0"/>
    </row>
    <row r="41" ht="13.5" customHeight="1" spans="2:39" x14ac:dyDescent="0.25">
      <c r="B41" s="20"/>
      <c r="C41" s="21"/>
      <c r="D41" s="21" t="s">
        <v>90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3"/>
    </row>
    <row r="44" ht="12.75" customHeight="1" spans="2:39" x14ac:dyDescent="0.25">
      <c r="B44" s="11" t="s">
        <v>40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>
        <f>G11</f>
      </c>
      <c r="H45" s="18">
        <f>H11</f>
      </c>
      <c r="I45" s="18">
        <f>I11</f>
      </c>
      <c r="J45" s="18">
        <f>J11</f>
      </c>
      <c r="K45" s="18">
        <f>K11</f>
      </c>
      <c r="L45" s="18">
        <f>L11</f>
      </c>
      <c r="M45" s="18">
        <f>M11</f>
      </c>
      <c r="N45" s="18">
        <f>N11</f>
      </c>
      <c r="O45" s="18">
        <f>O11</f>
      </c>
      <c r="P45" s="18">
        <f>P11</f>
      </c>
      <c r="Q45" s="18">
        <f>Q11</f>
      </c>
      <c r="R45" s="18">
        <f>R11</f>
      </c>
      <c r="S45" s="18">
        <f>S11</f>
      </c>
      <c r="T45" s="18">
        <f>T11</f>
      </c>
      <c r="U45" s="18">
        <f>U11</f>
      </c>
      <c r="V45" s="18">
        <f>V11</f>
      </c>
      <c r="W45" s="18">
        <f>W11</f>
      </c>
      <c r="X45" s="18">
        <f>X11</f>
      </c>
      <c r="Y45" s="18">
        <f>Y11</f>
      </c>
      <c r="Z45" s="18">
        <f>Z11</f>
      </c>
      <c r="AA45" s="18">
        <f>AA11</f>
      </c>
      <c r="AB45" s="18">
        <f>AB11</f>
      </c>
      <c r="AC45" s="18">
        <f>AC11</f>
      </c>
      <c r="AD45" s="18">
        <f>AD11</f>
      </c>
      <c r="AE45" s="18">
        <f>AE11</f>
      </c>
      <c r="AF45" s="18">
        <f>AF11</f>
      </c>
      <c r="AG45" s="18">
        <f>AG11</f>
      </c>
      <c r="AH45" s="18">
        <f>AH11</f>
      </c>
      <c r="AI45" s="18">
        <f>AI11</f>
      </c>
      <c r="AJ45" s="18">
        <f>AJ11</f>
      </c>
      <c r="AK45" s="18">
        <f>AK11</f>
      </c>
      <c r="AL45" s="18">
        <f>AL11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>
        <f>G32</f>
      </c>
      <c r="H46" s="18">
        <f>H32</f>
      </c>
      <c r="I46" s="18">
        <f>I32</f>
      </c>
      <c r="J46" s="18">
        <f>J32</f>
      </c>
      <c r="K46" s="18">
        <f>K32</f>
      </c>
      <c r="L46" s="18">
        <f>L32</f>
      </c>
      <c r="M46" s="18">
        <f>M32</f>
      </c>
      <c r="N46" s="18">
        <f>N32</f>
      </c>
      <c r="O46" s="18">
        <f>O32</f>
      </c>
      <c r="P46" s="18">
        <f>P32</f>
      </c>
      <c r="Q46" s="18">
        <f>Q32</f>
      </c>
      <c r="R46" s="18">
        <f>R32</f>
      </c>
      <c r="S46" s="18">
        <f>S32</f>
      </c>
      <c r="T46" s="18">
        <f>T32</f>
      </c>
      <c r="U46" s="18">
        <f>U32</f>
      </c>
      <c r="V46" s="18">
        <f>V32</f>
      </c>
      <c r="W46" s="18">
        <f>W32</f>
      </c>
      <c r="X46" s="18">
        <f>X32</f>
      </c>
      <c r="Y46" s="18">
        <f>Y32</f>
      </c>
      <c r="Z46" s="18">
        <f>Z32</f>
      </c>
      <c r="AA46" s="18">
        <f>AA32</f>
      </c>
      <c r="AB46" s="18">
        <f>AB32</f>
      </c>
      <c r="AC46" s="18">
        <f>AC32</f>
      </c>
      <c r="AD46" s="18">
        <f>AD32</f>
      </c>
      <c r="AE46" s="18">
        <f>AE32</f>
      </c>
      <c r="AF46" s="18">
        <f>AF32</f>
      </c>
      <c r="AG46" s="18">
        <f>AG32</f>
      </c>
      <c r="AH46" s="18">
        <f>AH32</f>
      </c>
      <c r="AI46" s="18">
        <f>AI32</f>
      </c>
      <c r="AJ46" s="18">
        <f>AJ32</f>
      </c>
      <c r="AK46" s="18">
        <f>AK32</f>
      </c>
      <c r="AL46" s="18">
        <f>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>
        <f>G37</f>
      </c>
      <c r="H47" s="18">
        <f>H37</f>
      </c>
      <c r="I47" s="18">
        <f>I37</f>
      </c>
      <c r="J47" s="18">
        <f>J37</f>
      </c>
      <c r="K47" s="18">
        <f>K37</f>
      </c>
      <c r="L47" s="18">
        <f>L37</f>
      </c>
      <c r="M47" s="18">
        <f>M37</f>
      </c>
      <c r="N47" s="18">
        <f>N37</f>
      </c>
      <c r="O47" s="18">
        <f>O37</f>
      </c>
      <c r="P47" s="18">
        <f>P37</f>
      </c>
      <c r="Q47" s="18">
        <f>Q37</f>
      </c>
      <c r="R47" s="18">
        <f>R37</f>
      </c>
      <c r="S47" s="18">
        <f>S37</f>
      </c>
      <c r="T47" s="18">
        <f>T37</f>
      </c>
      <c r="U47" s="18">
        <f>U37</f>
      </c>
      <c r="V47" s="18">
        <f>V37</f>
      </c>
      <c r="W47" s="18">
        <f>W37</f>
      </c>
      <c r="X47" s="18">
        <f>X37</f>
      </c>
      <c r="Y47" s="18">
        <f>Y37</f>
      </c>
      <c r="Z47" s="18">
        <f>Z37</f>
      </c>
      <c r="AA47" s="18">
        <f>AA37</f>
      </c>
      <c r="AB47" s="18">
        <f>AB37</f>
      </c>
      <c r="AC47" s="18">
        <f>AC37</f>
      </c>
      <c r="AD47" s="18">
        <f>AD37</f>
      </c>
      <c r="AE47" s="18">
        <f>AE37</f>
      </c>
      <c r="AF47" s="18">
        <f>AF37</f>
      </c>
      <c r="AG47" s="18">
        <f>AG37</f>
      </c>
      <c r="AH47" s="18">
        <f>AH37</f>
      </c>
      <c r="AI47" s="18">
        <f>AI37</f>
      </c>
      <c r="AJ47" s="18">
        <f>AJ37</f>
      </c>
      <c r="AK47" s="18">
        <f>AK37</f>
      </c>
      <c r="AL47" s="18">
        <f>AL37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>
        <f>G41</f>
      </c>
      <c r="H48" s="18">
        <f>H41</f>
      </c>
      <c r="I48" s="18">
        <f>I41</f>
      </c>
      <c r="J48" s="18">
        <f>J41</f>
      </c>
      <c r="K48" s="18">
        <f>K41</f>
      </c>
      <c r="L48" s="18">
        <f>L41</f>
      </c>
      <c r="M48" s="18">
        <f>M41</f>
      </c>
      <c r="N48" s="18">
        <f>N41</f>
      </c>
      <c r="O48" s="18">
        <f>O41</f>
      </c>
      <c r="P48" s="18">
        <f>P41</f>
      </c>
      <c r="Q48" s="18">
        <f>Q41</f>
      </c>
      <c r="R48" s="18">
        <f>R41</f>
      </c>
      <c r="S48" s="18">
        <f>S41</f>
      </c>
      <c r="T48" s="18">
        <f>T41</f>
      </c>
      <c r="U48" s="18">
        <f>U41</f>
      </c>
      <c r="V48" s="18">
        <f>V41</f>
      </c>
      <c r="W48" s="18">
        <f>W41</f>
      </c>
      <c r="X48" s="18">
        <f>X41</f>
      </c>
      <c r="Y48" s="18">
        <f>Y41</f>
      </c>
      <c r="Z48" s="18">
        <f>Z41</f>
      </c>
      <c r="AA48" s="18">
        <f>AA41</f>
      </c>
      <c r="AB48" s="18">
        <f>AB41</f>
      </c>
      <c r="AC48" s="18">
        <f>AC41</f>
      </c>
      <c r="AD48" s="18">
        <f>AD41</f>
      </c>
      <c r="AE48" s="18">
        <f>AE41</f>
      </c>
      <c r="AF48" s="18">
        <f>AF41</f>
      </c>
      <c r="AG48" s="18">
        <f>AG41</f>
      </c>
      <c r="AH48" s="18">
        <f>AH41</f>
      </c>
      <c r="AI48" s="18">
        <f>AI41</f>
      </c>
      <c r="AJ48" s="18">
        <f>AJ41</f>
      </c>
      <c r="AK48" s="18">
        <f>AK41</f>
      </c>
      <c r="AL48" s="18">
        <f>AL41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46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2">
        <f>AK52+AK53+AK54+AK55</f>
      </c>
      <c r="AL56" s="22">
        <f>AL52+AL53+AL54+AL55</f>
      </c>
      <c r="AM56" s="23"/>
    </row>
    <row r="58" ht="12.75" customHeight="1" spans="2:39" x14ac:dyDescent="0.25">
      <c r="B58" s="11" t="s">
        <v>47</v>
      </c>
      <c r="C58" s="12"/>
      <c r="D58" s="12"/>
      <c r="E58" s="12"/>
      <c r="F58" s="12"/>
      <c r="G58" s="52" t="s">
        <v>7</v>
      </c>
      <c r="H58" s="52" t="s">
        <v>8</v>
      </c>
      <c r="I58" s="52" t="s">
        <v>9</v>
      </c>
      <c r="J58" s="52" t="s">
        <v>10</v>
      </c>
      <c r="K58" s="52" t="s">
        <v>11</v>
      </c>
      <c r="L58" s="52" t="s">
        <v>12</v>
      </c>
      <c r="M58" s="52" t="s">
        <v>13</v>
      </c>
      <c r="N58" s="52" t="s">
        <v>14</v>
      </c>
      <c r="O58" s="52" t="s">
        <v>15</v>
      </c>
      <c r="P58" s="52" t="s">
        <v>16</v>
      </c>
      <c r="Q58" s="52" t="s">
        <v>17</v>
      </c>
      <c r="R58" s="52" t="s">
        <v>18</v>
      </c>
      <c r="S58" s="52" t="s">
        <v>19</v>
      </c>
      <c r="T58" s="52" t="s">
        <v>20</v>
      </c>
      <c r="U58" s="52" t="s">
        <v>21</v>
      </c>
      <c r="V58" s="52" t="s">
        <v>22</v>
      </c>
      <c r="W58" s="52" t="s">
        <v>23</v>
      </c>
      <c r="X58" s="52" t="s">
        <v>24</v>
      </c>
      <c r="Y58" s="52" t="s">
        <v>25</v>
      </c>
      <c r="Z58" s="52" t="s">
        <v>26</v>
      </c>
      <c r="AA58" s="52" t="s">
        <v>27</v>
      </c>
      <c r="AB58" s="52" t="s">
        <v>28</v>
      </c>
      <c r="AC58" s="52" t="s">
        <v>29</v>
      </c>
      <c r="AD58" s="52" t="s">
        <v>30</v>
      </c>
      <c r="AE58" s="52" t="s">
        <v>31</v>
      </c>
      <c r="AF58" s="52" t="s">
        <v>32</v>
      </c>
      <c r="AG58" s="52" t="s">
        <v>33</v>
      </c>
      <c r="AH58" s="52" t="s">
        <v>34</v>
      </c>
      <c r="AI58" s="52" t="s">
        <v>35</v>
      </c>
      <c r="AJ58" s="52" t="s">
        <v>36</v>
      </c>
      <c r="AK58" s="52" t="s">
        <v>37</v>
      </c>
      <c r="AL58" s="52" t="s">
        <v>38</v>
      </c>
      <c r="AM58" s="15"/>
    </row>
    <row r="59" ht="12.75" customHeight="1" spans="2:39" x14ac:dyDescent="0.25">
      <c r="B59" s="16"/>
      <c r="C59" s="17"/>
      <c r="D59" s="17" t="s">
        <v>41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42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43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44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20"/>
      <c r="C63" s="21"/>
      <c r="D63" s="21" t="s">
        <v>45</v>
      </c>
      <c r="E63" s="21"/>
      <c r="F63" s="21"/>
      <c r="G63" s="25">
        <f>G59+G60+G61+G62</f>
      </c>
      <c r="H63" s="25">
        <f>H59+H60+H61+H62</f>
      </c>
      <c r="I63" s="25">
        <f>I59+I60+I61+I62</f>
      </c>
      <c r="J63" s="25">
        <f>J59+J60+J61+J62</f>
      </c>
      <c r="K63" s="25">
        <f>K59+K60+K61+K62</f>
      </c>
      <c r="L63" s="25">
        <f>L59+L60+L61+L62</f>
      </c>
      <c r="M63" s="25">
        <f>M59+M60+M61+M62</f>
      </c>
      <c r="N63" s="25">
        <f>N59+N60+N61+N62</f>
      </c>
      <c r="O63" s="25">
        <f>O59+O60+O61+O62</f>
      </c>
      <c r="P63" s="25">
        <f>P59+P60+P61+P62</f>
      </c>
      <c r="Q63" s="25">
        <f>Q59+Q60+Q61+Q62</f>
      </c>
      <c r="R63" s="25">
        <f>R59+R60+R61+R62</f>
      </c>
      <c r="S63" s="25">
        <f>S59+S60+S61+S62</f>
      </c>
      <c r="T63" s="25">
        <f>T59+T60+T61+T62</f>
      </c>
      <c r="U63" s="25">
        <f>U59+U60+U61+U62</f>
      </c>
      <c r="V63" s="25">
        <f>V59+V60+V61+V62</f>
      </c>
      <c r="W63" s="25">
        <f>W59+W60+W61+W62</f>
      </c>
      <c r="X63" s="25">
        <f>X59+X60+X61+X62</f>
      </c>
      <c r="Y63" s="25">
        <f>Y59+Y60+Y61+Y62</f>
      </c>
      <c r="Z63" s="25">
        <f>Z59+Z60+Z61+Z62</f>
      </c>
      <c r="AA63" s="25">
        <f>AA59+AA60+AA61+AA62</f>
      </c>
      <c r="AB63" s="25">
        <f>AB59+AB60+AB61+AB62</f>
      </c>
      <c r="AC63" s="25">
        <f>AC59+AC60+AC61+AC62</f>
      </c>
      <c r="AD63" s="25">
        <f>AD59+AD60+AD61+AD62</f>
      </c>
      <c r="AE63" s="25">
        <f>AE59+AE60+AE61+AE62</f>
      </c>
      <c r="AF63" s="25">
        <f>AF59+AF60+AF61+AF62</f>
      </c>
      <c r="AG63" s="25">
        <f>AG59+AG60+AG61+AG62</f>
      </c>
      <c r="AH63" s="25">
        <f>AH59+AH60+AH61+AH62</f>
      </c>
      <c r="AI63" s="25">
        <f>AI59+AI60+AI61+AI62</f>
      </c>
      <c r="AJ63" s="25">
        <f>AJ59+AJ60+AJ61+AJ62</f>
      </c>
      <c r="AK63" s="25">
        <f>AK59+AK60+AK61+AK62</f>
      </c>
      <c r="AL63" s="25">
        <f>AL59+AL60+AL61+AL62</f>
      </c>
      <c r="AM6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179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180</v>
      </c>
      <c r="E13" s="32"/>
      <c r="F13" s="32"/>
      <c r="G13" s="32"/>
      <c r="H13" s="32"/>
      <c r="I13" s="32"/>
      <c r="J13" s="32"/>
      <c r="K13" s="32"/>
      <c r="L13" s="32"/>
      <c r="M13" s="36">
        <f>0.00+41.42</f>
        <v>41.42</v>
      </c>
      <c r="N13" s="33">
        <v>34.49</v>
      </c>
      <c r="O13" s="33">
        <v>36.13</v>
      </c>
      <c r="P13" s="33">
        <v>33.45</v>
      </c>
      <c r="Q13" s="33">
        <v>31.89</v>
      </c>
      <c r="R13" s="33">
        <v>32.97</v>
      </c>
      <c r="S13" s="33">
        <v>29.6</v>
      </c>
      <c r="T13" s="33">
        <v>33.06</v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181</v>
      </c>
      <c r="E14" s="32"/>
      <c r="F14" s="32"/>
      <c r="G14" s="32"/>
      <c r="H14" s="32"/>
      <c r="I14" s="36">
        <f>521.90+140.10+521.90+140.10</f>
        <v>1324</v>
      </c>
      <c r="J14" s="32"/>
      <c r="K14" s="36">
        <f>112.84+521.90</f>
        <v>634.74</v>
      </c>
      <c r="L14" s="36">
        <f>132.31+521.90</f>
        <v>654.21</v>
      </c>
      <c r="M14" s="36">
        <f>121.57+522.01</f>
        <v>643.5799999999999</v>
      </c>
      <c r="N14" s="36">
        <f>206.86+522.09</f>
        <v>728.95</v>
      </c>
      <c r="O14" s="36">
        <f>412.69+522.09</f>
        <v>934.78</v>
      </c>
      <c r="P14" s="36">
        <f>358.42+522.09</f>
        <v>880.51</v>
      </c>
      <c r="Q14" s="36">
        <f>385.97+522.09</f>
        <v>908.0600000000001</v>
      </c>
      <c r="R14" s="36">
        <f>318.41+522.09</f>
        <v>840.5</v>
      </c>
      <c r="S14" s="36">
        <f>525.44+96.97</f>
        <v>622.4100000000001</v>
      </c>
      <c r="T14" s="36">
        <f>528.77+105.34</f>
        <v>634.11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182</v>
      </c>
      <c r="E15" s="32"/>
      <c r="F15" s="32"/>
      <c r="G15" s="32"/>
      <c r="H15" s="33">
        <v>26.97</v>
      </c>
      <c r="I15" s="33">
        <v>147.14</v>
      </c>
      <c r="J15" s="33">
        <v>110.48</v>
      </c>
      <c r="K15" s="33">
        <v>73.62</v>
      </c>
      <c r="L15" s="33">
        <v>27.02</v>
      </c>
      <c r="M15" s="33">
        <v>21.34</v>
      </c>
      <c r="N15" s="33">
        <v>73.54</v>
      </c>
      <c r="O15" s="33">
        <v>271.82</v>
      </c>
      <c r="P15" s="33">
        <v>44.73</v>
      </c>
      <c r="Q15" s="33">
        <v>21.34</v>
      </c>
      <c r="R15" s="33">
        <v>10.04</v>
      </c>
      <c r="S15" s="33">
        <v>21.34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183</v>
      </c>
      <c r="E16" s="32"/>
      <c r="F16" s="32"/>
      <c r="G16" s="32"/>
      <c r="H16" s="33">
        <v>147.14</v>
      </c>
      <c r="I16" s="33">
        <v>98.51</v>
      </c>
      <c r="J16" s="33">
        <v>43.22</v>
      </c>
      <c r="K16" s="33">
        <v>55.29</v>
      </c>
      <c r="L16" s="33">
        <v>139.08</v>
      </c>
      <c r="M16" s="33">
        <v>230.91</v>
      </c>
      <c r="N16" s="33">
        <v>409.48</v>
      </c>
      <c r="O16" s="33">
        <v>485.7</v>
      </c>
      <c r="P16" s="33">
        <v>459.58</v>
      </c>
      <c r="Q16" s="33">
        <v>389.69</v>
      </c>
      <c r="R16" s="33">
        <v>155.18</v>
      </c>
      <c r="S16" s="33">
        <v>115.55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184</v>
      </c>
      <c r="E17" s="32"/>
      <c r="F17" s="32"/>
      <c r="G17" s="32"/>
      <c r="H17" s="33">
        <v>110.18</v>
      </c>
      <c r="I17" s="33">
        <v>193.2</v>
      </c>
      <c r="J17" s="33">
        <v>153.61</v>
      </c>
      <c r="K17" s="33">
        <v>128.62</v>
      </c>
      <c r="L17" s="33">
        <v>94.89</v>
      </c>
      <c r="M17" s="33">
        <v>51.49</v>
      </c>
      <c r="N17" s="33">
        <v>56.74</v>
      </c>
      <c r="O17" s="33">
        <v>168.84</v>
      </c>
      <c r="P17" s="33">
        <v>84.35</v>
      </c>
      <c r="Q17" s="33">
        <v>65.55</v>
      </c>
      <c r="R17" s="33">
        <v>28.65</v>
      </c>
      <c r="S17" s="33">
        <v>38.42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185</v>
      </c>
      <c r="E18" s="32"/>
      <c r="F18" s="32"/>
      <c r="G18" s="32"/>
      <c r="H18" s="33">
        <v>21.34</v>
      </c>
      <c r="I18" s="33">
        <v>25.09</v>
      </c>
      <c r="J18" s="33">
        <v>65.8</v>
      </c>
      <c r="K18" s="36">
        <f>13.25+0.00</f>
        <v>13.25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186</v>
      </c>
      <c r="E19" s="32"/>
      <c r="F19" s="32"/>
      <c r="G19" s="32"/>
      <c r="H19" s="33">
        <v>21.34</v>
      </c>
      <c r="I19" s="33">
        <v>21.34</v>
      </c>
      <c r="J19" s="33">
        <v>21.34</v>
      </c>
      <c r="K19" s="33">
        <v>21.34</v>
      </c>
      <c r="L19" s="33">
        <v>21.34</v>
      </c>
      <c r="M19" s="33">
        <v>21.34</v>
      </c>
      <c r="N19" s="33">
        <v>21.34</v>
      </c>
      <c r="O19" s="33">
        <v>21.34</v>
      </c>
      <c r="P19" s="33">
        <v>21.34</v>
      </c>
      <c r="Q19" s="33">
        <v>21.34</v>
      </c>
      <c r="R19" s="33">
        <v>15.27</v>
      </c>
      <c r="S19" s="33">
        <v>21.34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187</v>
      </c>
      <c r="E20" s="32"/>
      <c r="F20" s="32"/>
      <c r="G20" s="32"/>
      <c r="H20" s="32"/>
      <c r="I20" s="36">
        <f>48.11+29.35</f>
        <v>77.46000000000001</v>
      </c>
      <c r="J20" s="32"/>
      <c r="K20" s="33">
        <v>38.54</v>
      </c>
      <c r="L20" s="36">
        <f>21.34+0.00+14.34</f>
        <v>35.68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188</v>
      </c>
      <c r="E21" s="32"/>
      <c r="F21" s="32"/>
      <c r="G21" s="32"/>
      <c r="H21" s="32"/>
      <c r="I21" s="36">
        <f>21.34+21.34</f>
        <v>42.68</v>
      </c>
      <c r="J21" s="36">
        <f>10.67+0.00</f>
        <v>10.67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189</v>
      </c>
      <c r="E22" s="32"/>
      <c r="F22" s="32"/>
      <c r="G22" s="32"/>
      <c r="H22" s="33">
        <v>303.37</v>
      </c>
      <c r="I22" s="33">
        <v>312.14</v>
      </c>
      <c r="J22" s="33">
        <v>295.87</v>
      </c>
      <c r="K22" s="33">
        <v>314.78</v>
      </c>
      <c r="L22" s="33">
        <v>366.46</v>
      </c>
      <c r="M22" s="33">
        <v>373.45</v>
      </c>
      <c r="N22" s="33">
        <v>402.5</v>
      </c>
      <c r="O22" s="33">
        <v>466.21</v>
      </c>
      <c r="P22" s="33">
        <v>413.69</v>
      </c>
      <c r="Q22" s="33">
        <v>399.54</v>
      </c>
      <c r="R22" s="33">
        <v>256.27</v>
      </c>
      <c r="S22" s="33">
        <v>307.56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190</v>
      </c>
      <c r="E23" s="32"/>
      <c r="F23" s="32"/>
      <c r="G23" s="32"/>
      <c r="H23" s="32"/>
      <c r="I23" s="32"/>
      <c r="J23" s="32"/>
      <c r="K23" s="32"/>
      <c r="L23" s="32"/>
      <c r="M23" s="36">
        <f>39.13+0.00</f>
        <v>39.13</v>
      </c>
      <c r="N23" s="36">
        <f>21.78+0.00</f>
        <v>21.78</v>
      </c>
      <c r="O23" s="33">
        <v>38.83</v>
      </c>
      <c r="P23" s="33">
        <v>21.34</v>
      </c>
      <c r="Q23" s="33">
        <v>21.34</v>
      </c>
      <c r="R23" s="33">
        <v>21.34</v>
      </c>
      <c r="S23" s="33">
        <v>21.34</v>
      </c>
      <c r="T23" s="33">
        <v>21.34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191</v>
      </c>
      <c r="E24" s="32"/>
      <c r="F24" s="32"/>
      <c r="G24" s="32"/>
      <c r="H24" s="32"/>
      <c r="I24" s="36">
        <f>29.35+77.58</f>
        <v>106.93</v>
      </c>
      <c r="J24" s="36">
        <f>35.57+0.00</f>
        <v>35.57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192</v>
      </c>
      <c r="E25" s="32"/>
      <c r="F25" s="32"/>
      <c r="G25" s="32"/>
      <c r="H25" s="32"/>
      <c r="I25" s="32"/>
      <c r="J25" s="32"/>
      <c r="K25" s="36">
        <f>7.82+0.00</f>
        <v>7.82</v>
      </c>
      <c r="L25" s="33">
        <v>21.74</v>
      </c>
      <c r="M25" s="33">
        <v>21.68</v>
      </c>
      <c r="N25" s="33">
        <v>21.34</v>
      </c>
      <c r="O25" s="33">
        <v>21.34</v>
      </c>
      <c r="P25" s="33">
        <v>21.34</v>
      </c>
      <c r="Q25" s="33">
        <v>26.34</v>
      </c>
      <c r="R25" s="33">
        <v>21.34</v>
      </c>
      <c r="S25" s="33">
        <v>21.34</v>
      </c>
      <c r="T25" s="33">
        <v>21.34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85</v>
      </c>
      <c r="C27" s="21"/>
      <c r="D27" s="21"/>
      <c r="E27" s="22">
        <f>SUM(E13:E25)</f>
      </c>
      <c r="F27" s="22">
        <f>SUM(F13:F25)</f>
      </c>
      <c r="G27" s="22">
        <f>SUM(G13:G25)</f>
      </c>
      <c r="H27" s="22">
        <f>SUM(H13:H25)</f>
      </c>
      <c r="I27" s="22">
        <f>SUM(I13:I25)</f>
      </c>
      <c r="J27" s="22">
        <f>SUM(J13:J25)</f>
      </c>
      <c r="K27" s="22">
        <f>SUM(K13:K25)</f>
      </c>
      <c r="L27" s="22">
        <f>SUM(L13:L25)</f>
      </c>
      <c r="M27" s="22">
        <f>SUM(M13:M25)</f>
      </c>
      <c r="N27" s="22">
        <f>SUM(N13:N25)</f>
      </c>
      <c r="O27" s="22">
        <f>SUM(O13:O25)</f>
      </c>
      <c r="P27" s="22">
        <f>SUM(P13:P25)</f>
      </c>
      <c r="Q27" s="22">
        <f>SUM(Q13:Q25)</f>
      </c>
      <c r="R27" s="22">
        <f>SUM(R13:R25)</f>
      </c>
      <c r="S27" s="22">
        <f>SUM(S13:S25)</f>
      </c>
      <c r="T27" s="22">
        <f>SUM(T13:T25)</f>
      </c>
      <c r="U27" s="22">
        <f>SUM(U13:U25)</f>
      </c>
      <c r="V27" s="22">
        <f>SUM(V13:V25)</f>
      </c>
      <c r="W27" s="22">
        <f>SUM(W13:W25)</f>
      </c>
      <c r="X27" s="22">
        <f>SUM(X13:X25)</f>
      </c>
      <c r="Y27" s="22">
        <f>SUM(Y13:Y25)</f>
      </c>
      <c r="Z27" s="22">
        <f>SUM(Z13:Z25)</f>
      </c>
      <c r="AA27" s="22">
        <f>SUM(AA13:AA25)</f>
      </c>
      <c r="AB27" s="22">
        <f>SUM(AB13:AB25)</f>
      </c>
      <c r="AC27" s="22">
        <f>SUM(AC13:AC25)</f>
      </c>
      <c r="AD27" s="22">
        <f>SUM(AD13:AD25)</f>
      </c>
      <c r="AE27" s="22">
        <f>SUM(AE13:AE25)</f>
      </c>
      <c r="AF27" s="22">
        <f>SUM(AF13:AF25)</f>
      </c>
      <c r="AG27" s="22">
        <f>SUM(AG13:AG25)</f>
      </c>
      <c r="AH27" s="22">
        <f>SUM(AH13:AH25)</f>
      </c>
      <c r="AI27" s="22">
        <f>SUM(AI13:AI25)</f>
      </c>
      <c r="AJ27" s="22">
        <f>SUM(AJ13:AJ25)</f>
      </c>
      <c r="AK27" s="23"/>
    </row>
    <row r="29" ht="12.75" customHeight="1" spans="2:37" x14ac:dyDescent="0.25">
      <c r="B29" s="26" t="s">
        <v>43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0" t="s">
        <v>43</v>
      </c>
      <c r="C30" s="31" t="s">
        <v>3</v>
      </c>
      <c r="D30" s="32" t="s">
        <v>193</v>
      </c>
      <c r="E30" s="32"/>
      <c r="F30" s="32"/>
      <c r="G30" s="32"/>
      <c r="H30" s="32"/>
      <c r="I30" s="36">
        <f>3036.95+1933.52</f>
        <v>4970.469999999999</v>
      </c>
      <c r="J30" s="33">
        <v>2178.02</v>
      </c>
      <c r="K30" s="33">
        <v>2317.73</v>
      </c>
      <c r="L30" s="33">
        <v>1692.42</v>
      </c>
      <c r="M30" s="33">
        <v>1098.72</v>
      </c>
      <c r="N30" s="32"/>
      <c r="O30" s="36">
        <f>1354.82+1150.22</f>
        <v>2505.04</v>
      </c>
      <c r="P30" s="36">
        <f>1493.90+0.00</f>
        <v>1493.9</v>
      </c>
      <c r="Q30" s="33">
        <v>1911.21</v>
      </c>
      <c r="R30" s="33">
        <v>2245.25</v>
      </c>
      <c r="S30" s="33">
        <v>2508.4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89</v>
      </c>
      <c r="C32" s="21"/>
      <c r="D32" s="21"/>
      <c r="E32" s="22">
        <f>SUM(E30:E30)</f>
      </c>
      <c r="F32" s="22">
        <f>SUM(F30:F30)</f>
      </c>
      <c r="G32" s="22">
        <f>SUM(G30:G30)</f>
      </c>
      <c r="H32" s="22">
        <f>SUM(H30:H30)</f>
      </c>
      <c r="I32" s="22">
        <f>SUM(I30:I30)</f>
      </c>
      <c r="J32" s="22">
        <f>SUM(J30:J30)</f>
      </c>
      <c r="K32" s="22">
        <f>SUM(K30:K30)</f>
      </c>
      <c r="L32" s="22">
        <f>SUM(L30:L30)</f>
      </c>
      <c r="M32" s="22">
        <f>SUM(M30:M30)</f>
      </c>
      <c r="N32" s="22">
        <f>SUM(N30:N30)</f>
      </c>
      <c r="O32" s="22">
        <f>SUM(O30:O30)</f>
      </c>
      <c r="P32" s="22">
        <f>SUM(P30:P30)</f>
      </c>
      <c r="Q32" s="22">
        <f>SUM(Q30:Q30)</f>
      </c>
      <c r="R32" s="22">
        <f>SUM(R30:R30)</f>
      </c>
      <c r="S32" s="22">
        <f>SUM(S30:S30)</f>
      </c>
      <c r="T32" s="22">
        <f>SUM(T30:T30)</f>
      </c>
      <c r="U32" s="22">
        <f>SUM(U30:U30)</f>
      </c>
      <c r="V32" s="22">
        <f>SUM(V30:V30)</f>
      </c>
      <c r="W32" s="22">
        <f>SUM(W30:W30)</f>
      </c>
      <c r="X32" s="22">
        <f>SUM(X30:X30)</f>
      </c>
      <c r="Y32" s="22">
        <f>SUM(Y30:Y30)</f>
      </c>
      <c r="Z32" s="22">
        <f>SUM(Z30:Z30)</f>
      </c>
      <c r="AA32" s="22">
        <f>SUM(AA30:AA30)</f>
      </c>
      <c r="AB32" s="22">
        <f>SUM(AB30:AB30)</f>
      </c>
      <c r="AC32" s="22">
        <f>SUM(AC30:AC30)</f>
      </c>
      <c r="AD32" s="22">
        <f>SUM(AD30:AD30)</f>
      </c>
      <c r="AE32" s="22">
        <f>SUM(AE30:AE30)</f>
      </c>
      <c r="AF32" s="22">
        <f>SUM(AF30:AF30)</f>
      </c>
      <c r="AG32" s="22">
        <f>SUM(AG30:AG30)</f>
      </c>
      <c r="AH32" s="22">
        <f>SUM(AH30:AH30)</f>
      </c>
      <c r="AI32" s="22">
        <f>SUM(AI30:AI30)</f>
      </c>
      <c r="AJ32" s="22">
        <f>SUM(AJ30:AJ30)</f>
      </c>
      <c r="AK32" s="23"/>
    </row>
    <row r="34" ht="12.75" customHeight="1" spans="2:37" x14ac:dyDescent="0.25">
      <c r="B34" s="26" t="s">
        <v>44</v>
      </c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9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90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3"/>
    </row>
    <row r="39" ht="12.75" customHeight="1" spans="2:37" x14ac:dyDescent="0.25">
      <c r="B39" s="11" t="s">
        <v>40</v>
      </c>
      <c r="C39" s="12"/>
      <c r="D39" s="13"/>
      <c r="E39" s="14" t="s">
        <v>7</v>
      </c>
      <c r="F39" s="14" t="s">
        <v>8</v>
      </c>
      <c r="G39" s="14" t="s">
        <v>9</v>
      </c>
      <c r="H39" s="14" t="s">
        <v>10</v>
      </c>
      <c r="I39" s="14" t="s">
        <v>11</v>
      </c>
      <c r="J39" s="14" t="s">
        <v>12</v>
      </c>
      <c r="K39" s="14" t="s">
        <v>13</v>
      </c>
      <c r="L39" s="14" t="s">
        <v>14</v>
      </c>
      <c r="M39" s="14" t="s">
        <v>15</v>
      </c>
      <c r="N39" s="14" t="s">
        <v>16</v>
      </c>
      <c r="O39" s="14" t="s">
        <v>17</v>
      </c>
      <c r="P39" s="14" t="s">
        <v>18</v>
      </c>
      <c r="Q39" s="14" t="s">
        <v>19</v>
      </c>
      <c r="R39" s="14" t="s">
        <v>20</v>
      </c>
      <c r="S39" s="14" t="s">
        <v>21</v>
      </c>
      <c r="T39" s="14" t="s">
        <v>22</v>
      </c>
      <c r="U39" s="14" t="s">
        <v>23</v>
      </c>
      <c r="V39" s="14" t="s">
        <v>24</v>
      </c>
      <c r="W39" s="14" t="s">
        <v>25</v>
      </c>
      <c r="X39" s="14" t="s">
        <v>26</v>
      </c>
      <c r="Y39" s="14" t="s">
        <v>27</v>
      </c>
      <c r="Z39" s="14" t="s">
        <v>28</v>
      </c>
      <c r="AA39" s="14" t="s">
        <v>29</v>
      </c>
      <c r="AB39" s="14" t="s">
        <v>30</v>
      </c>
      <c r="AC39" s="14" t="s">
        <v>31</v>
      </c>
      <c r="AD39" s="14" t="s">
        <v>32</v>
      </c>
      <c r="AE39" s="14" t="s">
        <v>33</v>
      </c>
      <c r="AF39" s="14" t="s">
        <v>34</v>
      </c>
      <c r="AG39" s="14" t="s">
        <v>35</v>
      </c>
      <c r="AH39" s="14" t="s">
        <v>36</v>
      </c>
      <c r="AI39" s="14" t="s">
        <v>37</v>
      </c>
      <c r="AJ39" s="14" t="s">
        <v>38</v>
      </c>
      <c r="AK39" s="15"/>
    </row>
    <row r="40" ht="12.75" customHeight="1" spans="2:37" x14ac:dyDescent="0.25">
      <c r="B40" s="16" t="s">
        <v>41</v>
      </c>
      <c r="C40" s="17"/>
      <c r="D40" s="17"/>
      <c r="E40" s="18">
        <f>E10</f>
      </c>
      <c r="F40" s="18">
        <f>F10</f>
      </c>
      <c r="G40" s="18">
        <f>G10</f>
      </c>
      <c r="H40" s="18">
        <f>H10</f>
      </c>
      <c r="I40" s="18">
        <f>I10</f>
      </c>
      <c r="J40" s="18">
        <f>J10</f>
      </c>
      <c r="K40" s="18">
        <f>K10</f>
      </c>
      <c r="L40" s="18">
        <f>L10</f>
      </c>
      <c r="M40" s="18">
        <f>M10</f>
      </c>
      <c r="N40" s="18">
        <f>N10</f>
      </c>
      <c r="O40" s="18">
        <f>O10</f>
      </c>
      <c r="P40" s="18">
        <f>P10</f>
      </c>
      <c r="Q40" s="18">
        <f>Q10</f>
      </c>
      <c r="R40" s="18">
        <f>R10</f>
      </c>
      <c r="S40" s="18">
        <f>S10</f>
      </c>
      <c r="T40" s="18">
        <f>T10</f>
      </c>
      <c r="U40" s="18">
        <f>U10</f>
      </c>
      <c r="V40" s="18">
        <f>V10</f>
      </c>
      <c r="W40" s="18">
        <f>W10</f>
      </c>
      <c r="X40" s="18">
        <f>X10</f>
      </c>
      <c r="Y40" s="18">
        <f>Y10</f>
      </c>
      <c r="Z40" s="18">
        <f>Z10</f>
      </c>
      <c r="AA40" s="18">
        <f>AA10</f>
      </c>
      <c r="AB40" s="18">
        <f>AB10</f>
      </c>
      <c r="AC40" s="18">
        <f>AC10</f>
      </c>
      <c r="AD40" s="18">
        <f>AD10</f>
      </c>
      <c r="AE40" s="18">
        <f>AE10</f>
      </c>
      <c r="AF40" s="18">
        <f>AF10</f>
      </c>
      <c r="AG40" s="18">
        <f>AG10</f>
      </c>
      <c r="AH40" s="18">
        <f>AH10</f>
      </c>
      <c r="AI40" s="18">
        <f>AI10</f>
      </c>
      <c r="AJ40" s="18">
        <f>AJ10</f>
      </c>
      <c r="AK40" s="19"/>
    </row>
    <row r="41" ht="12.75" customHeight="1" spans="2:37" x14ac:dyDescent="0.25">
      <c r="B41" s="16" t="s">
        <v>42</v>
      </c>
      <c r="C41" s="17"/>
      <c r="D41" s="17"/>
      <c r="E41" s="18">
        <f>E27</f>
      </c>
      <c r="F41" s="18">
        <f>F27</f>
      </c>
      <c r="G41" s="18">
        <f>G27</f>
      </c>
      <c r="H41" s="18">
        <f>H27</f>
      </c>
      <c r="I41" s="18">
        <f>I27</f>
      </c>
      <c r="J41" s="18">
        <f>J27</f>
      </c>
      <c r="K41" s="18">
        <f>K27</f>
      </c>
      <c r="L41" s="18">
        <f>L27</f>
      </c>
      <c r="M41" s="18">
        <f>M27</f>
      </c>
      <c r="N41" s="18">
        <f>N27</f>
      </c>
      <c r="O41" s="18">
        <f>O27</f>
      </c>
      <c r="P41" s="18">
        <f>P27</f>
      </c>
      <c r="Q41" s="18">
        <f>Q27</f>
      </c>
      <c r="R41" s="18">
        <f>R27</f>
      </c>
      <c r="S41" s="18">
        <f>S27</f>
      </c>
      <c r="T41" s="18">
        <f>T27</f>
      </c>
      <c r="U41" s="18">
        <f>U27</f>
      </c>
      <c r="V41" s="18">
        <f>V27</f>
      </c>
      <c r="W41" s="18">
        <f>W27</f>
      </c>
      <c r="X41" s="18">
        <f>X27</f>
      </c>
      <c r="Y41" s="18">
        <f>Y27</f>
      </c>
      <c r="Z41" s="18">
        <f>Z27</f>
      </c>
      <c r="AA41" s="18">
        <f>AA27</f>
      </c>
      <c r="AB41" s="18">
        <f>AB27</f>
      </c>
      <c r="AC41" s="18">
        <f>AC27</f>
      </c>
      <c r="AD41" s="18">
        <f>AD27</f>
      </c>
      <c r="AE41" s="18">
        <f>AE27</f>
      </c>
      <c r="AF41" s="18">
        <f>AF27</f>
      </c>
      <c r="AG41" s="18">
        <f>AG27</f>
      </c>
      <c r="AH41" s="18">
        <f>AH27</f>
      </c>
      <c r="AI41" s="18">
        <f>AI27</f>
      </c>
      <c r="AJ41" s="18">
        <f>AJ27</f>
      </c>
      <c r="AK41" s="19"/>
    </row>
    <row r="42" ht="12.75" customHeight="1" spans="2:37" x14ac:dyDescent="0.25">
      <c r="B42" s="16" t="s">
        <v>43</v>
      </c>
      <c r="C42" s="17"/>
      <c r="D42" s="17"/>
      <c r="E42" s="18">
        <f>E32</f>
      </c>
      <c r="F42" s="18">
        <f>F32</f>
      </c>
      <c r="G42" s="18">
        <f>G32</f>
      </c>
      <c r="H42" s="18">
        <f>H32</f>
      </c>
      <c r="I42" s="18">
        <f>I32</f>
      </c>
      <c r="J42" s="18">
        <f>J32</f>
      </c>
      <c r="K42" s="18">
        <f>K32</f>
      </c>
      <c r="L42" s="18">
        <f>L32</f>
      </c>
      <c r="M42" s="18">
        <f>M32</f>
      </c>
      <c r="N42" s="18">
        <f>N32</f>
      </c>
      <c r="O42" s="18">
        <f>O32</f>
      </c>
      <c r="P42" s="18">
        <f>P32</f>
      </c>
      <c r="Q42" s="18">
        <f>Q32</f>
      </c>
      <c r="R42" s="18">
        <f>R32</f>
      </c>
      <c r="S42" s="18">
        <f>S32</f>
      </c>
      <c r="T42" s="18">
        <f>T32</f>
      </c>
      <c r="U42" s="18">
        <f>U32</f>
      </c>
      <c r="V42" s="18">
        <f>V32</f>
      </c>
      <c r="W42" s="18">
        <f>W32</f>
      </c>
      <c r="X42" s="18">
        <f>X32</f>
      </c>
      <c r="Y42" s="18">
        <f>Y32</f>
      </c>
      <c r="Z42" s="18">
        <f>Z32</f>
      </c>
      <c r="AA42" s="18">
        <f>AA32</f>
      </c>
      <c r="AB42" s="18">
        <f>AB32</f>
      </c>
      <c r="AC42" s="18">
        <f>AC32</f>
      </c>
      <c r="AD42" s="18">
        <f>AD32</f>
      </c>
      <c r="AE42" s="18">
        <f>AE32</f>
      </c>
      <c r="AF42" s="18">
        <f>AF32</f>
      </c>
      <c r="AG42" s="18">
        <f>AG32</f>
      </c>
      <c r="AH42" s="18">
        <f>AH32</f>
      </c>
      <c r="AI42" s="18">
        <f>AI32</f>
      </c>
      <c r="AJ42" s="18">
        <f>AJ32</f>
      </c>
      <c r="AK42" s="19"/>
    </row>
    <row r="43" ht="12.75" customHeight="1" spans="2:37" x14ac:dyDescent="0.25">
      <c r="B43" s="16" t="s">
        <v>44</v>
      </c>
      <c r="C43" s="17"/>
      <c r="D43" s="17"/>
      <c r="E43" s="18">
        <f>E36</f>
      </c>
      <c r="F43" s="18">
        <f>F36</f>
      </c>
      <c r="G43" s="18">
        <f>G36</f>
      </c>
      <c r="H43" s="18">
        <f>H36</f>
      </c>
      <c r="I43" s="18">
        <f>I36</f>
      </c>
      <c r="J43" s="18">
        <f>J36</f>
      </c>
      <c r="K43" s="18">
        <f>K36</f>
      </c>
      <c r="L43" s="18">
        <f>L36</f>
      </c>
      <c r="M43" s="18">
        <f>M36</f>
      </c>
      <c r="N43" s="18">
        <f>N36</f>
      </c>
      <c r="O43" s="18">
        <f>O36</f>
      </c>
      <c r="P43" s="18">
        <f>P36</f>
      </c>
      <c r="Q43" s="18">
        <f>Q36</f>
      </c>
      <c r="R43" s="18">
        <f>R36</f>
      </c>
      <c r="S43" s="18">
        <f>S36</f>
      </c>
      <c r="T43" s="18">
        <f>T36</f>
      </c>
      <c r="U43" s="18">
        <f>U36</f>
      </c>
      <c r="V43" s="18">
        <f>V36</f>
      </c>
      <c r="W43" s="18">
        <f>W36</f>
      </c>
      <c r="X43" s="18">
        <f>X36</f>
      </c>
      <c r="Y43" s="18">
        <f>Y36</f>
      </c>
      <c r="Z43" s="18">
        <f>Z36</f>
      </c>
      <c r="AA43" s="18">
        <f>AA36</f>
      </c>
      <c r="AB43" s="18">
        <f>AB36</f>
      </c>
      <c r="AC43" s="18">
        <f>AC36</f>
      </c>
      <c r="AD43" s="18">
        <f>AD36</f>
      </c>
      <c r="AE43" s="18">
        <f>AE36</f>
      </c>
      <c r="AF43" s="18">
        <f>AF36</f>
      </c>
      <c r="AG43" s="18">
        <f>AG36</f>
      </c>
      <c r="AH43" s="18">
        <f>AH36</f>
      </c>
      <c r="AI43" s="18">
        <f>AI36</f>
      </c>
      <c r="AJ43" s="18">
        <f>AJ36</f>
      </c>
      <c r="AK43" s="19"/>
    </row>
    <row r="44" ht="12.75" customHeight="1" spans="2:37" x14ac:dyDescent="0.25">
      <c r="B44" s="20" t="s">
        <v>45</v>
      </c>
      <c r="C44" s="21"/>
      <c r="D44" s="21"/>
      <c r="E44" s="22">
        <f>E40+E41+E42+E43</f>
      </c>
      <c r="F44" s="22">
        <f>F40+F41+F42+F43</f>
      </c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3"/>
    </row>
    <row r="46" ht="12.75" customHeight="1" spans="2:37" x14ac:dyDescent="0.25">
      <c r="B46" s="11" t="s">
        <v>46</v>
      </c>
      <c r="C46" s="12"/>
      <c r="D46" s="13"/>
      <c r="E46" s="14" t="s">
        <v>7</v>
      </c>
      <c r="F46" s="14" t="s">
        <v>8</v>
      </c>
      <c r="G46" s="14" t="s">
        <v>9</v>
      </c>
      <c r="H46" s="14" t="s">
        <v>10</v>
      </c>
      <c r="I46" s="14" t="s">
        <v>11</v>
      </c>
      <c r="J46" s="14" t="s">
        <v>12</v>
      </c>
      <c r="K46" s="14" t="s">
        <v>13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18</v>
      </c>
      <c r="Q46" s="14" t="s">
        <v>19</v>
      </c>
      <c r="R46" s="14" t="s">
        <v>20</v>
      </c>
      <c r="S46" s="14" t="s">
        <v>21</v>
      </c>
      <c r="T46" s="14" t="s">
        <v>22</v>
      </c>
      <c r="U46" s="14" t="s">
        <v>23</v>
      </c>
      <c r="V46" s="14" t="s">
        <v>24</v>
      </c>
      <c r="W46" s="14" t="s">
        <v>25</v>
      </c>
      <c r="X46" s="14" t="s">
        <v>26</v>
      </c>
      <c r="Y46" s="14" t="s">
        <v>27</v>
      </c>
      <c r="Z46" s="14" t="s">
        <v>28</v>
      </c>
      <c r="AA46" s="14" t="s">
        <v>29</v>
      </c>
      <c r="AB46" s="14" t="s">
        <v>30</v>
      </c>
      <c r="AC46" s="14" t="s">
        <v>31</v>
      </c>
      <c r="AD46" s="14" t="s">
        <v>32</v>
      </c>
      <c r="AE46" s="14" t="s">
        <v>33</v>
      </c>
      <c r="AF46" s="14" t="s">
        <v>34</v>
      </c>
      <c r="AG46" s="14" t="s">
        <v>35</v>
      </c>
      <c r="AH46" s="14" t="s">
        <v>36</v>
      </c>
      <c r="AI46" s="14" t="s">
        <v>37</v>
      </c>
      <c r="AJ46" s="14" t="s">
        <v>38</v>
      </c>
      <c r="AK46" s="15"/>
    </row>
    <row r="47" ht="12.75" customHeight="1" spans="2:37" x14ac:dyDescent="0.25">
      <c r="B47" s="16" t="s">
        <v>41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16" t="s">
        <v>42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ht="12.75" customHeight="1" spans="2:37" x14ac:dyDescent="0.25">
      <c r="B49" s="16" t="s">
        <v>43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16" t="s">
        <v>44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20" t="s">
        <v>45</v>
      </c>
      <c r="C51" s="21"/>
      <c r="D51" s="21"/>
      <c r="E51" s="22">
        <f>E47+E48+E49+E50</f>
      </c>
      <c r="F51" s="22">
        <f>F47+F48+F49+F50</f>
      </c>
      <c r="G51" s="22">
        <f>G47+G48+G49+G50</f>
      </c>
      <c r="H51" s="22">
        <f>H47+H48+H49+H50</f>
      </c>
      <c r="I51" s="22">
        <f>I47+I48+I49+I50</f>
      </c>
      <c r="J51" s="22">
        <f>J47+J48+J49+J50</f>
      </c>
      <c r="K51" s="22">
        <f>K47+K48+K49+K50</f>
      </c>
      <c r="L51" s="22">
        <f>L47+L48+L49+L50</f>
      </c>
      <c r="M51" s="22">
        <f>M47+M48+M49+M50</f>
      </c>
      <c r="N51" s="22">
        <f>N47+N48+N49+N50</f>
      </c>
      <c r="O51" s="22">
        <f>O47+O48+O49+O50</f>
      </c>
      <c r="P51" s="22">
        <f>P47+P48+P49+P50</f>
      </c>
      <c r="Q51" s="22">
        <f>Q47+Q48+Q49+Q50</f>
      </c>
      <c r="R51" s="22">
        <f>R47+R48+R49+R50</f>
      </c>
      <c r="S51" s="22">
        <f>S47+S48+S49+S50</f>
      </c>
      <c r="T51" s="22">
        <f>T47+T48+T49+T50</f>
      </c>
      <c r="U51" s="22">
        <f>U47+U48+U49+U50</f>
      </c>
      <c r="V51" s="22">
        <f>V47+V48+V49+V50</f>
      </c>
      <c r="W51" s="22">
        <f>W47+W48+W49+W50</f>
      </c>
      <c r="X51" s="22">
        <f>X47+X48+X49+X50</f>
      </c>
      <c r="Y51" s="22">
        <f>Y47+Y48+Y49+Y50</f>
      </c>
      <c r="Z51" s="22">
        <f>Z47+Z48+Z49+Z50</f>
      </c>
      <c r="AA51" s="22">
        <f>AA47+AA48+AA49+AA50</f>
      </c>
      <c r="AB51" s="22">
        <f>AB47+AB48+AB49+AB50</f>
      </c>
      <c r="AC51" s="22">
        <f>AC47+AC48+AC49+AC50</f>
      </c>
      <c r="AD51" s="22">
        <f>AD47+AD48+AD49+AD50</f>
      </c>
      <c r="AE51" s="22">
        <f>AE47+AE48+AE49+AE50</f>
      </c>
      <c r="AF51" s="22">
        <f>AF47+AF48+AF49+AF50</f>
      </c>
      <c r="AG51" s="22">
        <f>AG47+AG48+AG49+AG50</f>
      </c>
      <c r="AH51" s="22">
        <f>AH47+AH48+AH49+AH50</f>
      </c>
      <c r="AI51" s="22">
        <f>AI47+AI48+AI49+AI50</f>
      </c>
      <c r="AJ51" s="22">
        <f>AJ47+AJ48+AJ49+AJ50</f>
      </c>
      <c r="AK51" s="23"/>
    </row>
    <row r="53" ht="12.75" customHeight="1" spans="2:37" x14ac:dyDescent="0.25">
      <c r="B53" s="11" t="s">
        <v>47</v>
      </c>
      <c r="C53" s="12"/>
      <c r="D53" s="13"/>
      <c r="E53" s="14" t="s">
        <v>7</v>
      </c>
      <c r="F53" s="14" t="s">
        <v>8</v>
      </c>
      <c r="G53" s="14" t="s">
        <v>9</v>
      </c>
      <c r="H53" s="14" t="s">
        <v>10</v>
      </c>
      <c r="I53" s="14" t="s">
        <v>11</v>
      </c>
      <c r="J53" s="14" t="s">
        <v>12</v>
      </c>
      <c r="K53" s="14" t="s">
        <v>13</v>
      </c>
      <c r="L53" s="14" t="s">
        <v>14</v>
      </c>
      <c r="M53" s="14" t="s">
        <v>15</v>
      </c>
      <c r="N53" s="14" t="s">
        <v>16</v>
      </c>
      <c r="O53" s="14" t="s">
        <v>17</v>
      </c>
      <c r="P53" s="14" t="s">
        <v>18</v>
      </c>
      <c r="Q53" s="14" t="s">
        <v>19</v>
      </c>
      <c r="R53" s="14" t="s">
        <v>20</v>
      </c>
      <c r="S53" s="14" t="s">
        <v>21</v>
      </c>
      <c r="T53" s="14" t="s">
        <v>22</v>
      </c>
      <c r="U53" s="14" t="s">
        <v>23</v>
      </c>
      <c r="V53" s="14" t="s">
        <v>24</v>
      </c>
      <c r="W53" s="14" t="s">
        <v>25</v>
      </c>
      <c r="X53" s="14" t="s">
        <v>26</v>
      </c>
      <c r="Y53" s="14" t="s">
        <v>27</v>
      </c>
      <c r="Z53" s="14" t="s">
        <v>28</v>
      </c>
      <c r="AA53" s="14" t="s">
        <v>29</v>
      </c>
      <c r="AB53" s="14" t="s">
        <v>30</v>
      </c>
      <c r="AC53" s="14" t="s">
        <v>31</v>
      </c>
      <c r="AD53" s="14" t="s">
        <v>32</v>
      </c>
      <c r="AE53" s="14" t="s">
        <v>33</v>
      </c>
      <c r="AF53" s="14" t="s">
        <v>34</v>
      </c>
      <c r="AG53" s="14" t="s">
        <v>35</v>
      </c>
      <c r="AH53" s="14" t="s">
        <v>36</v>
      </c>
      <c r="AI53" s="14" t="s">
        <v>37</v>
      </c>
      <c r="AJ53" s="14" t="s">
        <v>38</v>
      </c>
      <c r="AK53" s="15"/>
    </row>
    <row r="54" ht="12.75" customHeight="1" spans="2:37" x14ac:dyDescent="0.25">
      <c r="B54" s="16" t="s">
        <v>41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16" t="s">
        <v>42</v>
      </c>
      <c r="C55" s="17"/>
      <c r="D55" s="17"/>
      <c r="E55" s="24">
        <f>E48-E41</f>
      </c>
      <c r="F55" s="24">
        <f>F48-F41</f>
      </c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19"/>
    </row>
    <row r="56" ht="12.75" customHeight="1" spans="2:37" x14ac:dyDescent="0.25">
      <c r="B56" s="16" t="s">
        <v>43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16" t="s">
        <v>44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20" t="s">
        <v>45</v>
      </c>
      <c r="C58" s="21"/>
      <c r="D58" s="21"/>
      <c r="E58" s="25">
        <f>E54+E55+E56+E57</f>
      </c>
      <c r="F58" s="25">
        <f>F54+F55+F56+F57</f>
      </c>
      <c r="G58" s="25">
        <f>G54+G55+G56+G57</f>
      </c>
      <c r="H58" s="25">
        <f>H54+H55+H56+H57</f>
      </c>
      <c r="I58" s="25">
        <f>I54+I55+I56+I57</f>
      </c>
      <c r="J58" s="25">
        <f>J54+J55+J56+J57</f>
      </c>
      <c r="K58" s="25">
        <f>K54+K55+K56+K57</f>
      </c>
      <c r="L58" s="25">
        <f>L54+L55+L56+L57</f>
      </c>
      <c r="M58" s="25">
        <f>M54+M55+M56+M57</f>
      </c>
      <c r="N58" s="25">
        <f>N54+N55+N56+N57</f>
      </c>
      <c r="O58" s="25">
        <f>O54+O55+O56+O57</f>
      </c>
      <c r="P58" s="25">
        <f>P54+P55+P56+P57</f>
      </c>
      <c r="Q58" s="25">
        <f>Q54+Q55+Q56+Q57</f>
      </c>
      <c r="R58" s="25">
        <f>R54+R55+R56+R57</f>
      </c>
      <c r="S58" s="25">
        <f>S54+S55+S56+S57</f>
      </c>
      <c r="T58" s="25">
        <f>T54+T55+T56+T57</f>
      </c>
      <c r="U58" s="25">
        <f>U54+U55+U56+U57</f>
      </c>
      <c r="V58" s="25">
        <f>V54+V55+V56+V57</f>
      </c>
      <c r="W58" s="25">
        <f>W54+W55+W56+W57</f>
      </c>
      <c r="X58" s="25">
        <f>X54+X55+X56+X57</f>
      </c>
      <c r="Y58" s="25">
        <f>Y54+Y55+Y56+Y57</f>
      </c>
      <c r="Z58" s="25">
        <f>Z54+Z55+Z56+Z57</f>
      </c>
      <c r="AA58" s="25">
        <f>AA54+AA55+AA56+AA57</f>
      </c>
      <c r="AB58" s="25">
        <f>AB54+AB55+AB56+AB57</f>
      </c>
      <c r="AC58" s="25">
        <f>AC54+AC55+AC56+AC57</f>
      </c>
      <c r="AD58" s="25">
        <f>AD54+AD55+AD56+AD57</f>
      </c>
      <c r="AE58" s="25">
        <f>AE54+AE55+AE56+AE57</f>
      </c>
      <c r="AF58" s="25">
        <f>AF54+AF55+AF56+AF57</f>
      </c>
      <c r="AG58" s="25">
        <f>AG54+AG55+AG56+AG57</f>
      </c>
      <c r="AH58" s="25">
        <f>AH54+AH55+AH56+AH57</f>
      </c>
      <c r="AI58" s="25">
        <f>AI54+AI55+AI56+AI57</f>
      </c>
      <c r="AJ58" s="25">
        <f>AJ54+AJ55+AJ56+AJ57</f>
      </c>
      <c r="AK5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179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194</v>
      </c>
      <c r="K8" s="44" t="s">
        <v>195</v>
      </c>
      <c r="L8" s="44" t="s">
        <v>196</v>
      </c>
      <c r="M8" s="44" t="s">
        <v>197</v>
      </c>
      <c r="N8" s="44" t="s">
        <v>198</v>
      </c>
      <c r="O8" s="44" t="s">
        <v>199</v>
      </c>
      <c r="P8" s="44" t="s">
        <v>200</v>
      </c>
      <c r="Q8" s="44" t="s">
        <v>201</v>
      </c>
      <c r="R8" s="44" t="s">
        <v>202</v>
      </c>
      <c r="S8" s="44" t="s">
        <v>203</v>
      </c>
      <c r="T8" s="44" t="s">
        <v>204</v>
      </c>
      <c r="U8" s="44" t="s">
        <v>205</v>
      </c>
      <c r="V8" s="44" t="s">
        <v>206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179</v>
      </c>
      <c r="D14" s="50" t="s">
        <v>42</v>
      </c>
      <c r="E14" s="32" t="s">
        <v>3</v>
      </c>
      <c r="F14" s="32" t="s">
        <v>180</v>
      </c>
      <c r="G14" s="32"/>
      <c r="H14" s="32"/>
      <c r="I14" s="32"/>
      <c r="J14" s="32"/>
      <c r="K14" s="32"/>
      <c r="L14" s="32"/>
      <c r="M14" s="32"/>
      <c r="N14" s="32"/>
      <c r="O14" s="33">
        <f>0.00+41.42</f>
        <v>41.42</v>
      </c>
      <c r="P14" s="33">
        <v>34.49</v>
      </c>
      <c r="Q14" s="33">
        <v>36.13</v>
      </c>
      <c r="R14" s="33">
        <v>33.45</v>
      </c>
      <c r="S14" s="33">
        <v>31.89</v>
      </c>
      <c r="T14" s="33">
        <v>32.97</v>
      </c>
      <c r="U14" s="33">
        <v>29.6</v>
      </c>
      <c r="V14" s="33">
        <v>33.06</v>
      </c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179</v>
      </c>
      <c r="D15" s="50" t="s">
        <v>42</v>
      </c>
      <c r="E15" s="32" t="s">
        <v>3</v>
      </c>
      <c r="F15" s="32" t="s">
        <v>181</v>
      </c>
      <c r="G15" s="32"/>
      <c r="H15" s="32"/>
      <c r="I15" s="32"/>
      <c r="J15" s="32"/>
      <c r="K15" s="33">
        <f>521.90+140.10+521.90+140.10</f>
        <v>1324</v>
      </c>
      <c r="L15" s="32"/>
      <c r="M15" s="33">
        <f>112.84+521.90</f>
        <v>634.74</v>
      </c>
      <c r="N15" s="33">
        <f>132.31+521.90</f>
        <v>654.21</v>
      </c>
      <c r="O15" s="33">
        <f>121.57+522.01</f>
        <v>643.5799999999999</v>
      </c>
      <c r="P15" s="33">
        <f>206.86+522.09</f>
        <v>728.95</v>
      </c>
      <c r="Q15" s="33">
        <f>412.69+522.09</f>
        <v>934.78</v>
      </c>
      <c r="R15" s="33">
        <f>358.42+522.09</f>
        <v>880.51</v>
      </c>
      <c r="S15" s="33">
        <f>385.97+522.09</f>
        <v>908.0600000000001</v>
      </c>
      <c r="T15" s="33">
        <f>318.41+522.09</f>
        <v>840.5</v>
      </c>
      <c r="U15" s="33">
        <f>525.44+96.97</f>
        <v>622.4100000000001</v>
      </c>
      <c r="V15" s="33">
        <f>528.77+105.34</f>
        <v>634.11</v>
      </c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179</v>
      </c>
      <c r="D16" s="50" t="s">
        <v>42</v>
      </c>
      <c r="E16" s="32" t="s">
        <v>3</v>
      </c>
      <c r="F16" s="32" t="s">
        <v>182</v>
      </c>
      <c r="G16" s="32"/>
      <c r="H16" s="32"/>
      <c r="I16" s="32"/>
      <c r="J16" s="33">
        <v>26.97</v>
      </c>
      <c r="K16" s="33">
        <v>147.14</v>
      </c>
      <c r="L16" s="33">
        <v>110.48</v>
      </c>
      <c r="M16" s="33">
        <v>73.62</v>
      </c>
      <c r="N16" s="33">
        <v>27.02</v>
      </c>
      <c r="O16" s="33">
        <v>21.34</v>
      </c>
      <c r="P16" s="33">
        <v>73.54</v>
      </c>
      <c r="Q16" s="33">
        <v>271.82</v>
      </c>
      <c r="R16" s="33">
        <v>44.73</v>
      </c>
      <c r="S16" s="33">
        <v>21.34</v>
      </c>
      <c r="T16" s="33">
        <v>10.04</v>
      </c>
      <c r="U16" s="33">
        <v>21.34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179</v>
      </c>
      <c r="D17" s="50" t="s">
        <v>42</v>
      </c>
      <c r="E17" s="32" t="s">
        <v>3</v>
      </c>
      <c r="F17" s="32" t="s">
        <v>183</v>
      </c>
      <c r="G17" s="32"/>
      <c r="H17" s="32"/>
      <c r="I17" s="32"/>
      <c r="J17" s="33">
        <v>147.14</v>
      </c>
      <c r="K17" s="33">
        <v>98.51</v>
      </c>
      <c r="L17" s="33">
        <v>43.22</v>
      </c>
      <c r="M17" s="33">
        <v>55.29</v>
      </c>
      <c r="N17" s="33">
        <v>139.08</v>
      </c>
      <c r="O17" s="33">
        <v>230.91</v>
      </c>
      <c r="P17" s="33">
        <v>409.48</v>
      </c>
      <c r="Q17" s="33">
        <v>485.7</v>
      </c>
      <c r="R17" s="33">
        <v>459.58</v>
      </c>
      <c r="S17" s="33">
        <v>389.69</v>
      </c>
      <c r="T17" s="33">
        <v>155.18</v>
      </c>
      <c r="U17" s="33">
        <v>115.55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179</v>
      </c>
      <c r="D18" s="50" t="s">
        <v>42</v>
      </c>
      <c r="E18" s="32" t="s">
        <v>3</v>
      </c>
      <c r="F18" s="32" t="s">
        <v>184</v>
      </c>
      <c r="G18" s="32"/>
      <c r="H18" s="32"/>
      <c r="I18" s="32"/>
      <c r="J18" s="33">
        <v>110.18</v>
      </c>
      <c r="K18" s="33">
        <v>193.2</v>
      </c>
      <c r="L18" s="33">
        <v>153.61</v>
      </c>
      <c r="M18" s="33">
        <v>128.62</v>
      </c>
      <c r="N18" s="33">
        <v>94.89</v>
      </c>
      <c r="O18" s="33">
        <v>51.49</v>
      </c>
      <c r="P18" s="33">
        <v>56.74</v>
      </c>
      <c r="Q18" s="33">
        <v>168.84</v>
      </c>
      <c r="R18" s="33">
        <v>84.35</v>
      </c>
      <c r="S18" s="33">
        <v>65.55</v>
      </c>
      <c r="T18" s="33">
        <v>28.65</v>
      </c>
      <c r="U18" s="33">
        <v>38.42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179</v>
      </c>
      <c r="D19" s="50" t="s">
        <v>42</v>
      </c>
      <c r="E19" s="32" t="s">
        <v>3</v>
      </c>
      <c r="F19" s="32" t="s">
        <v>185</v>
      </c>
      <c r="G19" s="32"/>
      <c r="H19" s="32"/>
      <c r="I19" s="32"/>
      <c r="J19" s="33">
        <v>21.34</v>
      </c>
      <c r="K19" s="33">
        <v>25.09</v>
      </c>
      <c r="L19" s="33">
        <v>65.8</v>
      </c>
      <c r="M19" s="33">
        <f>13.25+0.00</f>
        <v>13.25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179</v>
      </c>
      <c r="D20" s="50" t="s">
        <v>42</v>
      </c>
      <c r="E20" s="32" t="s">
        <v>3</v>
      </c>
      <c r="F20" s="32" t="s">
        <v>186</v>
      </c>
      <c r="G20" s="32"/>
      <c r="H20" s="32"/>
      <c r="I20" s="32"/>
      <c r="J20" s="33">
        <v>21.34</v>
      </c>
      <c r="K20" s="33">
        <v>21.34</v>
      </c>
      <c r="L20" s="33">
        <v>21.34</v>
      </c>
      <c r="M20" s="33">
        <v>21.34</v>
      </c>
      <c r="N20" s="33">
        <v>21.34</v>
      </c>
      <c r="O20" s="33">
        <v>21.34</v>
      </c>
      <c r="P20" s="33">
        <v>21.34</v>
      </c>
      <c r="Q20" s="33">
        <v>21.34</v>
      </c>
      <c r="R20" s="33">
        <v>21.34</v>
      </c>
      <c r="S20" s="33">
        <v>21.34</v>
      </c>
      <c r="T20" s="33">
        <v>15.27</v>
      </c>
      <c r="U20" s="33">
        <v>21.34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179</v>
      </c>
      <c r="D21" s="50" t="s">
        <v>42</v>
      </c>
      <c r="E21" s="32" t="s">
        <v>3</v>
      </c>
      <c r="F21" s="32" t="s">
        <v>187</v>
      </c>
      <c r="G21" s="32"/>
      <c r="H21" s="32"/>
      <c r="I21" s="32"/>
      <c r="J21" s="32"/>
      <c r="K21" s="33">
        <f>48.11+29.35</f>
        <v>77.46000000000001</v>
      </c>
      <c r="L21" s="32"/>
      <c r="M21" s="33">
        <v>38.54</v>
      </c>
      <c r="N21" s="33">
        <f>21.34+0.00+14.34</f>
        <v>35.68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179</v>
      </c>
      <c r="D22" s="50" t="s">
        <v>42</v>
      </c>
      <c r="E22" s="32" t="s">
        <v>3</v>
      </c>
      <c r="F22" s="32" t="s">
        <v>188</v>
      </c>
      <c r="G22" s="32"/>
      <c r="H22" s="32"/>
      <c r="I22" s="32"/>
      <c r="J22" s="32"/>
      <c r="K22" s="33">
        <f>21.34+21.34</f>
        <v>42.68</v>
      </c>
      <c r="L22" s="33">
        <f>10.67+0.00</f>
        <v>10.67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179</v>
      </c>
      <c r="D23" s="50" t="s">
        <v>42</v>
      </c>
      <c r="E23" s="32" t="s">
        <v>3</v>
      </c>
      <c r="F23" s="32" t="s">
        <v>189</v>
      </c>
      <c r="G23" s="32"/>
      <c r="H23" s="32"/>
      <c r="I23" s="32"/>
      <c r="J23" s="33">
        <v>303.37</v>
      </c>
      <c r="K23" s="33">
        <v>312.14</v>
      </c>
      <c r="L23" s="33">
        <v>295.87</v>
      </c>
      <c r="M23" s="33">
        <v>314.78</v>
      </c>
      <c r="N23" s="33">
        <v>366.46</v>
      </c>
      <c r="O23" s="33">
        <v>373.45</v>
      </c>
      <c r="P23" s="33">
        <v>402.5</v>
      </c>
      <c r="Q23" s="33">
        <v>466.21</v>
      </c>
      <c r="R23" s="33">
        <v>413.69</v>
      </c>
      <c r="S23" s="33">
        <v>399.54</v>
      </c>
      <c r="T23" s="33">
        <v>256.27</v>
      </c>
      <c r="U23" s="33">
        <v>307.56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179</v>
      </c>
      <c r="D24" s="50" t="s">
        <v>42</v>
      </c>
      <c r="E24" s="32" t="s">
        <v>3</v>
      </c>
      <c r="F24" s="32" t="s">
        <v>190</v>
      </c>
      <c r="G24" s="32"/>
      <c r="H24" s="32"/>
      <c r="I24" s="32"/>
      <c r="J24" s="32"/>
      <c r="K24" s="32"/>
      <c r="L24" s="32"/>
      <c r="M24" s="32"/>
      <c r="N24" s="32"/>
      <c r="O24" s="33">
        <f>39.13+0.00</f>
        <v>39.13</v>
      </c>
      <c r="P24" s="33">
        <f>21.78+0.00</f>
        <v>21.78</v>
      </c>
      <c r="Q24" s="33">
        <v>38.83</v>
      </c>
      <c r="R24" s="33">
        <v>21.34</v>
      </c>
      <c r="S24" s="33">
        <v>21.34</v>
      </c>
      <c r="T24" s="33">
        <v>21.34</v>
      </c>
      <c r="U24" s="33">
        <v>21.34</v>
      </c>
      <c r="V24" s="33">
        <v>21.34</v>
      </c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179</v>
      </c>
      <c r="D25" s="50" t="s">
        <v>42</v>
      </c>
      <c r="E25" s="32" t="s">
        <v>3</v>
      </c>
      <c r="F25" s="32" t="s">
        <v>191</v>
      </c>
      <c r="G25" s="32"/>
      <c r="H25" s="32"/>
      <c r="I25" s="32"/>
      <c r="J25" s="32"/>
      <c r="K25" s="33">
        <f>29.35+77.58</f>
        <v>106.93</v>
      </c>
      <c r="L25" s="33">
        <f>35.57+0.00</f>
        <v>35.57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179</v>
      </c>
      <c r="D26" s="50" t="s">
        <v>42</v>
      </c>
      <c r="E26" s="32" t="s">
        <v>3</v>
      </c>
      <c r="F26" s="32" t="s">
        <v>192</v>
      </c>
      <c r="G26" s="32"/>
      <c r="H26" s="32"/>
      <c r="I26" s="32"/>
      <c r="J26" s="32"/>
      <c r="K26" s="32"/>
      <c r="L26" s="32"/>
      <c r="M26" s="33">
        <f>7.82+0.00</f>
        <v>7.82</v>
      </c>
      <c r="N26" s="33">
        <v>21.74</v>
      </c>
      <c r="O26" s="33">
        <v>21.68</v>
      </c>
      <c r="P26" s="33">
        <v>21.34</v>
      </c>
      <c r="Q26" s="33">
        <v>21.34</v>
      </c>
      <c r="R26" s="33">
        <v>21.34</v>
      </c>
      <c r="S26" s="33">
        <v>26.34</v>
      </c>
      <c r="T26" s="33">
        <v>21.34</v>
      </c>
      <c r="U26" s="33">
        <v>21.34</v>
      </c>
      <c r="V26" s="33">
        <v>21.34</v>
      </c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85</v>
      </c>
      <c r="E28" s="21"/>
      <c r="F28" s="21"/>
      <c r="G28" s="22">
        <f>SUM(G14:G26)</f>
      </c>
      <c r="H28" s="22">
        <f>SUM(H14:H26)</f>
      </c>
      <c r="I28" s="22">
        <f>SUM(I14:I26)</f>
      </c>
      <c r="J28" s="22">
        <f>SUM(J14:J26)</f>
      </c>
      <c r="K28" s="22">
        <f>SUM(K14:K26)</f>
      </c>
      <c r="L28" s="22">
        <f>SUM(L14:L26)</f>
      </c>
      <c r="M28" s="22">
        <f>SUM(M14:M26)</f>
      </c>
      <c r="N28" s="22">
        <f>SUM(N14:N26)</f>
      </c>
      <c r="O28" s="22">
        <f>SUM(O14:O26)</f>
      </c>
      <c r="P28" s="22">
        <f>SUM(P14:P26)</f>
      </c>
      <c r="Q28" s="22">
        <f>SUM(Q14:Q26)</f>
      </c>
      <c r="R28" s="22">
        <f>SUM(R14:R26)</f>
      </c>
      <c r="S28" s="22">
        <f>SUM(S14:S26)</f>
      </c>
      <c r="T28" s="22">
        <f>SUM(T14:T26)</f>
      </c>
      <c r="U28" s="22">
        <f>SUM(U14:U26)</f>
      </c>
      <c r="V28" s="22">
        <f>SUM(V14:V26)</f>
      </c>
      <c r="W28" s="22">
        <f>SUM(W14:W26)</f>
      </c>
      <c r="X28" s="22">
        <f>SUM(X14:X26)</f>
      </c>
      <c r="Y28" s="22">
        <f>SUM(Y14:Y26)</f>
      </c>
      <c r="Z28" s="22">
        <f>SUM(Z14:Z26)</f>
      </c>
      <c r="AA28" s="22">
        <f>SUM(AA14:AA26)</f>
      </c>
      <c r="AB28" s="22">
        <f>SUM(AB14:AB26)</f>
      </c>
      <c r="AC28" s="22">
        <f>SUM(AC14:AC26)</f>
      </c>
      <c r="AD28" s="22">
        <f>SUM(AD14:AD26)</f>
      </c>
      <c r="AE28" s="22">
        <f>SUM(AE14:AE26)</f>
      </c>
      <c r="AF28" s="22">
        <f>SUM(AF14:AF26)</f>
      </c>
      <c r="AG28" s="22">
        <f>SUM(AG14:AG26)</f>
      </c>
      <c r="AH28" s="22">
        <f>SUM(AH14:AH26)</f>
      </c>
      <c r="AI28" s="22">
        <f>SUM(AI14:AI26)</f>
      </c>
      <c r="AJ28" s="22">
        <f>SUM(AJ14:AJ26)</f>
      </c>
      <c r="AK28" s="22">
        <f>SUM(AK14:AK26)</f>
      </c>
      <c r="AL28" s="22">
        <f>SUM(AL14:AL26)</f>
      </c>
      <c r="AM28" s="23"/>
    </row>
    <row r="30" ht="13.5" customHeight="1" spans="2:39" x14ac:dyDescent="0.25">
      <c r="B30" s="46"/>
      <c r="C30" s="28"/>
      <c r="D30" s="47" t="s">
        <v>43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48" t="s">
        <v>3</v>
      </c>
      <c r="C31" s="49" t="s">
        <v>179</v>
      </c>
      <c r="D31" s="50" t="s">
        <v>43</v>
      </c>
      <c r="E31" s="32" t="s">
        <v>3</v>
      </c>
      <c r="F31" s="32" t="s">
        <v>193</v>
      </c>
      <c r="G31" s="32"/>
      <c r="H31" s="32"/>
      <c r="I31" s="32"/>
      <c r="J31" s="32"/>
      <c r="K31" s="33">
        <f>3036.95+1933.52</f>
        <v>4970.469999999999</v>
      </c>
      <c r="L31" s="33">
        <v>2178.02</v>
      </c>
      <c r="M31" s="33">
        <v>2317.73</v>
      </c>
      <c r="N31" s="33">
        <v>1692.42</v>
      </c>
      <c r="O31" s="33">
        <v>1098.72</v>
      </c>
      <c r="P31" s="32"/>
      <c r="Q31" s="33">
        <f>1354.82+1150.22</f>
        <v>2505.04</v>
      </c>
      <c r="R31" s="33">
        <f>1493.90+0.00</f>
        <v>1493.9</v>
      </c>
      <c r="S31" s="33">
        <v>1911.21</v>
      </c>
      <c r="T31" s="33">
        <v>2245.25</v>
      </c>
      <c r="U31" s="33">
        <v>2508.4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89</v>
      </c>
      <c r="E33" s="21"/>
      <c r="F33" s="21"/>
      <c r="G33" s="22">
        <f>SUM(G31:G31)</f>
      </c>
      <c r="H33" s="22">
        <f>SUM(H31:H31)</f>
      </c>
      <c r="I33" s="22">
        <f>SUM(I31:I31)</f>
      </c>
      <c r="J33" s="22">
        <f>SUM(J31:J31)</f>
      </c>
      <c r="K33" s="22">
        <f>SUM(K31:K31)</f>
      </c>
      <c r="L33" s="22">
        <f>SUM(L31:L31)</f>
      </c>
      <c r="M33" s="22">
        <f>SUM(M31:M31)</f>
      </c>
      <c r="N33" s="22">
        <f>SUM(N31:N31)</f>
      </c>
      <c r="O33" s="22">
        <f>SUM(O31:O31)</f>
      </c>
      <c r="P33" s="22">
        <f>SUM(P31:P31)</f>
      </c>
      <c r="Q33" s="22">
        <f>SUM(Q31:Q31)</f>
      </c>
      <c r="R33" s="22">
        <f>SUM(R31:R31)</f>
      </c>
      <c r="S33" s="22">
        <f>SUM(S31:S31)</f>
      </c>
      <c r="T33" s="22">
        <f>SUM(T31:T31)</f>
      </c>
      <c r="U33" s="22">
        <f>SUM(U31:U31)</f>
      </c>
      <c r="V33" s="22">
        <f>SUM(V31:V31)</f>
      </c>
      <c r="W33" s="22">
        <f>SUM(W31:W31)</f>
      </c>
      <c r="X33" s="22">
        <f>SUM(X31:X31)</f>
      </c>
      <c r="Y33" s="22">
        <f>SUM(Y31:Y31)</f>
      </c>
      <c r="Z33" s="22">
        <f>SUM(Z31:Z31)</f>
      </c>
      <c r="AA33" s="22">
        <f>SUM(AA31:AA31)</f>
      </c>
      <c r="AB33" s="22">
        <f>SUM(AB31:AB31)</f>
      </c>
      <c r="AC33" s="22">
        <f>SUM(AC31:AC31)</f>
      </c>
      <c r="AD33" s="22">
        <f>SUM(AD31:AD31)</f>
      </c>
      <c r="AE33" s="22">
        <f>SUM(AE31:AE31)</f>
      </c>
      <c r="AF33" s="22">
        <f>SUM(AF31:AF31)</f>
      </c>
      <c r="AG33" s="22">
        <f>SUM(AG31:AG31)</f>
      </c>
      <c r="AH33" s="22">
        <f>SUM(AH31:AH31)</f>
      </c>
      <c r="AI33" s="22">
        <f>SUM(AI31:AI31)</f>
      </c>
      <c r="AJ33" s="22">
        <f>SUM(AJ31:AJ31)</f>
      </c>
      <c r="AK33" s="22">
        <f>SUM(AK31:AK31)</f>
      </c>
      <c r="AL33" s="22">
        <f>SUM(AL31:AL31)</f>
      </c>
      <c r="AM33" s="23"/>
    </row>
    <row r="35" ht="13.5" customHeight="1" spans="2:39" x14ac:dyDescent="0.25">
      <c r="B35" s="46"/>
      <c r="C35" s="28"/>
      <c r="D35" s="47" t="s">
        <v>44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9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90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3"/>
    </row>
    <row r="40" ht="12.75" customHeight="1" spans="2:39" x14ac:dyDescent="0.25">
      <c r="B40" s="11" t="s">
        <v>40</v>
      </c>
      <c r="C40" s="12"/>
      <c r="D40" s="12"/>
      <c r="E40" s="12"/>
      <c r="F40" s="12"/>
      <c r="G40" s="52" t="s">
        <v>7</v>
      </c>
      <c r="H40" s="52" t="s">
        <v>8</v>
      </c>
      <c r="I40" s="52" t="s">
        <v>9</v>
      </c>
      <c r="J40" s="52" t="s">
        <v>10</v>
      </c>
      <c r="K40" s="52" t="s">
        <v>11</v>
      </c>
      <c r="L40" s="52" t="s">
        <v>12</v>
      </c>
      <c r="M40" s="52" t="s">
        <v>13</v>
      </c>
      <c r="N40" s="52" t="s">
        <v>14</v>
      </c>
      <c r="O40" s="52" t="s">
        <v>15</v>
      </c>
      <c r="P40" s="52" t="s">
        <v>16</v>
      </c>
      <c r="Q40" s="52" t="s">
        <v>17</v>
      </c>
      <c r="R40" s="52" t="s">
        <v>18</v>
      </c>
      <c r="S40" s="52" t="s">
        <v>19</v>
      </c>
      <c r="T40" s="52" t="s">
        <v>20</v>
      </c>
      <c r="U40" s="52" t="s">
        <v>21</v>
      </c>
      <c r="V40" s="52" t="s">
        <v>22</v>
      </c>
      <c r="W40" s="52" t="s">
        <v>23</v>
      </c>
      <c r="X40" s="52" t="s">
        <v>24</v>
      </c>
      <c r="Y40" s="52" t="s">
        <v>25</v>
      </c>
      <c r="Z40" s="52" t="s">
        <v>26</v>
      </c>
      <c r="AA40" s="52" t="s">
        <v>27</v>
      </c>
      <c r="AB40" s="52" t="s">
        <v>28</v>
      </c>
      <c r="AC40" s="52" t="s">
        <v>29</v>
      </c>
      <c r="AD40" s="52" t="s">
        <v>30</v>
      </c>
      <c r="AE40" s="52" t="s">
        <v>31</v>
      </c>
      <c r="AF40" s="52" t="s">
        <v>32</v>
      </c>
      <c r="AG40" s="52" t="s">
        <v>33</v>
      </c>
      <c r="AH40" s="52" t="s">
        <v>34</v>
      </c>
      <c r="AI40" s="52" t="s">
        <v>35</v>
      </c>
      <c r="AJ40" s="52" t="s">
        <v>36</v>
      </c>
      <c r="AK40" s="52" t="s">
        <v>37</v>
      </c>
      <c r="AL40" s="52" t="s">
        <v>38</v>
      </c>
      <c r="AM40" s="15"/>
    </row>
    <row r="41" ht="12.75" customHeight="1" spans="2:39" x14ac:dyDescent="0.25">
      <c r="B41" s="16"/>
      <c r="C41" s="17"/>
      <c r="D41" s="17" t="s">
        <v>41</v>
      </c>
      <c r="E41" s="17"/>
      <c r="F41" s="17"/>
      <c r="G41" s="18">
        <f>G11</f>
      </c>
      <c r="H41" s="18">
        <f>H11</f>
      </c>
      <c r="I41" s="18">
        <f>I11</f>
      </c>
      <c r="J41" s="18">
        <f>J11</f>
      </c>
      <c r="K41" s="18">
        <f>K11</f>
      </c>
      <c r="L41" s="18">
        <f>L11</f>
      </c>
      <c r="M41" s="18">
        <f>M11</f>
      </c>
      <c r="N41" s="18">
        <f>N11</f>
      </c>
      <c r="O41" s="18">
        <f>O11</f>
      </c>
      <c r="P41" s="18">
        <f>P11</f>
      </c>
      <c r="Q41" s="18">
        <f>Q11</f>
      </c>
      <c r="R41" s="18">
        <f>R11</f>
      </c>
      <c r="S41" s="18">
        <f>S11</f>
      </c>
      <c r="T41" s="18">
        <f>T11</f>
      </c>
      <c r="U41" s="18">
        <f>U11</f>
      </c>
      <c r="V41" s="18">
        <f>V11</f>
      </c>
      <c r="W41" s="18">
        <f>W11</f>
      </c>
      <c r="X41" s="18">
        <f>X11</f>
      </c>
      <c r="Y41" s="18">
        <f>Y11</f>
      </c>
      <c r="Z41" s="18">
        <f>Z11</f>
      </c>
      <c r="AA41" s="18">
        <f>AA11</f>
      </c>
      <c r="AB41" s="18">
        <f>AB11</f>
      </c>
      <c r="AC41" s="18">
        <f>AC11</f>
      </c>
      <c r="AD41" s="18">
        <f>AD11</f>
      </c>
      <c r="AE41" s="18">
        <f>AE11</f>
      </c>
      <c r="AF41" s="18">
        <f>AF11</f>
      </c>
      <c r="AG41" s="18">
        <f>AG11</f>
      </c>
      <c r="AH41" s="18">
        <f>AH11</f>
      </c>
      <c r="AI41" s="18">
        <f>AI11</f>
      </c>
      <c r="AJ41" s="18">
        <f>AJ11</f>
      </c>
      <c r="AK41" s="18">
        <f>AK11</f>
      </c>
      <c r="AL41" s="18">
        <f>AL11</f>
      </c>
      <c r="AM41" s="19"/>
    </row>
    <row r="42" ht="12.75" customHeight="1" spans="2:39" x14ac:dyDescent="0.25">
      <c r="B42" s="16"/>
      <c r="C42" s="17"/>
      <c r="D42" s="17" t="s">
        <v>42</v>
      </c>
      <c r="E42" s="17"/>
      <c r="F42" s="17"/>
      <c r="G42" s="18">
        <f>G28</f>
      </c>
      <c r="H42" s="18">
        <f>H28</f>
      </c>
      <c r="I42" s="18">
        <f>I28</f>
      </c>
      <c r="J42" s="18">
        <f>J28</f>
      </c>
      <c r="K42" s="18">
        <f>K28</f>
      </c>
      <c r="L42" s="18">
        <f>L28</f>
      </c>
      <c r="M42" s="18">
        <f>M28</f>
      </c>
      <c r="N42" s="18">
        <f>N28</f>
      </c>
      <c r="O42" s="18">
        <f>O28</f>
      </c>
      <c r="P42" s="18">
        <f>P28</f>
      </c>
      <c r="Q42" s="18">
        <f>Q28</f>
      </c>
      <c r="R42" s="18">
        <f>R28</f>
      </c>
      <c r="S42" s="18">
        <f>S28</f>
      </c>
      <c r="T42" s="18">
        <f>T28</f>
      </c>
      <c r="U42" s="18">
        <f>U28</f>
      </c>
      <c r="V42" s="18">
        <f>V28</f>
      </c>
      <c r="W42" s="18">
        <f>W28</f>
      </c>
      <c r="X42" s="18">
        <f>X28</f>
      </c>
      <c r="Y42" s="18">
        <f>Y28</f>
      </c>
      <c r="Z42" s="18">
        <f>Z28</f>
      </c>
      <c r="AA42" s="18">
        <f>AA28</f>
      </c>
      <c r="AB42" s="18">
        <f>AB28</f>
      </c>
      <c r="AC42" s="18">
        <f>AC28</f>
      </c>
      <c r="AD42" s="18">
        <f>AD28</f>
      </c>
      <c r="AE42" s="18">
        <f>AE28</f>
      </c>
      <c r="AF42" s="18">
        <f>AF28</f>
      </c>
      <c r="AG42" s="18">
        <f>AG28</f>
      </c>
      <c r="AH42" s="18">
        <f>AH28</f>
      </c>
      <c r="AI42" s="18">
        <f>AI28</f>
      </c>
      <c r="AJ42" s="18">
        <f>AJ28</f>
      </c>
      <c r="AK42" s="18">
        <f>AK28</f>
      </c>
      <c r="AL42" s="18">
        <f>AL28</f>
      </c>
      <c r="AM42" s="19"/>
    </row>
    <row r="43" ht="12.75" customHeight="1" spans="2:39" x14ac:dyDescent="0.25">
      <c r="B43" s="16"/>
      <c r="C43" s="17"/>
      <c r="D43" s="17" t="s">
        <v>43</v>
      </c>
      <c r="E43" s="17"/>
      <c r="F43" s="17"/>
      <c r="G43" s="18">
        <f>G33</f>
      </c>
      <c r="H43" s="18">
        <f>H33</f>
      </c>
      <c r="I43" s="18">
        <f>I33</f>
      </c>
      <c r="J43" s="18">
        <f>J33</f>
      </c>
      <c r="K43" s="18">
        <f>K33</f>
      </c>
      <c r="L43" s="18">
        <f>L33</f>
      </c>
      <c r="M43" s="18">
        <f>M33</f>
      </c>
      <c r="N43" s="18">
        <f>N33</f>
      </c>
      <c r="O43" s="18">
        <f>O33</f>
      </c>
      <c r="P43" s="18">
        <f>P33</f>
      </c>
      <c r="Q43" s="18">
        <f>Q33</f>
      </c>
      <c r="R43" s="18">
        <f>R33</f>
      </c>
      <c r="S43" s="18">
        <f>S33</f>
      </c>
      <c r="T43" s="18">
        <f>T33</f>
      </c>
      <c r="U43" s="18">
        <f>U33</f>
      </c>
      <c r="V43" s="18">
        <f>V33</f>
      </c>
      <c r="W43" s="18">
        <f>W33</f>
      </c>
      <c r="X43" s="18">
        <f>X33</f>
      </c>
      <c r="Y43" s="18">
        <f>Y33</f>
      </c>
      <c r="Z43" s="18">
        <f>Z33</f>
      </c>
      <c r="AA43" s="18">
        <f>AA33</f>
      </c>
      <c r="AB43" s="18">
        <f>AB33</f>
      </c>
      <c r="AC43" s="18">
        <f>AC33</f>
      </c>
      <c r="AD43" s="18">
        <f>AD33</f>
      </c>
      <c r="AE43" s="18">
        <f>AE33</f>
      </c>
      <c r="AF43" s="18">
        <f>AF33</f>
      </c>
      <c r="AG43" s="18">
        <f>AG33</f>
      </c>
      <c r="AH43" s="18">
        <f>AH33</f>
      </c>
      <c r="AI43" s="18">
        <f>AI33</f>
      </c>
      <c r="AJ43" s="18">
        <f>AJ33</f>
      </c>
      <c r="AK43" s="18">
        <f>AK33</f>
      </c>
      <c r="AL43" s="18">
        <f>AL33</f>
      </c>
      <c r="AM43" s="19"/>
    </row>
    <row r="44" ht="12.75" customHeight="1" spans="2:39" x14ac:dyDescent="0.25">
      <c r="B44" s="16"/>
      <c r="C44" s="17"/>
      <c r="D44" s="17" t="s">
        <v>44</v>
      </c>
      <c r="E44" s="17"/>
      <c r="F44" s="17"/>
      <c r="G44" s="18">
        <f>G37</f>
      </c>
      <c r="H44" s="18">
        <f>H37</f>
      </c>
      <c r="I44" s="18">
        <f>I37</f>
      </c>
      <c r="J44" s="18">
        <f>J37</f>
      </c>
      <c r="K44" s="18">
        <f>K37</f>
      </c>
      <c r="L44" s="18">
        <f>L37</f>
      </c>
      <c r="M44" s="18">
        <f>M37</f>
      </c>
      <c r="N44" s="18">
        <f>N37</f>
      </c>
      <c r="O44" s="18">
        <f>O37</f>
      </c>
      <c r="P44" s="18">
        <f>P37</f>
      </c>
      <c r="Q44" s="18">
        <f>Q37</f>
      </c>
      <c r="R44" s="18">
        <f>R37</f>
      </c>
      <c r="S44" s="18">
        <f>S37</f>
      </c>
      <c r="T44" s="18">
        <f>T37</f>
      </c>
      <c r="U44" s="18">
        <f>U37</f>
      </c>
      <c r="V44" s="18">
        <f>V37</f>
      </c>
      <c r="W44" s="18">
        <f>W37</f>
      </c>
      <c r="X44" s="18">
        <f>X37</f>
      </c>
      <c r="Y44" s="18">
        <f>Y37</f>
      </c>
      <c r="Z44" s="18">
        <f>Z37</f>
      </c>
      <c r="AA44" s="18">
        <f>AA37</f>
      </c>
      <c r="AB44" s="18">
        <f>AB37</f>
      </c>
      <c r="AC44" s="18">
        <f>AC37</f>
      </c>
      <c r="AD44" s="18">
        <f>AD37</f>
      </c>
      <c r="AE44" s="18">
        <f>AE37</f>
      </c>
      <c r="AF44" s="18">
        <f>AF37</f>
      </c>
      <c r="AG44" s="18">
        <f>AG37</f>
      </c>
      <c r="AH44" s="18">
        <f>AH37</f>
      </c>
      <c r="AI44" s="18">
        <f>AI37</f>
      </c>
      <c r="AJ44" s="18">
        <f>AJ37</f>
      </c>
      <c r="AK44" s="18">
        <f>AK37</f>
      </c>
      <c r="AL44" s="18">
        <f>AL37</f>
      </c>
      <c r="AM44" s="19"/>
    </row>
    <row r="45" ht="12.75" customHeight="1" spans="2:39" x14ac:dyDescent="0.25">
      <c r="B45" s="20"/>
      <c r="C45" s="21"/>
      <c r="D45" s="21" t="s">
        <v>45</v>
      </c>
      <c r="E45" s="21"/>
      <c r="F45" s="21"/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2">
        <f>AK41+AK42+AK43+AK44</f>
      </c>
      <c r="AL45" s="22">
        <f>AL41+AL42+AL43+AL44</f>
      </c>
      <c r="AM45" s="23"/>
    </row>
    <row r="47" ht="12.75" customHeight="1" spans="2:39" x14ac:dyDescent="0.25">
      <c r="B47" s="11" t="s">
        <v>46</v>
      </c>
      <c r="C47" s="12"/>
      <c r="D47" s="12"/>
      <c r="E47" s="12"/>
      <c r="F47" s="12"/>
      <c r="G47" s="52" t="s">
        <v>7</v>
      </c>
      <c r="H47" s="52" t="s">
        <v>8</v>
      </c>
      <c r="I47" s="52" t="s">
        <v>9</v>
      </c>
      <c r="J47" s="52" t="s">
        <v>10</v>
      </c>
      <c r="K47" s="52" t="s">
        <v>11</v>
      </c>
      <c r="L47" s="52" t="s">
        <v>12</v>
      </c>
      <c r="M47" s="52" t="s">
        <v>13</v>
      </c>
      <c r="N47" s="52" t="s">
        <v>14</v>
      </c>
      <c r="O47" s="52" t="s">
        <v>15</v>
      </c>
      <c r="P47" s="52" t="s">
        <v>16</v>
      </c>
      <c r="Q47" s="52" t="s">
        <v>17</v>
      </c>
      <c r="R47" s="52" t="s">
        <v>18</v>
      </c>
      <c r="S47" s="52" t="s">
        <v>19</v>
      </c>
      <c r="T47" s="52" t="s">
        <v>20</v>
      </c>
      <c r="U47" s="52" t="s">
        <v>21</v>
      </c>
      <c r="V47" s="52" t="s">
        <v>22</v>
      </c>
      <c r="W47" s="52" t="s">
        <v>23</v>
      </c>
      <c r="X47" s="52" t="s">
        <v>24</v>
      </c>
      <c r="Y47" s="52" t="s">
        <v>25</v>
      </c>
      <c r="Z47" s="52" t="s">
        <v>26</v>
      </c>
      <c r="AA47" s="52" t="s">
        <v>27</v>
      </c>
      <c r="AB47" s="52" t="s">
        <v>28</v>
      </c>
      <c r="AC47" s="52" t="s">
        <v>29</v>
      </c>
      <c r="AD47" s="52" t="s">
        <v>30</v>
      </c>
      <c r="AE47" s="52" t="s">
        <v>31</v>
      </c>
      <c r="AF47" s="52" t="s">
        <v>32</v>
      </c>
      <c r="AG47" s="52" t="s">
        <v>33</v>
      </c>
      <c r="AH47" s="52" t="s">
        <v>34</v>
      </c>
      <c r="AI47" s="52" t="s">
        <v>35</v>
      </c>
      <c r="AJ47" s="52" t="s">
        <v>36</v>
      </c>
      <c r="AK47" s="52" t="s">
        <v>37</v>
      </c>
      <c r="AL47" s="52" t="s">
        <v>38</v>
      </c>
      <c r="AM47" s="15"/>
    </row>
    <row r="48" ht="12.75" customHeight="1" spans="2:39" x14ac:dyDescent="0.25">
      <c r="B48" s="16"/>
      <c r="C48" s="17"/>
      <c r="D48" s="17" t="s">
        <v>41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16"/>
      <c r="C49" s="17"/>
      <c r="D49" s="17" t="s">
        <v>42</v>
      </c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9"/>
    </row>
    <row r="50" ht="12.75" customHeight="1" spans="2:39" x14ac:dyDescent="0.25">
      <c r="B50" s="16"/>
      <c r="C50" s="17"/>
      <c r="D50" s="17" t="s">
        <v>43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16"/>
      <c r="C51" s="17"/>
      <c r="D51" s="17" t="s">
        <v>44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20"/>
      <c r="C52" s="21"/>
      <c r="D52" s="21" t="s">
        <v>45</v>
      </c>
      <c r="E52" s="21"/>
      <c r="F52" s="21"/>
      <c r="G52" s="22">
        <f>G48+G49+G50+G51</f>
      </c>
      <c r="H52" s="22">
        <f>H48+H49+H50+H51</f>
      </c>
      <c r="I52" s="22">
        <f>I48+I49+I50+I51</f>
      </c>
      <c r="J52" s="22">
        <f>J48+J49+J50+J51</f>
      </c>
      <c r="K52" s="22">
        <f>K48+K49+K50+K51</f>
      </c>
      <c r="L52" s="22">
        <f>L48+L49+L50+L51</f>
      </c>
      <c r="M52" s="22">
        <f>M48+M49+M50+M51</f>
      </c>
      <c r="N52" s="22">
        <f>N48+N49+N50+N51</f>
      </c>
      <c r="O52" s="22">
        <f>O48+O49+O50+O51</f>
      </c>
      <c r="P52" s="22">
        <f>P48+P49+P50+P51</f>
      </c>
      <c r="Q52" s="22">
        <f>Q48+Q49+Q50+Q51</f>
      </c>
      <c r="R52" s="22">
        <f>R48+R49+R50+R51</f>
      </c>
      <c r="S52" s="22">
        <f>S48+S49+S50+S51</f>
      </c>
      <c r="T52" s="22">
        <f>T48+T49+T50+T51</f>
      </c>
      <c r="U52" s="22">
        <f>U48+U49+U50+U51</f>
      </c>
      <c r="V52" s="22">
        <f>V48+V49+V50+V51</f>
      </c>
      <c r="W52" s="22">
        <f>W48+W49+W50+W51</f>
      </c>
      <c r="X52" s="22">
        <f>X48+X49+X50+X51</f>
      </c>
      <c r="Y52" s="22">
        <f>Y48+Y49+Y50+Y51</f>
      </c>
      <c r="Z52" s="22">
        <f>Z48+Z49+Z50+Z51</f>
      </c>
      <c r="AA52" s="22">
        <f>AA48+AA49+AA50+AA51</f>
      </c>
      <c r="AB52" s="22">
        <f>AB48+AB49+AB50+AB51</f>
      </c>
      <c r="AC52" s="22">
        <f>AC48+AC49+AC50+AC51</f>
      </c>
      <c r="AD52" s="22">
        <f>AD48+AD49+AD50+AD51</f>
      </c>
      <c r="AE52" s="22">
        <f>AE48+AE49+AE50+AE51</f>
      </c>
      <c r="AF52" s="22">
        <f>AF48+AF49+AF50+AF51</f>
      </c>
      <c r="AG52" s="22">
        <f>AG48+AG49+AG50+AG51</f>
      </c>
      <c r="AH52" s="22">
        <f>AH48+AH49+AH50+AH51</f>
      </c>
      <c r="AI52" s="22">
        <f>AI48+AI49+AI50+AI51</f>
      </c>
      <c r="AJ52" s="22">
        <f>AJ48+AJ49+AJ50+AJ51</f>
      </c>
      <c r="AK52" s="22">
        <f>AK48+AK49+AK50+AK51</f>
      </c>
      <c r="AL52" s="22">
        <f>AL48+AL49+AL50+AL51</f>
      </c>
      <c r="AM52" s="23"/>
    </row>
    <row r="54" ht="12.75" customHeight="1" spans="2:39" x14ac:dyDescent="0.25">
      <c r="B54" s="11" t="s">
        <v>47</v>
      </c>
      <c r="C54" s="12"/>
      <c r="D54" s="12"/>
      <c r="E54" s="12"/>
      <c r="F54" s="12"/>
      <c r="G54" s="52" t="s">
        <v>7</v>
      </c>
      <c r="H54" s="52" t="s">
        <v>8</v>
      </c>
      <c r="I54" s="52" t="s">
        <v>9</v>
      </c>
      <c r="J54" s="52" t="s">
        <v>10</v>
      </c>
      <c r="K54" s="52" t="s">
        <v>11</v>
      </c>
      <c r="L54" s="52" t="s">
        <v>12</v>
      </c>
      <c r="M54" s="52" t="s">
        <v>13</v>
      </c>
      <c r="N54" s="52" t="s">
        <v>14</v>
      </c>
      <c r="O54" s="52" t="s">
        <v>15</v>
      </c>
      <c r="P54" s="52" t="s">
        <v>16</v>
      </c>
      <c r="Q54" s="52" t="s">
        <v>17</v>
      </c>
      <c r="R54" s="52" t="s">
        <v>18</v>
      </c>
      <c r="S54" s="52" t="s">
        <v>19</v>
      </c>
      <c r="T54" s="52" t="s">
        <v>20</v>
      </c>
      <c r="U54" s="52" t="s">
        <v>21</v>
      </c>
      <c r="V54" s="52" t="s">
        <v>22</v>
      </c>
      <c r="W54" s="52" t="s">
        <v>23</v>
      </c>
      <c r="X54" s="52" t="s">
        <v>24</v>
      </c>
      <c r="Y54" s="52" t="s">
        <v>25</v>
      </c>
      <c r="Z54" s="52" t="s">
        <v>26</v>
      </c>
      <c r="AA54" s="52" t="s">
        <v>27</v>
      </c>
      <c r="AB54" s="52" t="s">
        <v>28</v>
      </c>
      <c r="AC54" s="52" t="s">
        <v>29</v>
      </c>
      <c r="AD54" s="52" t="s">
        <v>30</v>
      </c>
      <c r="AE54" s="52" t="s">
        <v>31</v>
      </c>
      <c r="AF54" s="52" t="s">
        <v>32</v>
      </c>
      <c r="AG54" s="52" t="s">
        <v>33</v>
      </c>
      <c r="AH54" s="52" t="s">
        <v>34</v>
      </c>
      <c r="AI54" s="52" t="s">
        <v>35</v>
      </c>
      <c r="AJ54" s="52" t="s">
        <v>36</v>
      </c>
      <c r="AK54" s="52" t="s">
        <v>37</v>
      </c>
      <c r="AL54" s="52" t="s">
        <v>38</v>
      </c>
      <c r="AM54" s="15"/>
    </row>
    <row r="55" ht="12.75" customHeight="1" spans="2:39" x14ac:dyDescent="0.25">
      <c r="B55" s="16"/>
      <c r="C55" s="17"/>
      <c r="D55" s="17" t="s">
        <v>41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16"/>
      <c r="C56" s="17"/>
      <c r="D56" s="17" t="s">
        <v>42</v>
      </c>
      <c r="E56" s="17"/>
      <c r="F56" s="17"/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24">
        <f>AK49-AK42</f>
      </c>
      <c r="AL56" s="24">
        <f>AL49-AL42</f>
      </c>
      <c r="AM56" s="19"/>
    </row>
    <row r="57" ht="12.75" customHeight="1" spans="2:39" x14ac:dyDescent="0.25">
      <c r="B57" s="16"/>
      <c r="C57" s="17"/>
      <c r="D57" s="17" t="s">
        <v>43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16"/>
      <c r="C58" s="17"/>
      <c r="D58" s="17" t="s">
        <v>44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20"/>
      <c r="C59" s="21"/>
      <c r="D59" s="21" t="s">
        <v>45</v>
      </c>
      <c r="E59" s="21"/>
      <c r="F59" s="21"/>
      <c r="G59" s="25">
        <f>G55+G56+G57+G58</f>
      </c>
      <c r="H59" s="25">
        <f>H55+H56+H57+H58</f>
      </c>
      <c r="I59" s="25">
        <f>I55+I56+I57+I58</f>
      </c>
      <c r="J59" s="25">
        <f>J55+J56+J57+J58</f>
      </c>
      <c r="K59" s="25">
        <f>K55+K56+K57+K58</f>
      </c>
      <c r="L59" s="25">
        <f>L55+L56+L57+L58</f>
      </c>
      <c r="M59" s="25">
        <f>M55+M56+M57+M58</f>
      </c>
      <c r="N59" s="25">
        <f>N55+N56+N57+N58</f>
      </c>
      <c r="O59" s="25">
        <f>O55+O56+O57+O58</f>
      </c>
      <c r="P59" s="25">
        <f>P55+P56+P57+P58</f>
      </c>
      <c r="Q59" s="25">
        <f>Q55+Q56+Q57+Q58</f>
      </c>
      <c r="R59" s="25">
        <f>R55+R56+R57+R58</f>
      </c>
      <c r="S59" s="25">
        <f>S55+S56+S57+S58</f>
      </c>
      <c r="T59" s="25">
        <f>T55+T56+T57+T58</f>
      </c>
      <c r="U59" s="25">
        <f>U55+U56+U57+U58</f>
      </c>
      <c r="V59" s="25">
        <f>V55+V56+V57+V58</f>
      </c>
      <c r="W59" s="25">
        <f>W55+W56+W57+W58</f>
      </c>
      <c r="X59" s="25">
        <f>X55+X56+X57+X58</f>
      </c>
      <c r="Y59" s="25">
        <f>Y55+Y56+Y57+Y58</f>
      </c>
      <c r="Z59" s="25">
        <f>Z55+Z56+Z57+Z58</f>
      </c>
      <c r="AA59" s="25">
        <f>AA55+AA56+AA57+AA58</f>
      </c>
      <c r="AB59" s="25">
        <f>AB55+AB56+AB57+AB58</f>
      </c>
      <c r="AC59" s="25">
        <f>AC55+AC56+AC57+AC58</f>
      </c>
      <c r="AD59" s="25">
        <f>AD55+AD56+AD57+AD58</f>
      </c>
      <c r="AE59" s="25">
        <f>AE55+AE56+AE57+AE58</f>
      </c>
      <c r="AF59" s="25">
        <f>AF55+AF56+AF57+AF58</f>
      </c>
      <c r="AG59" s="25">
        <f>AG55+AG56+AG57+AG58</f>
      </c>
      <c r="AH59" s="25">
        <f>AH55+AH56+AH57+AH58</f>
      </c>
      <c r="AI59" s="25">
        <f>AI55+AI56+AI57+AI58</f>
      </c>
      <c r="AJ59" s="25">
        <f>AJ55+AJ56+AJ57+AJ58</f>
      </c>
      <c r="AK59" s="25">
        <f>AK55+AK56+AK57+AK58</f>
      </c>
      <c r="AL59" s="25">
        <f>AL55+AL56+AL57+AL58</f>
      </c>
      <c r="AM5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207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208</v>
      </c>
      <c r="E13" s="32"/>
      <c r="F13" s="32"/>
      <c r="G13" s="32"/>
      <c r="H13" s="32"/>
      <c r="I13" s="33">
        <v>116.28</v>
      </c>
      <c r="J13" s="33">
        <v>97.57</v>
      </c>
      <c r="K13" s="33">
        <v>99.33</v>
      </c>
      <c r="L13" s="33">
        <v>91.15</v>
      </c>
      <c r="M13" s="33">
        <v>85.34</v>
      </c>
      <c r="N13" s="33">
        <v>75.15</v>
      </c>
      <c r="O13" s="33">
        <v>69.61</v>
      </c>
      <c r="P13" s="33">
        <v>65.93</v>
      </c>
      <c r="Q13" s="33">
        <v>72.15</v>
      </c>
      <c r="R13" s="33">
        <v>65.79</v>
      </c>
      <c r="S13" s="33">
        <v>65.37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209</v>
      </c>
      <c r="E14" s="32"/>
      <c r="F14" s="32"/>
      <c r="G14" s="32"/>
      <c r="H14" s="32"/>
      <c r="I14" s="33">
        <v>649.6</v>
      </c>
      <c r="J14" s="33">
        <v>587.8</v>
      </c>
      <c r="K14" s="33">
        <v>499.49</v>
      </c>
      <c r="L14" s="33">
        <v>463.45</v>
      </c>
      <c r="M14" s="33">
        <v>502.74</v>
      </c>
      <c r="N14" s="33">
        <v>501.02</v>
      </c>
      <c r="O14" s="33">
        <v>491.8</v>
      </c>
      <c r="P14" s="33">
        <v>480.52</v>
      </c>
      <c r="Q14" s="33">
        <v>574.87</v>
      </c>
      <c r="R14" s="33">
        <v>548.34</v>
      </c>
      <c r="S14" s="33">
        <v>545.95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210</v>
      </c>
      <c r="E15" s="32"/>
      <c r="F15" s="32"/>
      <c r="G15" s="32"/>
      <c r="H15" s="32"/>
      <c r="I15" s="33">
        <v>32.31</v>
      </c>
      <c r="J15" s="33">
        <v>32.11</v>
      </c>
      <c r="K15" s="33">
        <v>32.31</v>
      </c>
      <c r="L15" s="33">
        <v>32.11</v>
      </c>
      <c r="M15" s="33">
        <v>32.28</v>
      </c>
      <c r="N15" s="33">
        <v>32.18</v>
      </c>
      <c r="O15" s="33">
        <v>32.18</v>
      </c>
      <c r="P15" s="33">
        <v>32.18</v>
      </c>
      <c r="Q15" s="33">
        <v>32.31</v>
      </c>
      <c r="R15" s="33">
        <v>33.3</v>
      </c>
      <c r="S15" s="33">
        <v>32.18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211</v>
      </c>
      <c r="E16" s="32"/>
      <c r="F16" s="32"/>
      <c r="G16" s="32"/>
      <c r="H16" s="32"/>
      <c r="I16" s="33">
        <v>256.35</v>
      </c>
      <c r="J16" s="33">
        <v>214.77</v>
      </c>
      <c r="K16" s="33">
        <v>221.09</v>
      </c>
      <c r="L16" s="33">
        <v>223.17</v>
      </c>
      <c r="M16" s="33">
        <v>227.7</v>
      </c>
      <c r="N16" s="33">
        <v>228.38</v>
      </c>
      <c r="O16" s="33">
        <v>216.36</v>
      </c>
      <c r="P16" s="33">
        <v>198.6</v>
      </c>
      <c r="Q16" s="33">
        <v>171.68</v>
      </c>
      <c r="R16" s="33">
        <v>101.49</v>
      </c>
      <c r="S16" s="33">
        <v>86.89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212</v>
      </c>
      <c r="E17" s="32"/>
      <c r="F17" s="32"/>
      <c r="G17" s="32"/>
      <c r="H17" s="32"/>
      <c r="I17" s="33">
        <v>262.2</v>
      </c>
      <c r="J17" s="33">
        <v>219.2</v>
      </c>
      <c r="K17" s="33">
        <v>302.41</v>
      </c>
      <c r="L17" s="33">
        <v>318.64</v>
      </c>
      <c r="M17" s="33">
        <v>452.39</v>
      </c>
      <c r="N17" s="33">
        <v>572.73</v>
      </c>
      <c r="O17" s="33">
        <v>586.05</v>
      </c>
      <c r="P17" s="33">
        <v>637.96</v>
      </c>
      <c r="Q17" s="33">
        <v>629.3</v>
      </c>
      <c r="R17" s="33">
        <v>574.71</v>
      </c>
      <c r="S17" s="33">
        <v>414.38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7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40"/>
    </row>
    <row r="19" ht="12.75" customHeight="1" spans="2:37" x14ac:dyDescent="0.25">
      <c r="B19" s="20" t="s">
        <v>85</v>
      </c>
      <c r="C19" s="21"/>
      <c r="D19" s="21"/>
      <c r="E19" s="22">
        <f>SUM(E13:E17)</f>
      </c>
      <c r="F19" s="22">
        <f>SUM(F13:F17)</f>
      </c>
      <c r="G19" s="22">
        <f>SUM(G13:G17)</f>
      </c>
      <c r="H19" s="22">
        <f>SUM(H13:H17)</f>
      </c>
      <c r="I19" s="22">
        <f>SUM(I13:I17)</f>
      </c>
      <c r="J19" s="22">
        <f>SUM(J13:J17)</f>
      </c>
      <c r="K19" s="22">
        <f>SUM(K13:K17)</f>
      </c>
      <c r="L19" s="22">
        <f>SUM(L13:L17)</f>
      </c>
      <c r="M19" s="22">
        <f>SUM(M13:M17)</f>
      </c>
      <c r="N19" s="22">
        <f>SUM(N13:N17)</f>
      </c>
      <c r="O19" s="22">
        <f>SUM(O13:O17)</f>
      </c>
      <c r="P19" s="22">
        <f>SUM(P13:P17)</f>
      </c>
      <c r="Q19" s="22">
        <f>SUM(Q13:Q17)</f>
      </c>
      <c r="R19" s="22">
        <f>SUM(R13:R17)</f>
      </c>
      <c r="S19" s="22">
        <f>SUM(S13:S17)</f>
      </c>
      <c r="T19" s="22">
        <f>SUM(T13:T17)</f>
      </c>
      <c r="U19" s="22">
        <f>SUM(U13:U17)</f>
      </c>
      <c r="V19" s="22">
        <f>SUM(V13:V17)</f>
      </c>
      <c r="W19" s="22">
        <f>SUM(W13:W17)</f>
      </c>
      <c r="X19" s="22">
        <f>SUM(X13:X17)</f>
      </c>
      <c r="Y19" s="22">
        <f>SUM(Y13:Y17)</f>
      </c>
      <c r="Z19" s="22">
        <f>SUM(Z13:Z17)</f>
      </c>
      <c r="AA19" s="22">
        <f>SUM(AA13:AA17)</f>
      </c>
      <c r="AB19" s="22">
        <f>SUM(AB13:AB17)</f>
      </c>
      <c r="AC19" s="22">
        <f>SUM(AC13:AC17)</f>
      </c>
      <c r="AD19" s="22">
        <f>SUM(AD13:AD17)</f>
      </c>
      <c r="AE19" s="22">
        <f>SUM(AE13:AE17)</f>
      </c>
      <c r="AF19" s="22">
        <f>SUM(AF13:AF17)</f>
      </c>
      <c r="AG19" s="22">
        <f>SUM(AG13:AG17)</f>
      </c>
      <c r="AH19" s="22">
        <f>SUM(AH13:AH17)</f>
      </c>
      <c r="AI19" s="22">
        <f>SUM(AI13:AI17)</f>
      </c>
      <c r="AJ19" s="22">
        <f>SUM(AJ13:AJ17)</f>
      </c>
      <c r="AK19" s="23"/>
    </row>
    <row r="21" ht="12.75" customHeight="1" spans="2:37" x14ac:dyDescent="0.25">
      <c r="B21" s="26" t="s">
        <v>43</v>
      </c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9"/>
    </row>
    <row r="22" ht="12.75" customHeight="1" spans="2:37" x14ac:dyDescent="0.25">
      <c r="B22" s="30" t="s">
        <v>43</v>
      </c>
      <c r="C22" s="31" t="s">
        <v>3</v>
      </c>
      <c r="D22" s="32" t="s">
        <v>213</v>
      </c>
      <c r="E22" s="32"/>
      <c r="F22" s="32"/>
      <c r="G22" s="32"/>
      <c r="H22" s="36">
        <f>68037.00+4131.63+43954.75</f>
        <v>116123.38</v>
      </c>
      <c r="I22" s="32"/>
      <c r="J22" s="36">
        <f>70485.07+3780.00+39142.38</f>
        <v>113407.45000000001</v>
      </c>
      <c r="K22" s="32"/>
      <c r="L22" s="36">
        <f>67062.46+4131.31+43325.17</f>
        <v>114518.94</v>
      </c>
      <c r="M22" s="32"/>
      <c r="N22" s="36">
        <f>67268.19+4131.38+43458.06</f>
        <v>114857.63</v>
      </c>
      <c r="O22" s="32"/>
      <c r="P22" s="36">
        <f>75915.87+4133.92+49044.82</f>
        <v>129094.60999999999</v>
      </c>
      <c r="Q22" s="32"/>
      <c r="R22" s="36">
        <f>56092.17+3910.33+36248.09</f>
        <v>96250.59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89</v>
      </c>
      <c r="C24" s="21"/>
      <c r="D24" s="21"/>
      <c r="E24" s="22">
        <f>SUM(E22:E22)</f>
      </c>
      <c r="F24" s="22">
        <f>SUM(F22:F22)</f>
      </c>
      <c r="G24" s="22">
        <f>SUM(G22:G22)</f>
      </c>
      <c r="H24" s="22">
        <f>SUM(H22:H22)</f>
      </c>
      <c r="I24" s="22">
        <f>SUM(I22:I22)</f>
      </c>
      <c r="J24" s="22">
        <f>SUM(J22:J22)</f>
      </c>
      <c r="K24" s="22">
        <f>SUM(K22:K22)</f>
      </c>
      <c r="L24" s="22">
        <f>SUM(L22:L22)</f>
      </c>
      <c r="M24" s="22">
        <f>SUM(M22:M22)</f>
      </c>
      <c r="N24" s="22">
        <f>SUM(N22:N22)</f>
      </c>
      <c r="O24" s="22">
        <f>SUM(O22:O22)</f>
      </c>
      <c r="P24" s="22">
        <f>SUM(P22:P22)</f>
      </c>
      <c r="Q24" s="22">
        <f>SUM(Q22:Q22)</f>
      </c>
      <c r="R24" s="22">
        <f>SUM(R22:R22)</f>
      </c>
      <c r="S24" s="22">
        <f>SUM(S22:S22)</f>
      </c>
      <c r="T24" s="22">
        <f>SUM(T22:T22)</f>
      </c>
      <c r="U24" s="22">
        <f>SUM(U22:U22)</f>
      </c>
      <c r="V24" s="22">
        <f>SUM(V22:V22)</f>
      </c>
      <c r="W24" s="22">
        <f>SUM(W22:W22)</f>
      </c>
      <c r="X24" s="22">
        <f>SUM(X22:X22)</f>
      </c>
      <c r="Y24" s="22">
        <f>SUM(Y22:Y22)</f>
      </c>
      <c r="Z24" s="22">
        <f>SUM(Z22:Z22)</f>
      </c>
      <c r="AA24" s="22">
        <f>SUM(AA22:AA22)</f>
      </c>
      <c r="AB24" s="22">
        <f>SUM(AB22:AB22)</f>
      </c>
      <c r="AC24" s="22">
        <f>SUM(AC22:AC22)</f>
      </c>
      <c r="AD24" s="22">
        <f>SUM(AD22:AD22)</f>
      </c>
      <c r="AE24" s="22">
        <f>SUM(AE22:AE22)</f>
      </c>
      <c r="AF24" s="22">
        <f>SUM(AF22:AF22)</f>
      </c>
      <c r="AG24" s="22">
        <f>SUM(AG22:AG22)</f>
      </c>
      <c r="AH24" s="22">
        <f>SUM(AH22:AH22)</f>
      </c>
      <c r="AI24" s="22">
        <f>SUM(AI22:AI22)</f>
      </c>
      <c r="AJ24" s="22">
        <f>SUM(AJ22:AJ22)</f>
      </c>
      <c r="AK24" s="23"/>
    </row>
    <row r="26" ht="12.75" customHeight="1" spans="2:37" x14ac:dyDescent="0.25">
      <c r="B26" s="26" t="s">
        <v>44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44</v>
      </c>
      <c r="C27" s="31" t="s">
        <v>3</v>
      </c>
      <c r="D27" s="32" t="s">
        <v>213</v>
      </c>
      <c r="E27" s="32"/>
      <c r="F27" s="32"/>
      <c r="G27" s="32"/>
      <c r="H27" s="33">
        <v>3351.2</v>
      </c>
      <c r="I27" s="32"/>
      <c r="J27" s="33">
        <v>3066</v>
      </c>
      <c r="K27" s="32"/>
      <c r="L27" s="33">
        <v>3350.95</v>
      </c>
      <c r="M27" s="32"/>
      <c r="N27" s="33">
        <v>3351.01</v>
      </c>
      <c r="O27" s="32"/>
      <c r="P27" s="33">
        <v>3353.07</v>
      </c>
      <c r="Q27" s="32"/>
      <c r="R27" s="33">
        <v>8830.77</v>
      </c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90</v>
      </c>
      <c r="C29" s="21"/>
      <c r="D29" s="21"/>
      <c r="E29" s="22">
        <f>SUM(E27:E27)</f>
      </c>
      <c r="F29" s="22">
        <f>SUM(F27:F27)</f>
      </c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3"/>
    </row>
    <row r="32" ht="12.75" customHeight="1" spans="2:37" x14ac:dyDescent="0.25">
      <c r="B32" s="11" t="s">
        <v>40</v>
      </c>
      <c r="C32" s="12"/>
      <c r="D32" s="13"/>
      <c r="E32" s="14" t="s">
        <v>7</v>
      </c>
      <c r="F32" s="14" t="s">
        <v>8</v>
      </c>
      <c r="G32" s="14" t="s">
        <v>9</v>
      </c>
      <c r="H32" s="14" t="s">
        <v>10</v>
      </c>
      <c r="I32" s="14" t="s">
        <v>11</v>
      </c>
      <c r="J32" s="14" t="s">
        <v>12</v>
      </c>
      <c r="K32" s="14" t="s">
        <v>13</v>
      </c>
      <c r="L32" s="14" t="s">
        <v>14</v>
      </c>
      <c r="M32" s="14" t="s">
        <v>15</v>
      </c>
      <c r="N32" s="14" t="s">
        <v>16</v>
      </c>
      <c r="O32" s="14" t="s">
        <v>17</v>
      </c>
      <c r="P32" s="14" t="s">
        <v>18</v>
      </c>
      <c r="Q32" s="14" t="s">
        <v>19</v>
      </c>
      <c r="R32" s="14" t="s">
        <v>20</v>
      </c>
      <c r="S32" s="14" t="s">
        <v>21</v>
      </c>
      <c r="T32" s="14" t="s">
        <v>22</v>
      </c>
      <c r="U32" s="14" t="s">
        <v>23</v>
      </c>
      <c r="V32" s="14" t="s">
        <v>24</v>
      </c>
      <c r="W32" s="14" t="s">
        <v>25</v>
      </c>
      <c r="X32" s="14" t="s">
        <v>26</v>
      </c>
      <c r="Y32" s="14" t="s">
        <v>27</v>
      </c>
      <c r="Z32" s="14" t="s">
        <v>28</v>
      </c>
      <c r="AA32" s="14" t="s">
        <v>29</v>
      </c>
      <c r="AB32" s="14" t="s">
        <v>30</v>
      </c>
      <c r="AC32" s="14" t="s">
        <v>31</v>
      </c>
      <c r="AD32" s="14" t="s">
        <v>32</v>
      </c>
      <c r="AE32" s="14" t="s">
        <v>33</v>
      </c>
      <c r="AF32" s="14" t="s">
        <v>34</v>
      </c>
      <c r="AG32" s="14" t="s">
        <v>35</v>
      </c>
      <c r="AH32" s="14" t="s">
        <v>36</v>
      </c>
      <c r="AI32" s="14" t="s">
        <v>37</v>
      </c>
      <c r="AJ32" s="14" t="s">
        <v>38</v>
      </c>
      <c r="AK32" s="15"/>
    </row>
    <row r="33" ht="12.75" customHeight="1" spans="2:37" x14ac:dyDescent="0.25">
      <c r="B33" s="16" t="s">
        <v>41</v>
      </c>
      <c r="C33" s="17"/>
      <c r="D33" s="17"/>
      <c r="E33" s="18">
        <f>E10</f>
      </c>
      <c r="F33" s="18">
        <f>F10</f>
      </c>
      <c r="G33" s="18">
        <f>G10</f>
      </c>
      <c r="H33" s="18">
        <f>H10</f>
      </c>
      <c r="I33" s="18">
        <f>I10</f>
      </c>
      <c r="J33" s="18">
        <f>J10</f>
      </c>
      <c r="K33" s="18">
        <f>K10</f>
      </c>
      <c r="L33" s="18">
        <f>L10</f>
      </c>
      <c r="M33" s="18">
        <f>M10</f>
      </c>
      <c r="N33" s="18">
        <f>N10</f>
      </c>
      <c r="O33" s="18">
        <f>O10</f>
      </c>
      <c r="P33" s="18">
        <f>P10</f>
      </c>
      <c r="Q33" s="18">
        <f>Q10</f>
      </c>
      <c r="R33" s="18">
        <f>R10</f>
      </c>
      <c r="S33" s="18">
        <f>S10</f>
      </c>
      <c r="T33" s="18">
        <f>T10</f>
      </c>
      <c r="U33" s="18">
        <f>U10</f>
      </c>
      <c r="V33" s="18">
        <f>V10</f>
      </c>
      <c r="W33" s="18">
        <f>W10</f>
      </c>
      <c r="X33" s="18">
        <f>X10</f>
      </c>
      <c r="Y33" s="18">
        <f>Y10</f>
      </c>
      <c r="Z33" s="18">
        <f>Z10</f>
      </c>
      <c r="AA33" s="18">
        <f>AA10</f>
      </c>
      <c r="AB33" s="18">
        <f>AB10</f>
      </c>
      <c r="AC33" s="18">
        <f>AC10</f>
      </c>
      <c r="AD33" s="18">
        <f>AD10</f>
      </c>
      <c r="AE33" s="18">
        <f>AE10</f>
      </c>
      <c r="AF33" s="18">
        <f>AF10</f>
      </c>
      <c r="AG33" s="18">
        <f>AG10</f>
      </c>
      <c r="AH33" s="18">
        <f>AH10</f>
      </c>
      <c r="AI33" s="18">
        <f>AI10</f>
      </c>
      <c r="AJ33" s="18">
        <f>AJ10</f>
      </c>
      <c r="AK33" s="19"/>
    </row>
    <row r="34" ht="12.75" customHeight="1" spans="2:37" x14ac:dyDescent="0.25">
      <c r="B34" s="16" t="s">
        <v>42</v>
      </c>
      <c r="C34" s="17"/>
      <c r="D34" s="17"/>
      <c r="E34" s="18">
        <f>E19</f>
      </c>
      <c r="F34" s="18">
        <f>F19</f>
      </c>
      <c r="G34" s="18">
        <f>G19</f>
      </c>
      <c r="H34" s="18">
        <f>H19</f>
      </c>
      <c r="I34" s="18">
        <f>I19</f>
      </c>
      <c r="J34" s="18">
        <f>J19</f>
      </c>
      <c r="K34" s="18">
        <f>K19</f>
      </c>
      <c r="L34" s="18">
        <f>L19</f>
      </c>
      <c r="M34" s="18">
        <f>M19</f>
      </c>
      <c r="N34" s="18">
        <f>N19</f>
      </c>
      <c r="O34" s="18">
        <f>O19</f>
      </c>
      <c r="P34" s="18">
        <f>P19</f>
      </c>
      <c r="Q34" s="18">
        <f>Q19</f>
      </c>
      <c r="R34" s="18">
        <f>R19</f>
      </c>
      <c r="S34" s="18">
        <f>S19</f>
      </c>
      <c r="T34" s="18">
        <f>T19</f>
      </c>
      <c r="U34" s="18">
        <f>U19</f>
      </c>
      <c r="V34" s="18">
        <f>V19</f>
      </c>
      <c r="W34" s="18">
        <f>W19</f>
      </c>
      <c r="X34" s="18">
        <f>X19</f>
      </c>
      <c r="Y34" s="18">
        <f>Y19</f>
      </c>
      <c r="Z34" s="18">
        <f>Z19</f>
      </c>
      <c r="AA34" s="18">
        <f>AA19</f>
      </c>
      <c r="AB34" s="18">
        <f>AB19</f>
      </c>
      <c r="AC34" s="18">
        <f>AC19</f>
      </c>
      <c r="AD34" s="18">
        <f>AD19</f>
      </c>
      <c r="AE34" s="18">
        <f>AE19</f>
      </c>
      <c r="AF34" s="18">
        <f>AF19</f>
      </c>
      <c r="AG34" s="18">
        <f>AG19</f>
      </c>
      <c r="AH34" s="18">
        <f>AH19</f>
      </c>
      <c r="AI34" s="18">
        <f>AI19</f>
      </c>
      <c r="AJ34" s="18">
        <f>AJ19</f>
      </c>
      <c r="AK34" s="19"/>
    </row>
    <row r="35" ht="12.75" customHeight="1" spans="2:37" x14ac:dyDescent="0.25">
      <c r="B35" s="16" t="s">
        <v>43</v>
      </c>
      <c r="C35" s="17"/>
      <c r="D35" s="17"/>
      <c r="E35" s="18">
        <f>E24</f>
      </c>
      <c r="F35" s="18">
        <f>F24</f>
      </c>
      <c r="G35" s="18">
        <f>G24</f>
      </c>
      <c r="H35" s="18">
        <f>H24</f>
      </c>
      <c r="I35" s="18">
        <f>I24</f>
      </c>
      <c r="J35" s="18">
        <f>J24</f>
      </c>
      <c r="K35" s="18">
        <f>K24</f>
      </c>
      <c r="L35" s="18">
        <f>L24</f>
      </c>
      <c r="M35" s="18">
        <f>M24</f>
      </c>
      <c r="N35" s="18">
        <f>N24</f>
      </c>
      <c r="O35" s="18">
        <f>O24</f>
      </c>
      <c r="P35" s="18">
        <f>P24</f>
      </c>
      <c r="Q35" s="18">
        <f>Q24</f>
      </c>
      <c r="R35" s="18">
        <f>R24</f>
      </c>
      <c r="S35" s="18">
        <f>S24</f>
      </c>
      <c r="T35" s="18">
        <f>T24</f>
      </c>
      <c r="U35" s="18">
        <f>U24</f>
      </c>
      <c r="V35" s="18">
        <f>V24</f>
      </c>
      <c r="W35" s="18">
        <f>W24</f>
      </c>
      <c r="X35" s="18">
        <f>X24</f>
      </c>
      <c r="Y35" s="18">
        <f>Y24</f>
      </c>
      <c r="Z35" s="18">
        <f>Z24</f>
      </c>
      <c r="AA35" s="18">
        <f>AA24</f>
      </c>
      <c r="AB35" s="18">
        <f>AB24</f>
      </c>
      <c r="AC35" s="18">
        <f>AC24</f>
      </c>
      <c r="AD35" s="18">
        <f>AD24</f>
      </c>
      <c r="AE35" s="18">
        <f>AE24</f>
      </c>
      <c r="AF35" s="18">
        <f>AF24</f>
      </c>
      <c r="AG35" s="18">
        <f>AG24</f>
      </c>
      <c r="AH35" s="18">
        <f>AH24</f>
      </c>
      <c r="AI35" s="18">
        <f>AI24</f>
      </c>
      <c r="AJ35" s="18">
        <f>AJ24</f>
      </c>
      <c r="AK35" s="19"/>
    </row>
    <row r="36" ht="12.75" customHeight="1" spans="2:37" x14ac:dyDescent="0.25">
      <c r="B36" s="16" t="s">
        <v>44</v>
      </c>
      <c r="C36" s="17"/>
      <c r="D36" s="17"/>
      <c r="E36" s="18">
        <f>E29</f>
      </c>
      <c r="F36" s="18">
        <f>F29</f>
      </c>
      <c r="G36" s="18">
        <f>G29</f>
      </c>
      <c r="H36" s="18">
        <f>H29</f>
      </c>
      <c r="I36" s="18">
        <f>I29</f>
      </c>
      <c r="J36" s="18">
        <f>J29</f>
      </c>
      <c r="K36" s="18">
        <f>K29</f>
      </c>
      <c r="L36" s="18">
        <f>L29</f>
      </c>
      <c r="M36" s="18">
        <f>M29</f>
      </c>
      <c r="N36" s="18">
        <f>N29</f>
      </c>
      <c r="O36" s="18">
        <f>O29</f>
      </c>
      <c r="P36" s="18">
        <f>P29</f>
      </c>
      <c r="Q36" s="18">
        <f>Q29</f>
      </c>
      <c r="R36" s="18">
        <f>R29</f>
      </c>
      <c r="S36" s="18">
        <f>S29</f>
      </c>
      <c r="T36" s="18">
        <f>T29</f>
      </c>
      <c r="U36" s="18">
        <f>U29</f>
      </c>
      <c r="V36" s="18">
        <f>V29</f>
      </c>
      <c r="W36" s="18">
        <f>W29</f>
      </c>
      <c r="X36" s="18">
        <f>X29</f>
      </c>
      <c r="Y36" s="18">
        <f>Y29</f>
      </c>
      <c r="Z36" s="18">
        <f>Z29</f>
      </c>
      <c r="AA36" s="18">
        <f>AA29</f>
      </c>
      <c r="AB36" s="18">
        <f>AB29</f>
      </c>
      <c r="AC36" s="18">
        <f>AC29</f>
      </c>
      <c r="AD36" s="18">
        <f>AD29</f>
      </c>
      <c r="AE36" s="18">
        <f>AE29</f>
      </c>
      <c r="AF36" s="18">
        <f>AF29</f>
      </c>
      <c r="AG36" s="18">
        <f>AG29</f>
      </c>
      <c r="AH36" s="18">
        <f>AH29</f>
      </c>
      <c r="AI36" s="18">
        <f>AI29</f>
      </c>
      <c r="AJ36" s="18">
        <f>AJ29</f>
      </c>
      <c r="AK36" s="19"/>
    </row>
    <row r="37" ht="12.75" customHeight="1" spans="2:37" x14ac:dyDescent="0.25">
      <c r="B37" s="20" t="s">
        <v>45</v>
      </c>
      <c r="C37" s="21"/>
      <c r="D37" s="21"/>
      <c r="E37" s="22">
        <f>E33+E34+E35+E36</f>
      </c>
      <c r="F37" s="22">
        <f>F33+F34+F35+F36</f>
      </c>
      <c r="G37" s="22">
        <f>G33+G34+G35+G36</f>
      </c>
      <c r="H37" s="22">
        <f>H33+H34+H35+H36</f>
      </c>
      <c r="I37" s="22">
        <f>I33+I34+I35+I36</f>
      </c>
      <c r="J37" s="22">
        <f>J33+J34+J35+J36</f>
      </c>
      <c r="K37" s="22">
        <f>K33+K34+K35+K36</f>
      </c>
      <c r="L37" s="22">
        <f>L33+L34+L35+L36</f>
      </c>
      <c r="M37" s="22">
        <f>M33+M34+M35+M36</f>
      </c>
      <c r="N37" s="22">
        <f>N33+N34+N35+N36</f>
      </c>
      <c r="O37" s="22">
        <f>O33+O34+O35+O36</f>
      </c>
      <c r="P37" s="22">
        <f>P33+P34+P35+P36</f>
      </c>
      <c r="Q37" s="22">
        <f>Q33+Q34+Q35+Q36</f>
      </c>
      <c r="R37" s="22">
        <f>R33+R34+R35+R36</f>
      </c>
      <c r="S37" s="22">
        <f>S33+S34+S35+S36</f>
      </c>
      <c r="T37" s="22">
        <f>T33+T34+T35+T36</f>
      </c>
      <c r="U37" s="22">
        <f>U33+U34+U35+U36</f>
      </c>
      <c r="V37" s="22">
        <f>V33+V34+V35+V36</f>
      </c>
      <c r="W37" s="22">
        <f>W33+W34+W35+W36</f>
      </c>
      <c r="X37" s="22">
        <f>X33+X34+X35+X36</f>
      </c>
      <c r="Y37" s="22">
        <f>Y33+Y34+Y35+Y36</f>
      </c>
      <c r="Z37" s="22">
        <f>Z33+Z34+Z35+Z36</f>
      </c>
      <c r="AA37" s="22">
        <f>AA33+AA34+AA35+AA36</f>
      </c>
      <c r="AB37" s="22">
        <f>AB33+AB34+AB35+AB36</f>
      </c>
      <c r="AC37" s="22">
        <f>AC33+AC34+AC35+AC36</f>
      </c>
      <c r="AD37" s="22">
        <f>AD33+AD34+AD35+AD36</f>
      </c>
      <c r="AE37" s="22">
        <f>AE33+AE34+AE35+AE36</f>
      </c>
      <c r="AF37" s="22">
        <f>AF33+AF34+AF35+AF36</f>
      </c>
      <c r="AG37" s="22">
        <f>AG33+AG34+AG35+AG36</f>
      </c>
      <c r="AH37" s="22">
        <f>AH33+AH34+AH35+AH36</f>
      </c>
      <c r="AI37" s="22">
        <f>AI33+AI34+AI35+AI36</f>
      </c>
      <c r="AJ37" s="22">
        <f>AJ33+AJ34+AJ35+AJ36</f>
      </c>
      <c r="AK37" s="23"/>
    </row>
    <row r="39" ht="12.75" customHeight="1" spans="2:37" x14ac:dyDescent="0.25">
      <c r="B39" s="11" t="s">
        <v>46</v>
      </c>
      <c r="C39" s="12"/>
      <c r="D39" s="13"/>
      <c r="E39" s="14" t="s">
        <v>7</v>
      </c>
      <c r="F39" s="14" t="s">
        <v>8</v>
      </c>
      <c r="G39" s="14" t="s">
        <v>9</v>
      </c>
      <c r="H39" s="14" t="s">
        <v>10</v>
      </c>
      <c r="I39" s="14" t="s">
        <v>11</v>
      </c>
      <c r="J39" s="14" t="s">
        <v>12</v>
      </c>
      <c r="K39" s="14" t="s">
        <v>13</v>
      </c>
      <c r="L39" s="14" t="s">
        <v>14</v>
      </c>
      <c r="M39" s="14" t="s">
        <v>15</v>
      </c>
      <c r="N39" s="14" t="s">
        <v>16</v>
      </c>
      <c r="O39" s="14" t="s">
        <v>17</v>
      </c>
      <c r="P39" s="14" t="s">
        <v>18</v>
      </c>
      <c r="Q39" s="14" t="s">
        <v>19</v>
      </c>
      <c r="R39" s="14" t="s">
        <v>20</v>
      </c>
      <c r="S39" s="14" t="s">
        <v>21</v>
      </c>
      <c r="T39" s="14" t="s">
        <v>22</v>
      </c>
      <c r="U39" s="14" t="s">
        <v>23</v>
      </c>
      <c r="V39" s="14" t="s">
        <v>24</v>
      </c>
      <c r="W39" s="14" t="s">
        <v>25</v>
      </c>
      <c r="X39" s="14" t="s">
        <v>26</v>
      </c>
      <c r="Y39" s="14" t="s">
        <v>27</v>
      </c>
      <c r="Z39" s="14" t="s">
        <v>28</v>
      </c>
      <c r="AA39" s="14" t="s">
        <v>29</v>
      </c>
      <c r="AB39" s="14" t="s">
        <v>30</v>
      </c>
      <c r="AC39" s="14" t="s">
        <v>31</v>
      </c>
      <c r="AD39" s="14" t="s">
        <v>32</v>
      </c>
      <c r="AE39" s="14" t="s">
        <v>33</v>
      </c>
      <c r="AF39" s="14" t="s">
        <v>34</v>
      </c>
      <c r="AG39" s="14" t="s">
        <v>35</v>
      </c>
      <c r="AH39" s="14" t="s">
        <v>36</v>
      </c>
      <c r="AI39" s="14" t="s">
        <v>37</v>
      </c>
      <c r="AJ39" s="14" t="s">
        <v>38</v>
      </c>
      <c r="AK39" s="15"/>
    </row>
    <row r="40" ht="12.75" customHeight="1" spans="2:37" x14ac:dyDescent="0.25">
      <c r="B40" s="16" t="s">
        <v>41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42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43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44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20" t="s">
        <v>45</v>
      </c>
      <c r="C44" s="21"/>
      <c r="D44" s="21"/>
      <c r="E44" s="22">
        <f>E40+E41+E42+E43</f>
      </c>
      <c r="F44" s="22">
        <f>F40+F41+F42+F43</f>
      </c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3"/>
    </row>
    <row r="46" ht="12.75" customHeight="1" spans="2:37" x14ac:dyDescent="0.25">
      <c r="B46" s="11" t="s">
        <v>47</v>
      </c>
      <c r="C46" s="12"/>
      <c r="D46" s="13"/>
      <c r="E46" s="14" t="s">
        <v>7</v>
      </c>
      <c r="F46" s="14" t="s">
        <v>8</v>
      </c>
      <c r="G46" s="14" t="s">
        <v>9</v>
      </c>
      <c r="H46" s="14" t="s">
        <v>10</v>
      </c>
      <c r="I46" s="14" t="s">
        <v>11</v>
      </c>
      <c r="J46" s="14" t="s">
        <v>12</v>
      </c>
      <c r="K46" s="14" t="s">
        <v>13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18</v>
      </c>
      <c r="Q46" s="14" t="s">
        <v>19</v>
      </c>
      <c r="R46" s="14" t="s">
        <v>20</v>
      </c>
      <c r="S46" s="14" t="s">
        <v>21</v>
      </c>
      <c r="T46" s="14" t="s">
        <v>22</v>
      </c>
      <c r="U46" s="14" t="s">
        <v>23</v>
      </c>
      <c r="V46" s="14" t="s">
        <v>24</v>
      </c>
      <c r="W46" s="14" t="s">
        <v>25</v>
      </c>
      <c r="X46" s="14" t="s">
        <v>26</v>
      </c>
      <c r="Y46" s="14" t="s">
        <v>27</v>
      </c>
      <c r="Z46" s="14" t="s">
        <v>28</v>
      </c>
      <c r="AA46" s="14" t="s">
        <v>29</v>
      </c>
      <c r="AB46" s="14" t="s">
        <v>30</v>
      </c>
      <c r="AC46" s="14" t="s">
        <v>31</v>
      </c>
      <c r="AD46" s="14" t="s">
        <v>32</v>
      </c>
      <c r="AE46" s="14" t="s">
        <v>33</v>
      </c>
      <c r="AF46" s="14" t="s">
        <v>34</v>
      </c>
      <c r="AG46" s="14" t="s">
        <v>35</v>
      </c>
      <c r="AH46" s="14" t="s">
        <v>36</v>
      </c>
      <c r="AI46" s="14" t="s">
        <v>37</v>
      </c>
      <c r="AJ46" s="14" t="s">
        <v>38</v>
      </c>
      <c r="AK46" s="15"/>
    </row>
    <row r="47" ht="12.75" customHeight="1" spans="2:37" x14ac:dyDescent="0.25">
      <c r="B47" s="16" t="s">
        <v>41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42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43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44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20" t="s">
        <v>45</v>
      </c>
      <c r="C51" s="21"/>
      <c r="D51" s="21"/>
      <c r="E51" s="25">
        <f>E47+E48+E49+E50</f>
      </c>
      <c r="F51" s="25">
        <f>F47+F48+F49+F50</f>
      </c>
      <c r="G51" s="25">
        <f>G47+G48+G49+G50</f>
      </c>
      <c r="H51" s="25">
        <f>H47+H48+H49+H50</f>
      </c>
      <c r="I51" s="25">
        <f>I47+I48+I49+I50</f>
      </c>
      <c r="J51" s="25">
        <f>J47+J48+J49+J50</f>
      </c>
      <c r="K51" s="25">
        <f>K47+K48+K49+K50</f>
      </c>
      <c r="L51" s="25">
        <f>L47+L48+L49+L50</f>
      </c>
      <c r="M51" s="25">
        <f>M47+M48+M49+M50</f>
      </c>
      <c r="N51" s="25">
        <f>N47+N48+N49+N50</f>
      </c>
      <c r="O51" s="25">
        <f>O47+O48+O49+O50</f>
      </c>
      <c r="P51" s="25">
        <f>P47+P48+P49+P50</f>
      </c>
      <c r="Q51" s="25">
        <f>Q47+Q48+Q49+Q50</f>
      </c>
      <c r="R51" s="25">
        <f>R47+R48+R49+R50</f>
      </c>
      <c r="S51" s="25">
        <f>S47+S48+S49+S50</f>
      </c>
      <c r="T51" s="25">
        <f>T47+T48+T49+T50</f>
      </c>
      <c r="U51" s="25">
        <f>U47+U48+U49+U50</f>
      </c>
      <c r="V51" s="25">
        <f>V47+V48+V49+V50</f>
      </c>
      <c r="W51" s="25">
        <f>W47+W48+W49+W50</f>
      </c>
      <c r="X51" s="25">
        <f>X47+X48+X49+X50</f>
      </c>
      <c r="Y51" s="25">
        <f>Y47+Y48+Y49+Y50</f>
      </c>
      <c r="Z51" s="25">
        <f>Z47+Z48+Z49+Z50</f>
      </c>
      <c r="AA51" s="25">
        <f>AA47+AA48+AA49+AA50</f>
      </c>
      <c r="AB51" s="25">
        <f>AB47+AB48+AB49+AB50</f>
      </c>
      <c r="AC51" s="25">
        <f>AC47+AC48+AC49+AC50</f>
      </c>
      <c r="AD51" s="25">
        <f>AD47+AD48+AD49+AD50</f>
      </c>
      <c r="AE51" s="25">
        <f>AE47+AE48+AE49+AE50</f>
      </c>
      <c r="AF51" s="25">
        <f>AF47+AF48+AF49+AF50</f>
      </c>
      <c r="AG51" s="25">
        <f>AG47+AG48+AG49+AG50</f>
      </c>
      <c r="AH51" s="25">
        <f>AH47+AH48+AH49+AH50</f>
      </c>
      <c r="AI51" s="25">
        <f>AI47+AI48+AI49+AI50</f>
      </c>
      <c r="AJ51" s="25">
        <f>AJ47+AJ48+AJ49+AJ50</f>
      </c>
      <c r="AK5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207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214</v>
      </c>
      <c r="K8" s="44" t="s">
        <v>215</v>
      </c>
      <c r="L8" s="44" t="s">
        <v>216</v>
      </c>
      <c r="M8" s="44" t="s">
        <v>217</v>
      </c>
      <c r="N8" s="44" t="s">
        <v>218</v>
      </c>
      <c r="O8" s="44" t="s">
        <v>219</v>
      </c>
      <c r="P8" s="44" t="s">
        <v>220</v>
      </c>
      <c r="Q8" s="44" t="s">
        <v>221</v>
      </c>
      <c r="R8" s="44" t="s">
        <v>222</v>
      </c>
      <c r="S8" s="44" t="s">
        <v>223</v>
      </c>
      <c r="T8" s="44" t="s">
        <v>224</v>
      </c>
      <c r="U8" s="44" t="s">
        <v>225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207</v>
      </c>
      <c r="D14" s="50" t="s">
        <v>42</v>
      </c>
      <c r="E14" s="32" t="s">
        <v>3</v>
      </c>
      <c r="F14" s="32" t="s">
        <v>208</v>
      </c>
      <c r="G14" s="32"/>
      <c r="H14" s="32"/>
      <c r="I14" s="32"/>
      <c r="J14" s="32"/>
      <c r="K14" s="33">
        <v>116.28</v>
      </c>
      <c r="L14" s="33">
        <v>97.57</v>
      </c>
      <c r="M14" s="33">
        <v>99.33</v>
      </c>
      <c r="N14" s="33">
        <v>91.15</v>
      </c>
      <c r="O14" s="33">
        <v>85.34</v>
      </c>
      <c r="P14" s="33">
        <v>75.15</v>
      </c>
      <c r="Q14" s="33">
        <v>69.61</v>
      </c>
      <c r="R14" s="33">
        <v>65.93</v>
      </c>
      <c r="S14" s="33">
        <v>72.15</v>
      </c>
      <c r="T14" s="33">
        <v>65.79</v>
      </c>
      <c r="U14" s="33">
        <v>65.37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207</v>
      </c>
      <c r="D15" s="50" t="s">
        <v>42</v>
      </c>
      <c r="E15" s="32" t="s">
        <v>3</v>
      </c>
      <c r="F15" s="32" t="s">
        <v>209</v>
      </c>
      <c r="G15" s="32"/>
      <c r="H15" s="32"/>
      <c r="I15" s="32"/>
      <c r="J15" s="32"/>
      <c r="K15" s="33">
        <v>649.6</v>
      </c>
      <c r="L15" s="33">
        <v>587.8</v>
      </c>
      <c r="M15" s="33">
        <v>499.49</v>
      </c>
      <c r="N15" s="33">
        <v>463.45</v>
      </c>
      <c r="O15" s="33">
        <v>502.74</v>
      </c>
      <c r="P15" s="33">
        <v>501.02</v>
      </c>
      <c r="Q15" s="33">
        <v>491.8</v>
      </c>
      <c r="R15" s="33">
        <v>480.52</v>
      </c>
      <c r="S15" s="33">
        <v>574.87</v>
      </c>
      <c r="T15" s="33">
        <v>548.34</v>
      </c>
      <c r="U15" s="33">
        <v>545.95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207</v>
      </c>
      <c r="D16" s="50" t="s">
        <v>42</v>
      </c>
      <c r="E16" s="32" t="s">
        <v>3</v>
      </c>
      <c r="F16" s="32" t="s">
        <v>210</v>
      </c>
      <c r="G16" s="32"/>
      <c r="H16" s="32"/>
      <c r="I16" s="32"/>
      <c r="J16" s="32"/>
      <c r="K16" s="33">
        <v>32.31</v>
      </c>
      <c r="L16" s="33">
        <v>32.11</v>
      </c>
      <c r="M16" s="33">
        <v>32.31</v>
      </c>
      <c r="N16" s="33">
        <v>32.11</v>
      </c>
      <c r="O16" s="33">
        <v>32.28</v>
      </c>
      <c r="P16" s="33">
        <v>32.18</v>
      </c>
      <c r="Q16" s="33">
        <v>32.18</v>
      </c>
      <c r="R16" s="33">
        <v>32.18</v>
      </c>
      <c r="S16" s="33">
        <v>32.31</v>
      </c>
      <c r="T16" s="33">
        <v>33.3</v>
      </c>
      <c r="U16" s="33">
        <v>32.18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207</v>
      </c>
      <c r="D17" s="50" t="s">
        <v>42</v>
      </c>
      <c r="E17" s="32" t="s">
        <v>3</v>
      </c>
      <c r="F17" s="32" t="s">
        <v>211</v>
      </c>
      <c r="G17" s="32"/>
      <c r="H17" s="32"/>
      <c r="I17" s="32"/>
      <c r="J17" s="32"/>
      <c r="K17" s="33">
        <v>256.35</v>
      </c>
      <c r="L17" s="33">
        <v>214.77</v>
      </c>
      <c r="M17" s="33">
        <v>221.09</v>
      </c>
      <c r="N17" s="33">
        <v>223.17</v>
      </c>
      <c r="O17" s="33">
        <v>227.7</v>
      </c>
      <c r="P17" s="33">
        <v>228.38</v>
      </c>
      <c r="Q17" s="33">
        <v>216.36</v>
      </c>
      <c r="R17" s="33">
        <v>198.6</v>
      </c>
      <c r="S17" s="33">
        <v>171.68</v>
      </c>
      <c r="T17" s="33">
        <v>101.49</v>
      </c>
      <c r="U17" s="33">
        <v>86.89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207</v>
      </c>
      <c r="D18" s="50" t="s">
        <v>42</v>
      </c>
      <c r="E18" s="32" t="s">
        <v>3</v>
      </c>
      <c r="F18" s="32" t="s">
        <v>212</v>
      </c>
      <c r="G18" s="32"/>
      <c r="H18" s="32"/>
      <c r="I18" s="32"/>
      <c r="J18" s="32"/>
      <c r="K18" s="33">
        <v>262.2</v>
      </c>
      <c r="L18" s="33">
        <v>219.2</v>
      </c>
      <c r="M18" s="33">
        <v>302.41</v>
      </c>
      <c r="N18" s="33">
        <v>318.64</v>
      </c>
      <c r="O18" s="33">
        <v>452.39</v>
      </c>
      <c r="P18" s="33">
        <v>572.73</v>
      </c>
      <c r="Q18" s="33">
        <v>586.05</v>
      </c>
      <c r="R18" s="33">
        <v>637.96</v>
      </c>
      <c r="S18" s="33">
        <v>629.3</v>
      </c>
      <c r="T18" s="33">
        <v>574.71</v>
      </c>
      <c r="U18" s="33">
        <v>414.38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51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0"/>
    </row>
    <row r="20" ht="13.5" customHeight="1" spans="2:39" x14ac:dyDescent="0.25">
      <c r="B20" s="20"/>
      <c r="C20" s="21"/>
      <c r="D20" s="21" t="s">
        <v>85</v>
      </c>
      <c r="E20" s="21"/>
      <c r="F20" s="21"/>
      <c r="G20" s="22">
        <f>SUM(G14:G18)</f>
      </c>
      <c r="H20" s="22">
        <f>SUM(H14:H18)</f>
      </c>
      <c r="I20" s="22">
        <f>SUM(I14:I18)</f>
      </c>
      <c r="J20" s="22">
        <f>SUM(J14:J18)</f>
      </c>
      <c r="K20" s="22">
        <f>SUM(K14:K18)</f>
      </c>
      <c r="L20" s="22">
        <f>SUM(L14:L18)</f>
      </c>
      <c r="M20" s="22">
        <f>SUM(M14:M18)</f>
      </c>
      <c r="N20" s="22">
        <f>SUM(N14:N18)</f>
      </c>
      <c r="O20" s="22">
        <f>SUM(O14:O18)</f>
      </c>
      <c r="P20" s="22">
        <f>SUM(P14:P18)</f>
      </c>
      <c r="Q20" s="22">
        <f>SUM(Q14:Q18)</f>
      </c>
      <c r="R20" s="22">
        <f>SUM(R14:R18)</f>
      </c>
      <c r="S20" s="22">
        <f>SUM(S14:S18)</f>
      </c>
      <c r="T20" s="22">
        <f>SUM(T14:T18)</f>
      </c>
      <c r="U20" s="22">
        <f>SUM(U14:U18)</f>
      </c>
      <c r="V20" s="22">
        <f>SUM(V14:V18)</f>
      </c>
      <c r="W20" s="22">
        <f>SUM(W14:W18)</f>
      </c>
      <c r="X20" s="22">
        <f>SUM(X14:X18)</f>
      </c>
      <c r="Y20" s="22">
        <f>SUM(Y14:Y18)</f>
      </c>
      <c r="Z20" s="22">
        <f>SUM(Z14:Z18)</f>
      </c>
      <c r="AA20" s="22">
        <f>SUM(AA14:AA18)</f>
      </c>
      <c r="AB20" s="22">
        <f>SUM(AB14:AB18)</f>
      </c>
      <c r="AC20" s="22">
        <f>SUM(AC14:AC18)</f>
      </c>
      <c r="AD20" s="22">
        <f>SUM(AD14:AD18)</f>
      </c>
      <c r="AE20" s="22">
        <f>SUM(AE14:AE18)</f>
      </c>
      <c r="AF20" s="22">
        <f>SUM(AF14:AF18)</f>
      </c>
      <c r="AG20" s="22">
        <f>SUM(AG14:AG18)</f>
      </c>
      <c r="AH20" s="22">
        <f>SUM(AH14:AH18)</f>
      </c>
      <c r="AI20" s="22">
        <f>SUM(AI14:AI18)</f>
      </c>
      <c r="AJ20" s="22">
        <f>SUM(AJ14:AJ18)</f>
      </c>
      <c r="AK20" s="22">
        <f>SUM(AK14:AK18)</f>
      </c>
      <c r="AL20" s="22">
        <f>SUM(AL14:AL18)</f>
      </c>
      <c r="AM20" s="23"/>
    </row>
    <row r="22" ht="13.5" customHeight="1" spans="2:39" x14ac:dyDescent="0.25">
      <c r="B22" s="46"/>
      <c r="C22" s="28"/>
      <c r="D22" s="47" t="s">
        <v>43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9"/>
    </row>
    <row r="23" ht="13.5" customHeight="1" spans="2:39" x14ac:dyDescent="0.25">
      <c r="B23" s="48" t="s">
        <v>3</v>
      </c>
      <c r="C23" s="49" t="s">
        <v>207</v>
      </c>
      <c r="D23" s="50" t="s">
        <v>43</v>
      </c>
      <c r="E23" s="32" t="s">
        <v>3</v>
      </c>
      <c r="F23" s="32" t="s">
        <v>213</v>
      </c>
      <c r="G23" s="32"/>
      <c r="H23" s="32"/>
      <c r="I23" s="32"/>
      <c r="J23" s="33">
        <f>68037.00+4131.63+43954.75</f>
        <v>116123.38</v>
      </c>
      <c r="K23" s="32"/>
      <c r="L23" s="33">
        <f>70485.07+3780.00+39142.38</f>
        <v>113407.45000000001</v>
      </c>
      <c r="M23" s="32"/>
      <c r="N23" s="33">
        <f>67062.46+4131.31+43325.17</f>
        <v>114518.94</v>
      </c>
      <c r="O23" s="32"/>
      <c r="P23" s="33">
        <f>67268.19+4131.38+43458.06</f>
        <v>114857.63</v>
      </c>
      <c r="Q23" s="32"/>
      <c r="R23" s="33">
        <f>75915.87+4133.92+49044.82</f>
        <v>129094.60999999999</v>
      </c>
      <c r="S23" s="32"/>
      <c r="T23" s="33">
        <f>56092.17+3910.33+36248.09</f>
        <v>96250.59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89</v>
      </c>
      <c r="E25" s="21"/>
      <c r="F25" s="21"/>
      <c r="G25" s="22">
        <f>SUM(G23:G23)</f>
      </c>
      <c r="H25" s="22">
        <f>SUM(H23:H23)</f>
      </c>
      <c r="I25" s="22">
        <f>SUM(I23:I23)</f>
      </c>
      <c r="J25" s="22">
        <f>SUM(J23:J23)</f>
      </c>
      <c r="K25" s="22">
        <f>SUM(K23:K23)</f>
      </c>
      <c r="L25" s="22">
        <f>SUM(L23:L23)</f>
      </c>
      <c r="M25" s="22">
        <f>SUM(M23:M23)</f>
      </c>
      <c r="N25" s="22">
        <f>SUM(N23:N23)</f>
      </c>
      <c r="O25" s="22">
        <f>SUM(O23:O23)</f>
      </c>
      <c r="P25" s="22">
        <f>SUM(P23:P23)</f>
      </c>
      <c r="Q25" s="22">
        <f>SUM(Q23:Q23)</f>
      </c>
      <c r="R25" s="22">
        <f>SUM(R23:R23)</f>
      </c>
      <c r="S25" s="22">
        <f>SUM(S23:S23)</f>
      </c>
      <c r="T25" s="22">
        <f>SUM(T23:T23)</f>
      </c>
      <c r="U25" s="22">
        <f>SUM(U23:U23)</f>
      </c>
      <c r="V25" s="22">
        <f>SUM(V23:V23)</f>
      </c>
      <c r="W25" s="22">
        <f>SUM(W23:W23)</f>
      </c>
      <c r="X25" s="22">
        <f>SUM(X23:X23)</f>
      </c>
      <c r="Y25" s="22">
        <f>SUM(Y23:Y23)</f>
      </c>
      <c r="Z25" s="22">
        <f>SUM(Z23:Z23)</f>
      </c>
      <c r="AA25" s="22">
        <f>SUM(AA23:AA23)</f>
      </c>
      <c r="AB25" s="22">
        <f>SUM(AB23:AB23)</f>
      </c>
      <c r="AC25" s="22">
        <f>SUM(AC23:AC23)</f>
      </c>
      <c r="AD25" s="22">
        <f>SUM(AD23:AD23)</f>
      </c>
      <c r="AE25" s="22">
        <f>SUM(AE23:AE23)</f>
      </c>
      <c r="AF25" s="22">
        <f>SUM(AF23:AF23)</f>
      </c>
      <c r="AG25" s="22">
        <f>SUM(AG23:AG23)</f>
      </c>
      <c r="AH25" s="22">
        <f>SUM(AH23:AH23)</f>
      </c>
      <c r="AI25" s="22">
        <f>SUM(AI23:AI23)</f>
      </c>
      <c r="AJ25" s="22">
        <f>SUM(AJ23:AJ23)</f>
      </c>
      <c r="AK25" s="22">
        <f>SUM(AK23:AK23)</f>
      </c>
      <c r="AL25" s="22">
        <f>SUM(AL23:AL23)</f>
      </c>
      <c r="AM25" s="23"/>
    </row>
    <row r="27" ht="13.5" customHeight="1" spans="2:39" x14ac:dyDescent="0.25">
      <c r="B27" s="46"/>
      <c r="C27" s="28"/>
      <c r="D27" s="47" t="s">
        <v>44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207</v>
      </c>
      <c r="D28" s="50" t="s">
        <v>44</v>
      </c>
      <c r="E28" s="32" t="s">
        <v>3</v>
      </c>
      <c r="F28" s="32" t="s">
        <v>213</v>
      </c>
      <c r="G28" s="32"/>
      <c r="H28" s="32"/>
      <c r="I28" s="32"/>
      <c r="J28" s="33">
        <v>3351.2</v>
      </c>
      <c r="K28" s="32"/>
      <c r="L28" s="33">
        <v>3066</v>
      </c>
      <c r="M28" s="32"/>
      <c r="N28" s="33">
        <v>3350.95</v>
      </c>
      <c r="O28" s="32"/>
      <c r="P28" s="33">
        <v>3351.01</v>
      </c>
      <c r="Q28" s="32"/>
      <c r="R28" s="33">
        <v>3353.07</v>
      </c>
      <c r="S28" s="32"/>
      <c r="T28" s="33">
        <v>8830.77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90</v>
      </c>
      <c r="E30" s="21"/>
      <c r="F30" s="21"/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2">
        <f>SUM(AK28:AK28)</f>
      </c>
      <c r="AL30" s="22">
        <f>SUM(AL28:AL28)</f>
      </c>
      <c r="AM30" s="23"/>
    </row>
    <row r="33" ht="12.75" customHeight="1" spans="2:39" x14ac:dyDescent="0.25">
      <c r="B33" s="11" t="s">
        <v>40</v>
      </c>
      <c r="C33" s="12"/>
      <c r="D33" s="12"/>
      <c r="E33" s="12"/>
      <c r="F33" s="12"/>
      <c r="G33" s="52" t="s">
        <v>7</v>
      </c>
      <c r="H33" s="52" t="s">
        <v>8</v>
      </c>
      <c r="I33" s="52" t="s">
        <v>9</v>
      </c>
      <c r="J33" s="52" t="s">
        <v>10</v>
      </c>
      <c r="K33" s="52" t="s">
        <v>11</v>
      </c>
      <c r="L33" s="52" t="s">
        <v>12</v>
      </c>
      <c r="M33" s="52" t="s">
        <v>13</v>
      </c>
      <c r="N33" s="52" t="s">
        <v>14</v>
      </c>
      <c r="O33" s="52" t="s">
        <v>15</v>
      </c>
      <c r="P33" s="52" t="s">
        <v>16</v>
      </c>
      <c r="Q33" s="52" t="s">
        <v>17</v>
      </c>
      <c r="R33" s="52" t="s">
        <v>18</v>
      </c>
      <c r="S33" s="52" t="s">
        <v>19</v>
      </c>
      <c r="T33" s="52" t="s">
        <v>20</v>
      </c>
      <c r="U33" s="52" t="s">
        <v>21</v>
      </c>
      <c r="V33" s="52" t="s">
        <v>22</v>
      </c>
      <c r="W33" s="52" t="s">
        <v>23</v>
      </c>
      <c r="X33" s="52" t="s">
        <v>24</v>
      </c>
      <c r="Y33" s="52" t="s">
        <v>25</v>
      </c>
      <c r="Z33" s="52" t="s">
        <v>26</v>
      </c>
      <c r="AA33" s="52" t="s">
        <v>27</v>
      </c>
      <c r="AB33" s="52" t="s">
        <v>28</v>
      </c>
      <c r="AC33" s="52" t="s">
        <v>29</v>
      </c>
      <c r="AD33" s="52" t="s">
        <v>30</v>
      </c>
      <c r="AE33" s="52" t="s">
        <v>31</v>
      </c>
      <c r="AF33" s="52" t="s">
        <v>32</v>
      </c>
      <c r="AG33" s="52" t="s">
        <v>33</v>
      </c>
      <c r="AH33" s="52" t="s">
        <v>34</v>
      </c>
      <c r="AI33" s="52" t="s">
        <v>35</v>
      </c>
      <c r="AJ33" s="52" t="s">
        <v>36</v>
      </c>
      <c r="AK33" s="52" t="s">
        <v>37</v>
      </c>
      <c r="AL33" s="52" t="s">
        <v>38</v>
      </c>
      <c r="AM33" s="15"/>
    </row>
    <row r="34" ht="12.75" customHeight="1" spans="2:39" x14ac:dyDescent="0.25">
      <c r="B34" s="16"/>
      <c r="C34" s="17"/>
      <c r="D34" s="17" t="s">
        <v>41</v>
      </c>
      <c r="E34" s="17"/>
      <c r="F34" s="17"/>
      <c r="G34" s="18">
        <f>G11</f>
      </c>
      <c r="H34" s="18">
        <f>H11</f>
      </c>
      <c r="I34" s="18">
        <f>I11</f>
      </c>
      <c r="J34" s="18">
        <f>J11</f>
      </c>
      <c r="K34" s="18">
        <f>K11</f>
      </c>
      <c r="L34" s="18">
        <f>L11</f>
      </c>
      <c r="M34" s="18">
        <f>M11</f>
      </c>
      <c r="N34" s="18">
        <f>N11</f>
      </c>
      <c r="O34" s="18">
        <f>O11</f>
      </c>
      <c r="P34" s="18">
        <f>P11</f>
      </c>
      <c r="Q34" s="18">
        <f>Q11</f>
      </c>
      <c r="R34" s="18">
        <f>R11</f>
      </c>
      <c r="S34" s="18">
        <f>S11</f>
      </c>
      <c r="T34" s="18">
        <f>T11</f>
      </c>
      <c r="U34" s="18">
        <f>U11</f>
      </c>
      <c r="V34" s="18">
        <f>V11</f>
      </c>
      <c r="W34" s="18">
        <f>W11</f>
      </c>
      <c r="X34" s="18">
        <f>X11</f>
      </c>
      <c r="Y34" s="18">
        <f>Y11</f>
      </c>
      <c r="Z34" s="18">
        <f>Z11</f>
      </c>
      <c r="AA34" s="18">
        <f>AA11</f>
      </c>
      <c r="AB34" s="18">
        <f>AB11</f>
      </c>
      <c r="AC34" s="18">
        <f>AC11</f>
      </c>
      <c r="AD34" s="18">
        <f>AD11</f>
      </c>
      <c r="AE34" s="18">
        <f>AE11</f>
      </c>
      <c r="AF34" s="18">
        <f>AF11</f>
      </c>
      <c r="AG34" s="18">
        <f>AG11</f>
      </c>
      <c r="AH34" s="18">
        <f>AH11</f>
      </c>
      <c r="AI34" s="18">
        <f>AI11</f>
      </c>
      <c r="AJ34" s="18">
        <f>AJ11</f>
      </c>
      <c r="AK34" s="18">
        <f>AK11</f>
      </c>
      <c r="AL34" s="18">
        <f>AL11</f>
      </c>
      <c r="AM34" s="19"/>
    </row>
    <row r="35" ht="12.75" customHeight="1" spans="2:39" x14ac:dyDescent="0.25">
      <c r="B35" s="16"/>
      <c r="C35" s="17"/>
      <c r="D35" s="17" t="s">
        <v>42</v>
      </c>
      <c r="E35" s="17"/>
      <c r="F35" s="17"/>
      <c r="G35" s="18">
        <f>G20</f>
      </c>
      <c r="H35" s="18">
        <f>H20</f>
      </c>
      <c r="I35" s="18">
        <f>I20</f>
      </c>
      <c r="J35" s="18">
        <f>J20</f>
      </c>
      <c r="K35" s="18">
        <f>K20</f>
      </c>
      <c r="L35" s="18">
        <f>L20</f>
      </c>
      <c r="M35" s="18">
        <f>M20</f>
      </c>
      <c r="N35" s="18">
        <f>N20</f>
      </c>
      <c r="O35" s="18">
        <f>O20</f>
      </c>
      <c r="P35" s="18">
        <f>P20</f>
      </c>
      <c r="Q35" s="18">
        <f>Q20</f>
      </c>
      <c r="R35" s="18">
        <f>R20</f>
      </c>
      <c r="S35" s="18">
        <f>S20</f>
      </c>
      <c r="T35" s="18">
        <f>T20</f>
      </c>
      <c r="U35" s="18">
        <f>U20</f>
      </c>
      <c r="V35" s="18">
        <f>V20</f>
      </c>
      <c r="W35" s="18">
        <f>W20</f>
      </c>
      <c r="X35" s="18">
        <f>X20</f>
      </c>
      <c r="Y35" s="18">
        <f>Y20</f>
      </c>
      <c r="Z35" s="18">
        <f>Z20</f>
      </c>
      <c r="AA35" s="18">
        <f>AA20</f>
      </c>
      <c r="AB35" s="18">
        <f>AB20</f>
      </c>
      <c r="AC35" s="18">
        <f>AC20</f>
      </c>
      <c r="AD35" s="18">
        <f>AD20</f>
      </c>
      <c r="AE35" s="18">
        <f>AE20</f>
      </c>
      <c r="AF35" s="18">
        <f>AF20</f>
      </c>
      <c r="AG35" s="18">
        <f>AG20</f>
      </c>
      <c r="AH35" s="18">
        <f>AH20</f>
      </c>
      <c r="AI35" s="18">
        <f>AI20</f>
      </c>
      <c r="AJ35" s="18">
        <f>AJ20</f>
      </c>
      <c r="AK35" s="18">
        <f>AK20</f>
      </c>
      <c r="AL35" s="18">
        <f>AL20</f>
      </c>
      <c r="AM35" s="19"/>
    </row>
    <row r="36" ht="12.75" customHeight="1" spans="2:39" x14ac:dyDescent="0.25">
      <c r="B36" s="16"/>
      <c r="C36" s="17"/>
      <c r="D36" s="17" t="s">
        <v>43</v>
      </c>
      <c r="E36" s="17"/>
      <c r="F36" s="17"/>
      <c r="G36" s="18">
        <f>G25</f>
      </c>
      <c r="H36" s="18">
        <f>H25</f>
      </c>
      <c r="I36" s="18">
        <f>I25</f>
      </c>
      <c r="J36" s="18">
        <f>J25</f>
      </c>
      <c r="K36" s="18">
        <f>K25</f>
      </c>
      <c r="L36" s="18">
        <f>L25</f>
      </c>
      <c r="M36" s="18">
        <f>M25</f>
      </c>
      <c r="N36" s="18">
        <f>N25</f>
      </c>
      <c r="O36" s="18">
        <f>O25</f>
      </c>
      <c r="P36" s="18">
        <f>P25</f>
      </c>
      <c r="Q36" s="18">
        <f>Q25</f>
      </c>
      <c r="R36" s="18">
        <f>R25</f>
      </c>
      <c r="S36" s="18">
        <f>S25</f>
      </c>
      <c r="T36" s="18">
        <f>T25</f>
      </c>
      <c r="U36" s="18">
        <f>U25</f>
      </c>
      <c r="V36" s="18">
        <f>V25</f>
      </c>
      <c r="W36" s="18">
        <f>W25</f>
      </c>
      <c r="X36" s="18">
        <f>X25</f>
      </c>
      <c r="Y36" s="18">
        <f>Y25</f>
      </c>
      <c r="Z36" s="18">
        <f>Z25</f>
      </c>
      <c r="AA36" s="18">
        <f>AA25</f>
      </c>
      <c r="AB36" s="18">
        <f>AB25</f>
      </c>
      <c r="AC36" s="18">
        <f>AC25</f>
      </c>
      <c r="AD36" s="18">
        <f>AD25</f>
      </c>
      <c r="AE36" s="18">
        <f>AE25</f>
      </c>
      <c r="AF36" s="18">
        <f>AF25</f>
      </c>
      <c r="AG36" s="18">
        <f>AG25</f>
      </c>
      <c r="AH36" s="18">
        <f>AH25</f>
      </c>
      <c r="AI36" s="18">
        <f>AI25</f>
      </c>
      <c r="AJ36" s="18">
        <f>AJ25</f>
      </c>
      <c r="AK36" s="18">
        <f>AK25</f>
      </c>
      <c r="AL36" s="18">
        <f>AL25</f>
      </c>
      <c r="AM36" s="19"/>
    </row>
    <row r="37" ht="12.75" customHeight="1" spans="2:39" x14ac:dyDescent="0.25">
      <c r="B37" s="16"/>
      <c r="C37" s="17"/>
      <c r="D37" s="17" t="s">
        <v>44</v>
      </c>
      <c r="E37" s="17"/>
      <c r="F37" s="17"/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8">
        <f>AK30</f>
      </c>
      <c r="AL37" s="18">
        <f>AL30</f>
      </c>
      <c r="AM37" s="19"/>
    </row>
    <row r="38" ht="12.75" customHeight="1" spans="2:39" x14ac:dyDescent="0.25">
      <c r="B38" s="20"/>
      <c r="C38" s="21"/>
      <c r="D38" s="21" t="s">
        <v>45</v>
      </c>
      <c r="E38" s="21"/>
      <c r="F38" s="21"/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2">
        <f>AK34+AK35+AK36+AK37</f>
      </c>
      <c r="AL38" s="22">
        <f>AL34+AL35+AL36+AL37</f>
      </c>
      <c r="AM38" s="23"/>
    </row>
    <row r="40" ht="12.75" customHeight="1" spans="2:39" x14ac:dyDescent="0.25">
      <c r="B40" s="11" t="s">
        <v>46</v>
      </c>
      <c r="C40" s="12"/>
      <c r="D40" s="12"/>
      <c r="E40" s="12"/>
      <c r="F40" s="12"/>
      <c r="G40" s="52" t="s">
        <v>7</v>
      </c>
      <c r="H40" s="52" t="s">
        <v>8</v>
      </c>
      <c r="I40" s="52" t="s">
        <v>9</v>
      </c>
      <c r="J40" s="52" t="s">
        <v>10</v>
      </c>
      <c r="K40" s="52" t="s">
        <v>11</v>
      </c>
      <c r="L40" s="52" t="s">
        <v>12</v>
      </c>
      <c r="M40" s="52" t="s">
        <v>13</v>
      </c>
      <c r="N40" s="52" t="s">
        <v>14</v>
      </c>
      <c r="O40" s="52" t="s">
        <v>15</v>
      </c>
      <c r="P40" s="52" t="s">
        <v>16</v>
      </c>
      <c r="Q40" s="52" t="s">
        <v>17</v>
      </c>
      <c r="R40" s="52" t="s">
        <v>18</v>
      </c>
      <c r="S40" s="52" t="s">
        <v>19</v>
      </c>
      <c r="T40" s="52" t="s">
        <v>20</v>
      </c>
      <c r="U40" s="52" t="s">
        <v>21</v>
      </c>
      <c r="V40" s="52" t="s">
        <v>22</v>
      </c>
      <c r="W40" s="52" t="s">
        <v>23</v>
      </c>
      <c r="X40" s="52" t="s">
        <v>24</v>
      </c>
      <c r="Y40" s="52" t="s">
        <v>25</v>
      </c>
      <c r="Z40" s="52" t="s">
        <v>26</v>
      </c>
      <c r="AA40" s="52" t="s">
        <v>27</v>
      </c>
      <c r="AB40" s="52" t="s">
        <v>28</v>
      </c>
      <c r="AC40" s="52" t="s">
        <v>29</v>
      </c>
      <c r="AD40" s="52" t="s">
        <v>30</v>
      </c>
      <c r="AE40" s="52" t="s">
        <v>31</v>
      </c>
      <c r="AF40" s="52" t="s">
        <v>32</v>
      </c>
      <c r="AG40" s="52" t="s">
        <v>33</v>
      </c>
      <c r="AH40" s="52" t="s">
        <v>34</v>
      </c>
      <c r="AI40" s="52" t="s">
        <v>35</v>
      </c>
      <c r="AJ40" s="52" t="s">
        <v>36</v>
      </c>
      <c r="AK40" s="52" t="s">
        <v>37</v>
      </c>
      <c r="AL40" s="52" t="s">
        <v>38</v>
      </c>
      <c r="AM40" s="15"/>
    </row>
    <row r="41" ht="12.75" customHeight="1" spans="2:39" x14ac:dyDescent="0.25">
      <c r="B41" s="16"/>
      <c r="C41" s="17"/>
      <c r="D41" s="17" t="s">
        <v>41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42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43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44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20"/>
      <c r="C45" s="21"/>
      <c r="D45" s="21" t="s">
        <v>45</v>
      </c>
      <c r="E45" s="21"/>
      <c r="F45" s="21"/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2">
        <f>AK41+AK42+AK43+AK44</f>
      </c>
      <c r="AL45" s="22">
        <f>AL41+AL42+AL43+AL44</f>
      </c>
      <c r="AM45" s="23"/>
    </row>
    <row r="47" ht="12.75" customHeight="1" spans="2:39" x14ac:dyDescent="0.25">
      <c r="B47" s="11" t="s">
        <v>47</v>
      </c>
      <c r="C47" s="12"/>
      <c r="D47" s="12"/>
      <c r="E47" s="12"/>
      <c r="F47" s="12"/>
      <c r="G47" s="52" t="s">
        <v>7</v>
      </c>
      <c r="H47" s="52" t="s">
        <v>8</v>
      </c>
      <c r="I47" s="52" t="s">
        <v>9</v>
      </c>
      <c r="J47" s="52" t="s">
        <v>10</v>
      </c>
      <c r="K47" s="52" t="s">
        <v>11</v>
      </c>
      <c r="L47" s="52" t="s">
        <v>12</v>
      </c>
      <c r="M47" s="52" t="s">
        <v>13</v>
      </c>
      <c r="N47" s="52" t="s">
        <v>14</v>
      </c>
      <c r="O47" s="52" t="s">
        <v>15</v>
      </c>
      <c r="P47" s="52" t="s">
        <v>16</v>
      </c>
      <c r="Q47" s="52" t="s">
        <v>17</v>
      </c>
      <c r="R47" s="52" t="s">
        <v>18</v>
      </c>
      <c r="S47" s="52" t="s">
        <v>19</v>
      </c>
      <c r="T47" s="52" t="s">
        <v>20</v>
      </c>
      <c r="U47" s="52" t="s">
        <v>21</v>
      </c>
      <c r="V47" s="52" t="s">
        <v>22</v>
      </c>
      <c r="W47" s="52" t="s">
        <v>23</v>
      </c>
      <c r="X47" s="52" t="s">
        <v>24</v>
      </c>
      <c r="Y47" s="52" t="s">
        <v>25</v>
      </c>
      <c r="Z47" s="52" t="s">
        <v>26</v>
      </c>
      <c r="AA47" s="52" t="s">
        <v>27</v>
      </c>
      <c r="AB47" s="52" t="s">
        <v>28</v>
      </c>
      <c r="AC47" s="52" t="s">
        <v>29</v>
      </c>
      <c r="AD47" s="52" t="s">
        <v>30</v>
      </c>
      <c r="AE47" s="52" t="s">
        <v>31</v>
      </c>
      <c r="AF47" s="52" t="s">
        <v>32</v>
      </c>
      <c r="AG47" s="52" t="s">
        <v>33</v>
      </c>
      <c r="AH47" s="52" t="s">
        <v>34</v>
      </c>
      <c r="AI47" s="52" t="s">
        <v>35</v>
      </c>
      <c r="AJ47" s="52" t="s">
        <v>36</v>
      </c>
      <c r="AK47" s="52" t="s">
        <v>37</v>
      </c>
      <c r="AL47" s="52" t="s">
        <v>38</v>
      </c>
      <c r="AM47" s="15"/>
    </row>
    <row r="48" ht="12.75" customHeight="1" spans="2:39" x14ac:dyDescent="0.25">
      <c r="B48" s="16"/>
      <c r="C48" s="17"/>
      <c r="D48" s="17" t="s">
        <v>41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42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43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44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20"/>
      <c r="C52" s="21"/>
      <c r="D52" s="21" t="s">
        <v>45</v>
      </c>
      <c r="E52" s="21"/>
      <c r="F52" s="21"/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5">
        <f>AK48+AK49+AK50+AK51</f>
      </c>
      <c r="AL52" s="25">
        <f>AL48+AL49+AL50+AL51</f>
      </c>
      <c r="AM5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226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228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>
        <v>78.4</v>
      </c>
      <c r="V13" s="33">
        <v>85.49</v>
      </c>
      <c r="W13" s="33">
        <v>56.01</v>
      </c>
      <c r="X13" s="33">
        <v>72.35</v>
      </c>
      <c r="Y13" s="33">
        <v>74.87</v>
      </c>
      <c r="Z13" s="33">
        <v>84.72</v>
      </c>
      <c r="AA13" s="33">
        <v>74.53</v>
      </c>
      <c r="AB13" s="33">
        <v>94.12</v>
      </c>
      <c r="AC13" s="33">
        <v>37.16</v>
      </c>
      <c r="AD13" s="33">
        <v>39.05</v>
      </c>
      <c r="AE13" s="33">
        <v>37.9</v>
      </c>
      <c r="AF13" s="33">
        <v>36.78</v>
      </c>
      <c r="AG13" s="33">
        <v>44.09</v>
      </c>
      <c r="AH13" s="33">
        <v>43.07</v>
      </c>
      <c r="AI13" s="33">
        <v>43.07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229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>
        <v>526.5</v>
      </c>
      <c r="V14" s="33">
        <v>577.92</v>
      </c>
      <c r="W14" s="33">
        <v>537.34</v>
      </c>
      <c r="X14" s="33">
        <v>574.95</v>
      </c>
      <c r="Y14" s="33">
        <v>593.42</v>
      </c>
      <c r="Z14" s="33">
        <v>643.09</v>
      </c>
      <c r="AA14" s="33">
        <v>509.13</v>
      </c>
      <c r="AB14" s="33">
        <v>549.87</v>
      </c>
      <c r="AC14" s="33">
        <v>520.4</v>
      </c>
      <c r="AD14" s="33">
        <v>467.01</v>
      </c>
      <c r="AE14" s="33">
        <v>499.08</v>
      </c>
      <c r="AF14" s="33">
        <v>505.68</v>
      </c>
      <c r="AG14" s="33">
        <v>551.21</v>
      </c>
      <c r="AH14" s="33">
        <v>511.26</v>
      </c>
      <c r="AI14" s="33">
        <v>534.67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230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>
        <v>69.36</v>
      </c>
      <c r="V15" s="33">
        <v>37.36</v>
      </c>
      <c r="W15" s="33">
        <v>63.38</v>
      </c>
      <c r="X15" s="33">
        <v>32.18</v>
      </c>
      <c r="Y15" s="33">
        <v>32.43</v>
      </c>
      <c r="Z15" s="33">
        <v>32.99</v>
      </c>
      <c r="AA15" s="33">
        <v>37.03</v>
      </c>
      <c r="AB15" s="33">
        <v>33.5</v>
      </c>
      <c r="AC15" s="33">
        <v>32.18</v>
      </c>
      <c r="AD15" s="33">
        <v>34.83</v>
      </c>
      <c r="AE15" s="33">
        <v>32.52</v>
      </c>
      <c r="AF15" s="33">
        <v>32.78</v>
      </c>
      <c r="AG15" s="33">
        <v>38.97</v>
      </c>
      <c r="AH15" s="33">
        <v>41.01</v>
      </c>
      <c r="AI15" s="33">
        <v>38.86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231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>
        <v>298.34</v>
      </c>
      <c r="V16" s="33">
        <v>332.25</v>
      </c>
      <c r="W16" s="33">
        <v>294.32</v>
      </c>
      <c r="X16" s="33">
        <v>369.1</v>
      </c>
      <c r="Y16" s="33">
        <v>496.75</v>
      </c>
      <c r="Z16" s="33">
        <v>702.92</v>
      </c>
      <c r="AA16" s="33">
        <v>609.99</v>
      </c>
      <c r="AB16" s="33">
        <v>781.42</v>
      </c>
      <c r="AC16" s="33">
        <v>618.02</v>
      </c>
      <c r="AD16" s="33">
        <v>512.58</v>
      </c>
      <c r="AE16" s="33">
        <v>407.79</v>
      </c>
      <c r="AF16" s="33">
        <v>343.69</v>
      </c>
      <c r="AG16" s="33">
        <v>283.38</v>
      </c>
      <c r="AH16" s="33">
        <v>263.32</v>
      </c>
      <c r="AI16" s="33">
        <v>400.35</v>
      </c>
      <c r="AJ16" s="34">
        <f>SUM(E16:AI16)</f>
      </c>
      <c r="AK16" s="35"/>
    </row>
    <row r="17" ht="12.75" customHeight="1" spans="2:37" x14ac:dyDescent="0.25">
      <c r="B17" s="37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40"/>
    </row>
    <row r="18" ht="12.75" customHeight="1" spans="2:37" x14ac:dyDescent="0.25">
      <c r="B18" s="20" t="s">
        <v>85</v>
      </c>
      <c r="C18" s="21"/>
      <c r="D18" s="21"/>
      <c r="E18" s="22">
        <f>SUM(E13:E16)</f>
      </c>
      <c r="F18" s="22">
        <f>SUM(F13:F16)</f>
      </c>
      <c r="G18" s="22">
        <f>SUM(G13:G16)</f>
      </c>
      <c r="H18" s="22">
        <f>SUM(H13:H16)</f>
      </c>
      <c r="I18" s="22">
        <f>SUM(I13:I16)</f>
      </c>
      <c r="J18" s="22">
        <f>SUM(J13:J16)</f>
      </c>
      <c r="K18" s="22">
        <f>SUM(K13:K16)</f>
      </c>
      <c r="L18" s="22">
        <f>SUM(L13:L16)</f>
      </c>
      <c r="M18" s="22">
        <f>SUM(M13:M16)</f>
      </c>
      <c r="N18" s="22">
        <f>SUM(N13:N16)</f>
      </c>
      <c r="O18" s="22">
        <f>SUM(O13:O16)</f>
      </c>
      <c r="P18" s="22">
        <f>SUM(P13:P16)</f>
      </c>
      <c r="Q18" s="22">
        <f>SUM(Q13:Q16)</f>
      </c>
      <c r="R18" s="22">
        <f>SUM(R13:R16)</f>
      </c>
      <c r="S18" s="22">
        <f>SUM(S13:S16)</f>
      </c>
      <c r="T18" s="22">
        <f>SUM(T13:T16)</f>
      </c>
      <c r="U18" s="22">
        <f>SUM(U13:U16)</f>
      </c>
      <c r="V18" s="22">
        <f>SUM(V13:V16)</f>
      </c>
      <c r="W18" s="22">
        <f>SUM(W13:W16)</f>
      </c>
      <c r="X18" s="22">
        <f>SUM(X13:X16)</f>
      </c>
      <c r="Y18" s="22">
        <f>SUM(Y13:Y16)</f>
      </c>
      <c r="Z18" s="22">
        <f>SUM(Z13:Z16)</f>
      </c>
      <c r="AA18" s="22">
        <f>SUM(AA13:AA16)</f>
      </c>
      <c r="AB18" s="22">
        <f>SUM(AB13:AB16)</f>
      </c>
      <c r="AC18" s="22">
        <f>SUM(AC13:AC16)</f>
      </c>
      <c r="AD18" s="22">
        <f>SUM(AD13:AD16)</f>
      </c>
      <c r="AE18" s="22">
        <f>SUM(AE13:AE16)</f>
      </c>
      <c r="AF18" s="22">
        <f>SUM(AF13:AF16)</f>
      </c>
      <c r="AG18" s="22">
        <f>SUM(AG13:AG16)</f>
      </c>
      <c r="AH18" s="22">
        <f>SUM(AH13:AH16)</f>
      </c>
      <c r="AI18" s="22">
        <f>SUM(AI13:AI16)</f>
      </c>
      <c r="AJ18" s="22">
        <f>SUM(AJ13:AJ16)</f>
      </c>
      <c r="AK18" s="23"/>
    </row>
    <row r="20" ht="12.75" customHeight="1" spans="2:37" x14ac:dyDescent="0.25">
      <c r="B20" s="26" t="s">
        <v>43</v>
      </c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9"/>
    </row>
    <row r="21" ht="12.75" customHeight="1" spans="2:37" x14ac:dyDescent="0.25">
      <c r="B21" s="30" t="s">
        <v>43</v>
      </c>
      <c r="C21" s="31" t="s">
        <v>232</v>
      </c>
      <c r="D21" s="32" t="s">
        <v>233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6">
        <f>39114.94+60462.82+3780.00</f>
        <v>103357.76000000001</v>
      </c>
      <c r="W21" s="32"/>
      <c r="X21" s="36">
        <f>44762.51+61402.87+3780.00</f>
        <v>109945.38</v>
      </c>
      <c r="Y21" s="32"/>
      <c r="Z21" s="36">
        <f>33296.67+54288.46+3780.00</f>
        <v>91365.13</v>
      </c>
      <c r="AA21" s="32"/>
      <c r="AB21" s="36">
        <f>46153.47+57010.09+3780.00</f>
        <v>106943.56</v>
      </c>
      <c r="AC21" s="32"/>
      <c r="AD21" s="36">
        <f>50931.31+79582.16+3780.00</f>
        <v>134293.47</v>
      </c>
      <c r="AE21" s="32"/>
      <c r="AF21" s="36">
        <f>58583.42+73137.70+3780.00</f>
        <v>135501.12</v>
      </c>
      <c r="AG21" s="32"/>
      <c r="AH21" s="36">
        <f>50465.68+63004.60+3780.00</f>
        <v>117250.28</v>
      </c>
      <c r="AI21" s="32"/>
      <c r="AJ21" s="34">
        <f>SUM(E21:AI21)</f>
      </c>
      <c r="AK21" s="35"/>
    </row>
    <row r="22" ht="12.75" customHeight="1" spans="2:37" x14ac:dyDescent="0.25">
      <c r="B22" s="30" t="s">
        <v>43</v>
      </c>
      <c r="C22" s="31" t="s">
        <v>232</v>
      </c>
      <c r="D22" s="32" t="s">
        <v>234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6">
        <f>38138.78+58953.53+3780.00</f>
        <v>100872.31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89</v>
      </c>
      <c r="C24" s="21"/>
      <c r="D24" s="21"/>
      <c r="E24" s="22">
        <f>SUM(E21:E22)</f>
      </c>
      <c r="F24" s="22">
        <f>SUM(F21:F22)</f>
      </c>
      <c r="G24" s="22">
        <f>SUM(G21:G22)</f>
      </c>
      <c r="H24" s="22">
        <f>SUM(H21:H22)</f>
      </c>
      <c r="I24" s="22">
        <f>SUM(I21:I22)</f>
      </c>
      <c r="J24" s="22">
        <f>SUM(J21:J22)</f>
      </c>
      <c r="K24" s="22">
        <f>SUM(K21:K22)</f>
      </c>
      <c r="L24" s="22">
        <f>SUM(L21:L22)</f>
      </c>
      <c r="M24" s="22">
        <f>SUM(M21:M22)</f>
      </c>
      <c r="N24" s="22">
        <f>SUM(N21:N22)</f>
      </c>
      <c r="O24" s="22">
        <f>SUM(O21:O22)</f>
      </c>
      <c r="P24" s="22">
        <f>SUM(P21:P22)</f>
      </c>
      <c r="Q24" s="22">
        <f>SUM(Q21:Q22)</f>
      </c>
      <c r="R24" s="22">
        <f>SUM(R21:R22)</f>
      </c>
      <c r="S24" s="22">
        <f>SUM(S21:S22)</f>
      </c>
      <c r="T24" s="22">
        <f>SUM(T21:T22)</f>
      </c>
      <c r="U24" s="22">
        <f>SUM(U21:U22)</f>
      </c>
      <c r="V24" s="22">
        <f>SUM(V21:V22)</f>
      </c>
      <c r="W24" s="22">
        <f>SUM(W21:W22)</f>
      </c>
      <c r="X24" s="22">
        <f>SUM(X21:X22)</f>
      </c>
      <c r="Y24" s="22">
        <f>SUM(Y21:Y22)</f>
      </c>
      <c r="Z24" s="22">
        <f>SUM(Z21:Z22)</f>
      </c>
      <c r="AA24" s="22">
        <f>SUM(AA21:AA22)</f>
      </c>
      <c r="AB24" s="22">
        <f>SUM(AB21:AB22)</f>
      </c>
      <c r="AC24" s="22">
        <f>SUM(AC21:AC22)</f>
      </c>
      <c r="AD24" s="22">
        <f>SUM(AD21:AD22)</f>
      </c>
      <c r="AE24" s="22">
        <f>SUM(AE21:AE22)</f>
      </c>
      <c r="AF24" s="22">
        <f>SUM(AF21:AF22)</f>
      </c>
      <c r="AG24" s="22">
        <f>SUM(AG21:AG22)</f>
      </c>
      <c r="AH24" s="22">
        <f>SUM(AH21:AH22)</f>
      </c>
      <c r="AI24" s="22">
        <f>SUM(AI21:AI22)</f>
      </c>
      <c r="AJ24" s="22">
        <f>SUM(AJ21:AJ22)</f>
      </c>
      <c r="AK24" s="23"/>
    </row>
    <row r="26" ht="12.75" customHeight="1" spans="2:37" x14ac:dyDescent="0.25">
      <c r="B26" s="26" t="s">
        <v>44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44</v>
      </c>
      <c r="C27" s="31" t="s">
        <v>232</v>
      </c>
      <c r="D27" s="32" t="s">
        <v>233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3181.5</v>
      </c>
      <c r="W27" s="32"/>
      <c r="X27" s="33">
        <v>3181.5</v>
      </c>
      <c r="Y27" s="32"/>
      <c r="Z27" s="33">
        <v>3181.5</v>
      </c>
      <c r="AA27" s="32"/>
      <c r="AB27" s="33">
        <v>3181.5</v>
      </c>
      <c r="AC27" s="32"/>
      <c r="AD27" s="33">
        <v>3024</v>
      </c>
      <c r="AE27" s="32"/>
      <c r="AF27" s="33">
        <v>3024</v>
      </c>
      <c r="AG27" s="32"/>
      <c r="AH27" s="33">
        <v>3024</v>
      </c>
      <c r="AI27" s="32"/>
      <c r="AJ27" s="34">
        <f>SUM(E27:AI27)</f>
      </c>
      <c r="AK27" s="35"/>
    </row>
    <row r="28" ht="12.75" customHeight="1" spans="2:37" x14ac:dyDescent="0.25">
      <c r="B28" s="30" t="s">
        <v>44</v>
      </c>
      <c r="C28" s="31" t="s">
        <v>232</v>
      </c>
      <c r="D28" s="32" t="s">
        <v>234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>
        <v>3181.5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7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</row>
    <row r="30" ht="12.75" customHeight="1" spans="2:37" x14ac:dyDescent="0.25">
      <c r="B30" s="20" t="s">
        <v>90</v>
      </c>
      <c r="C30" s="21"/>
      <c r="D30" s="21"/>
      <c r="E30" s="22">
        <f>SUM(E27:E28)</f>
      </c>
      <c r="F30" s="22">
        <f>SUM(F27:F28)</f>
      </c>
      <c r="G30" s="22">
        <f>SUM(G27:G28)</f>
      </c>
      <c r="H30" s="22">
        <f>SUM(H27:H28)</f>
      </c>
      <c r="I30" s="22">
        <f>SUM(I27:I28)</f>
      </c>
      <c r="J30" s="22">
        <f>SUM(J27:J28)</f>
      </c>
      <c r="K30" s="22">
        <f>SUM(K27:K28)</f>
      </c>
      <c r="L30" s="22">
        <f>SUM(L27:L28)</f>
      </c>
      <c r="M30" s="22">
        <f>SUM(M27:M28)</f>
      </c>
      <c r="N30" s="22">
        <f>SUM(N27:N28)</f>
      </c>
      <c r="O30" s="22">
        <f>SUM(O27:O28)</f>
      </c>
      <c r="P30" s="22">
        <f>SUM(P27:P28)</f>
      </c>
      <c r="Q30" s="22">
        <f>SUM(Q27:Q28)</f>
      </c>
      <c r="R30" s="22">
        <f>SUM(R27:R28)</f>
      </c>
      <c r="S30" s="22">
        <f>SUM(S27:S28)</f>
      </c>
      <c r="T30" s="22">
        <f>SUM(T27:T28)</f>
      </c>
      <c r="U30" s="22">
        <f>SUM(U27:U28)</f>
      </c>
      <c r="V30" s="22">
        <f>SUM(V27:V28)</f>
      </c>
      <c r="W30" s="22">
        <f>SUM(W27:W28)</f>
      </c>
      <c r="X30" s="22">
        <f>SUM(X27:X28)</f>
      </c>
      <c r="Y30" s="22">
        <f>SUM(Y27:Y28)</f>
      </c>
      <c r="Z30" s="22">
        <f>SUM(Z27:Z28)</f>
      </c>
      <c r="AA30" s="22">
        <f>SUM(AA27:AA28)</f>
      </c>
      <c r="AB30" s="22">
        <f>SUM(AB27:AB28)</f>
      </c>
      <c r="AC30" s="22">
        <f>SUM(AC27:AC28)</f>
      </c>
      <c r="AD30" s="22">
        <f>SUM(AD27:AD28)</f>
      </c>
      <c r="AE30" s="22">
        <f>SUM(AE27:AE28)</f>
      </c>
      <c r="AF30" s="22">
        <f>SUM(AF27:AF28)</f>
      </c>
      <c r="AG30" s="22">
        <f>SUM(AG27:AG28)</f>
      </c>
      <c r="AH30" s="22">
        <f>SUM(AH27:AH28)</f>
      </c>
      <c r="AI30" s="22">
        <f>SUM(AI27:AI28)</f>
      </c>
      <c r="AJ30" s="22">
        <f>SUM(AJ27:AJ28)</f>
      </c>
      <c r="AK30" s="23"/>
    </row>
    <row r="33" ht="12.75" customHeight="1" spans="2:37" x14ac:dyDescent="0.25">
      <c r="B33" s="11" t="s">
        <v>40</v>
      </c>
      <c r="C33" s="12"/>
      <c r="D33" s="13"/>
      <c r="E33" s="14" t="s">
        <v>7</v>
      </c>
      <c r="F33" s="14" t="s">
        <v>8</v>
      </c>
      <c r="G33" s="14" t="s">
        <v>9</v>
      </c>
      <c r="H33" s="14" t="s">
        <v>10</v>
      </c>
      <c r="I33" s="14" t="s">
        <v>11</v>
      </c>
      <c r="J33" s="14" t="s">
        <v>12</v>
      </c>
      <c r="K33" s="14" t="s">
        <v>13</v>
      </c>
      <c r="L33" s="14" t="s">
        <v>14</v>
      </c>
      <c r="M33" s="14" t="s">
        <v>15</v>
      </c>
      <c r="N33" s="14" t="s">
        <v>16</v>
      </c>
      <c r="O33" s="14" t="s">
        <v>17</v>
      </c>
      <c r="P33" s="14" t="s">
        <v>18</v>
      </c>
      <c r="Q33" s="14" t="s">
        <v>19</v>
      </c>
      <c r="R33" s="14" t="s">
        <v>20</v>
      </c>
      <c r="S33" s="14" t="s">
        <v>21</v>
      </c>
      <c r="T33" s="14" t="s">
        <v>22</v>
      </c>
      <c r="U33" s="14" t="s">
        <v>23</v>
      </c>
      <c r="V33" s="14" t="s">
        <v>24</v>
      </c>
      <c r="W33" s="14" t="s">
        <v>25</v>
      </c>
      <c r="X33" s="14" t="s">
        <v>26</v>
      </c>
      <c r="Y33" s="14" t="s">
        <v>27</v>
      </c>
      <c r="Z33" s="14" t="s">
        <v>28</v>
      </c>
      <c r="AA33" s="14" t="s">
        <v>29</v>
      </c>
      <c r="AB33" s="14" t="s">
        <v>30</v>
      </c>
      <c r="AC33" s="14" t="s">
        <v>31</v>
      </c>
      <c r="AD33" s="14" t="s">
        <v>32</v>
      </c>
      <c r="AE33" s="14" t="s">
        <v>33</v>
      </c>
      <c r="AF33" s="14" t="s">
        <v>34</v>
      </c>
      <c r="AG33" s="14" t="s">
        <v>35</v>
      </c>
      <c r="AH33" s="14" t="s">
        <v>36</v>
      </c>
      <c r="AI33" s="14" t="s">
        <v>37</v>
      </c>
      <c r="AJ33" s="14" t="s">
        <v>38</v>
      </c>
      <c r="AK33" s="15"/>
    </row>
    <row r="34" ht="12.75" customHeight="1" spans="2:37" x14ac:dyDescent="0.25">
      <c r="B34" s="16" t="s">
        <v>41</v>
      </c>
      <c r="C34" s="17"/>
      <c r="D34" s="17"/>
      <c r="E34" s="18">
        <f>E10</f>
      </c>
      <c r="F34" s="18">
        <f>F10</f>
      </c>
      <c r="G34" s="18">
        <f>G10</f>
      </c>
      <c r="H34" s="18">
        <f>H10</f>
      </c>
      <c r="I34" s="18">
        <f>I10</f>
      </c>
      <c r="J34" s="18">
        <f>J10</f>
      </c>
      <c r="K34" s="18">
        <f>K10</f>
      </c>
      <c r="L34" s="18">
        <f>L10</f>
      </c>
      <c r="M34" s="18">
        <f>M10</f>
      </c>
      <c r="N34" s="18">
        <f>N10</f>
      </c>
      <c r="O34" s="18">
        <f>O10</f>
      </c>
      <c r="P34" s="18">
        <f>P10</f>
      </c>
      <c r="Q34" s="18">
        <f>Q10</f>
      </c>
      <c r="R34" s="18">
        <f>R10</f>
      </c>
      <c r="S34" s="18">
        <f>S10</f>
      </c>
      <c r="T34" s="18">
        <f>T10</f>
      </c>
      <c r="U34" s="18">
        <f>U10</f>
      </c>
      <c r="V34" s="18">
        <f>V10</f>
      </c>
      <c r="W34" s="18">
        <f>W10</f>
      </c>
      <c r="X34" s="18">
        <f>X10</f>
      </c>
      <c r="Y34" s="18">
        <f>Y10</f>
      </c>
      <c r="Z34" s="18">
        <f>Z10</f>
      </c>
      <c r="AA34" s="18">
        <f>AA10</f>
      </c>
      <c r="AB34" s="18">
        <f>AB10</f>
      </c>
      <c r="AC34" s="18">
        <f>AC10</f>
      </c>
      <c r="AD34" s="18">
        <f>AD10</f>
      </c>
      <c r="AE34" s="18">
        <f>AE10</f>
      </c>
      <c r="AF34" s="18">
        <f>AF10</f>
      </c>
      <c r="AG34" s="18">
        <f>AG10</f>
      </c>
      <c r="AH34" s="18">
        <f>AH10</f>
      </c>
      <c r="AI34" s="18">
        <f>AI10</f>
      </c>
      <c r="AJ34" s="18">
        <f>AJ10</f>
      </c>
      <c r="AK34" s="19"/>
    </row>
    <row r="35" ht="12.75" customHeight="1" spans="2:37" x14ac:dyDescent="0.25">
      <c r="B35" s="16" t="s">
        <v>42</v>
      </c>
      <c r="C35" s="17"/>
      <c r="D35" s="17"/>
      <c r="E35" s="18">
        <f>E18</f>
      </c>
      <c r="F35" s="18">
        <f>F18</f>
      </c>
      <c r="G35" s="18">
        <f>G18</f>
      </c>
      <c r="H35" s="18">
        <f>H18</f>
      </c>
      <c r="I35" s="18">
        <f>I18</f>
      </c>
      <c r="J35" s="18">
        <f>J18</f>
      </c>
      <c r="K35" s="18">
        <f>K18</f>
      </c>
      <c r="L35" s="18">
        <f>L18</f>
      </c>
      <c r="M35" s="18">
        <f>M18</f>
      </c>
      <c r="N35" s="18">
        <f>N18</f>
      </c>
      <c r="O35" s="18">
        <f>O18</f>
      </c>
      <c r="P35" s="18">
        <f>P18</f>
      </c>
      <c r="Q35" s="18">
        <f>Q18</f>
      </c>
      <c r="R35" s="18">
        <f>R18</f>
      </c>
      <c r="S35" s="18">
        <f>S18</f>
      </c>
      <c r="T35" s="18">
        <f>T18</f>
      </c>
      <c r="U35" s="18">
        <f>U18</f>
      </c>
      <c r="V35" s="18">
        <f>V18</f>
      </c>
      <c r="W35" s="18">
        <f>W18</f>
      </c>
      <c r="X35" s="18">
        <f>X18</f>
      </c>
      <c r="Y35" s="18">
        <f>Y18</f>
      </c>
      <c r="Z35" s="18">
        <f>Z18</f>
      </c>
      <c r="AA35" s="18">
        <f>AA18</f>
      </c>
      <c r="AB35" s="18">
        <f>AB18</f>
      </c>
      <c r="AC35" s="18">
        <f>AC18</f>
      </c>
      <c r="AD35" s="18">
        <f>AD18</f>
      </c>
      <c r="AE35" s="18">
        <f>AE18</f>
      </c>
      <c r="AF35" s="18">
        <f>AF18</f>
      </c>
      <c r="AG35" s="18">
        <f>AG18</f>
      </c>
      <c r="AH35" s="18">
        <f>AH18</f>
      </c>
      <c r="AI35" s="18">
        <f>AI18</f>
      </c>
      <c r="AJ35" s="18">
        <f>AJ18</f>
      </c>
      <c r="AK35" s="19"/>
    </row>
    <row r="36" ht="12.75" customHeight="1" spans="2:37" x14ac:dyDescent="0.25">
      <c r="B36" s="16" t="s">
        <v>43</v>
      </c>
      <c r="C36" s="17"/>
      <c r="D36" s="17"/>
      <c r="E36" s="18">
        <f>E24</f>
      </c>
      <c r="F36" s="18">
        <f>F24</f>
      </c>
      <c r="G36" s="18">
        <f>G24</f>
      </c>
      <c r="H36" s="18">
        <f>H24</f>
      </c>
      <c r="I36" s="18">
        <f>I24</f>
      </c>
      <c r="J36" s="18">
        <f>J24</f>
      </c>
      <c r="K36" s="18">
        <f>K24</f>
      </c>
      <c r="L36" s="18">
        <f>L24</f>
      </c>
      <c r="M36" s="18">
        <f>M24</f>
      </c>
      <c r="N36" s="18">
        <f>N24</f>
      </c>
      <c r="O36" s="18">
        <f>O24</f>
      </c>
      <c r="P36" s="18">
        <f>P24</f>
      </c>
      <c r="Q36" s="18">
        <f>Q24</f>
      </c>
      <c r="R36" s="18">
        <f>R24</f>
      </c>
      <c r="S36" s="18">
        <f>S24</f>
      </c>
      <c r="T36" s="18">
        <f>T24</f>
      </c>
      <c r="U36" s="18">
        <f>U24</f>
      </c>
      <c r="V36" s="18">
        <f>V24</f>
      </c>
      <c r="W36" s="18">
        <f>W24</f>
      </c>
      <c r="X36" s="18">
        <f>X24</f>
      </c>
      <c r="Y36" s="18">
        <f>Y24</f>
      </c>
      <c r="Z36" s="18">
        <f>Z24</f>
      </c>
      <c r="AA36" s="18">
        <f>AA24</f>
      </c>
      <c r="AB36" s="18">
        <f>AB24</f>
      </c>
      <c r="AC36" s="18">
        <f>AC24</f>
      </c>
      <c r="AD36" s="18">
        <f>AD24</f>
      </c>
      <c r="AE36" s="18">
        <f>AE24</f>
      </c>
      <c r="AF36" s="18">
        <f>AF24</f>
      </c>
      <c r="AG36" s="18">
        <f>AG24</f>
      </c>
      <c r="AH36" s="18">
        <f>AH24</f>
      </c>
      <c r="AI36" s="18">
        <f>AI24</f>
      </c>
      <c r="AJ36" s="18">
        <f>AJ24</f>
      </c>
      <c r="AK36" s="19"/>
    </row>
    <row r="37" ht="12.75" customHeight="1" spans="2:37" x14ac:dyDescent="0.25">
      <c r="B37" s="16" t="s">
        <v>44</v>
      </c>
      <c r="C37" s="17"/>
      <c r="D37" s="17"/>
      <c r="E37" s="18">
        <f>E30</f>
      </c>
      <c r="F37" s="18">
        <f>F30</f>
      </c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9"/>
    </row>
    <row r="38" ht="12.75" customHeight="1" spans="2:37" x14ac:dyDescent="0.25">
      <c r="B38" s="20" t="s">
        <v>45</v>
      </c>
      <c r="C38" s="21"/>
      <c r="D38" s="21"/>
      <c r="E38" s="22">
        <f>E34+E35+E36+E37</f>
      </c>
      <c r="F38" s="22">
        <f>F34+F35+F36+F37</f>
      </c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3"/>
    </row>
    <row r="40" ht="12.75" customHeight="1" spans="2:37" x14ac:dyDescent="0.25">
      <c r="B40" s="11" t="s">
        <v>46</v>
      </c>
      <c r="C40" s="12"/>
      <c r="D40" s="13"/>
      <c r="E40" s="14" t="s">
        <v>7</v>
      </c>
      <c r="F40" s="14" t="s">
        <v>8</v>
      </c>
      <c r="G40" s="14" t="s">
        <v>9</v>
      </c>
      <c r="H40" s="14" t="s">
        <v>10</v>
      </c>
      <c r="I40" s="14" t="s">
        <v>11</v>
      </c>
      <c r="J40" s="14" t="s">
        <v>12</v>
      </c>
      <c r="K40" s="14" t="s">
        <v>13</v>
      </c>
      <c r="L40" s="14" t="s">
        <v>14</v>
      </c>
      <c r="M40" s="14" t="s">
        <v>15</v>
      </c>
      <c r="N40" s="14" t="s">
        <v>16</v>
      </c>
      <c r="O40" s="14" t="s">
        <v>17</v>
      </c>
      <c r="P40" s="14" t="s">
        <v>18</v>
      </c>
      <c r="Q40" s="14" t="s">
        <v>19</v>
      </c>
      <c r="R40" s="14" t="s">
        <v>20</v>
      </c>
      <c r="S40" s="14" t="s">
        <v>21</v>
      </c>
      <c r="T40" s="14" t="s">
        <v>22</v>
      </c>
      <c r="U40" s="14" t="s">
        <v>23</v>
      </c>
      <c r="V40" s="14" t="s">
        <v>24</v>
      </c>
      <c r="W40" s="14" t="s">
        <v>25</v>
      </c>
      <c r="X40" s="14" t="s">
        <v>26</v>
      </c>
      <c r="Y40" s="14" t="s">
        <v>27</v>
      </c>
      <c r="Z40" s="14" t="s">
        <v>28</v>
      </c>
      <c r="AA40" s="14" t="s">
        <v>29</v>
      </c>
      <c r="AB40" s="14" t="s">
        <v>30</v>
      </c>
      <c r="AC40" s="14" t="s">
        <v>31</v>
      </c>
      <c r="AD40" s="14" t="s">
        <v>32</v>
      </c>
      <c r="AE40" s="14" t="s">
        <v>33</v>
      </c>
      <c r="AF40" s="14" t="s">
        <v>34</v>
      </c>
      <c r="AG40" s="14" t="s">
        <v>35</v>
      </c>
      <c r="AH40" s="14" t="s">
        <v>36</v>
      </c>
      <c r="AI40" s="14" t="s">
        <v>37</v>
      </c>
      <c r="AJ40" s="14" t="s">
        <v>38</v>
      </c>
      <c r="AK40" s="15"/>
    </row>
    <row r="41" ht="12.75" customHeight="1" spans="2:37" x14ac:dyDescent="0.25">
      <c r="B41" s="16" t="s">
        <v>41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42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43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44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20" t="s">
        <v>45</v>
      </c>
      <c r="C45" s="21"/>
      <c r="D45" s="21"/>
      <c r="E45" s="22">
        <f>E41+E42+E43+E44</f>
      </c>
      <c r="F45" s="22">
        <f>F41+F42+F43+F44</f>
      </c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3"/>
    </row>
    <row r="47" ht="12.75" customHeight="1" spans="2:37" x14ac:dyDescent="0.25">
      <c r="B47" s="11" t="s">
        <v>47</v>
      </c>
      <c r="C47" s="12"/>
      <c r="D47" s="13"/>
      <c r="E47" s="14" t="s">
        <v>7</v>
      </c>
      <c r="F47" s="14" t="s">
        <v>8</v>
      </c>
      <c r="G47" s="14" t="s">
        <v>9</v>
      </c>
      <c r="H47" s="14" t="s">
        <v>10</v>
      </c>
      <c r="I47" s="14" t="s">
        <v>11</v>
      </c>
      <c r="J47" s="14" t="s">
        <v>12</v>
      </c>
      <c r="K47" s="14" t="s">
        <v>13</v>
      </c>
      <c r="L47" s="14" t="s">
        <v>14</v>
      </c>
      <c r="M47" s="14" t="s">
        <v>15</v>
      </c>
      <c r="N47" s="14" t="s">
        <v>16</v>
      </c>
      <c r="O47" s="14" t="s">
        <v>17</v>
      </c>
      <c r="P47" s="14" t="s">
        <v>18</v>
      </c>
      <c r="Q47" s="14" t="s">
        <v>19</v>
      </c>
      <c r="R47" s="14" t="s">
        <v>20</v>
      </c>
      <c r="S47" s="14" t="s">
        <v>21</v>
      </c>
      <c r="T47" s="14" t="s">
        <v>22</v>
      </c>
      <c r="U47" s="14" t="s">
        <v>23</v>
      </c>
      <c r="V47" s="14" t="s">
        <v>24</v>
      </c>
      <c r="W47" s="14" t="s">
        <v>25</v>
      </c>
      <c r="X47" s="14" t="s">
        <v>26</v>
      </c>
      <c r="Y47" s="14" t="s">
        <v>27</v>
      </c>
      <c r="Z47" s="14" t="s">
        <v>28</v>
      </c>
      <c r="AA47" s="14" t="s">
        <v>29</v>
      </c>
      <c r="AB47" s="14" t="s">
        <v>30</v>
      </c>
      <c r="AC47" s="14" t="s">
        <v>31</v>
      </c>
      <c r="AD47" s="14" t="s">
        <v>32</v>
      </c>
      <c r="AE47" s="14" t="s">
        <v>33</v>
      </c>
      <c r="AF47" s="14" t="s">
        <v>34</v>
      </c>
      <c r="AG47" s="14" t="s">
        <v>35</v>
      </c>
      <c r="AH47" s="14" t="s">
        <v>36</v>
      </c>
      <c r="AI47" s="14" t="s">
        <v>37</v>
      </c>
      <c r="AJ47" s="14" t="s">
        <v>38</v>
      </c>
      <c r="AK47" s="15"/>
    </row>
    <row r="48" ht="12.75" customHeight="1" spans="2:37" x14ac:dyDescent="0.25">
      <c r="B48" s="16" t="s">
        <v>41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42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43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44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20" t="s">
        <v>45</v>
      </c>
      <c r="C52" s="21"/>
      <c r="D52" s="21"/>
      <c r="E52" s="25">
        <f>E48+E49+E50+E51</f>
      </c>
      <c r="F52" s="25">
        <f>F48+F49+F50+F51</f>
      </c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226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235</v>
      </c>
      <c r="W8" s="44" t="s">
        <v>236</v>
      </c>
      <c r="X8" s="44" t="s">
        <v>237</v>
      </c>
      <c r="Y8" s="44" t="s">
        <v>238</v>
      </c>
      <c r="Z8" s="44" t="s">
        <v>239</v>
      </c>
      <c r="AA8" s="44" t="s">
        <v>240</v>
      </c>
      <c r="AB8" s="44" t="s">
        <v>241</v>
      </c>
      <c r="AC8" s="44" t="s">
        <v>242</v>
      </c>
      <c r="AD8" s="44" t="s">
        <v>243</v>
      </c>
      <c r="AE8" s="44" t="s">
        <v>244</v>
      </c>
      <c r="AF8" s="44" t="s">
        <v>245</v>
      </c>
      <c r="AG8" s="44" t="s">
        <v>246</v>
      </c>
      <c r="AH8" s="44" t="s">
        <v>247</v>
      </c>
      <c r="AI8" s="44" t="s">
        <v>248</v>
      </c>
      <c r="AJ8" s="44" t="s">
        <v>249</v>
      </c>
      <c r="AK8" s="44" t="s">
        <v>250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226</v>
      </c>
      <c r="D14" s="50" t="s">
        <v>42</v>
      </c>
      <c r="E14" s="32" t="s">
        <v>227</v>
      </c>
      <c r="F14" s="32" t="s">
        <v>228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>
        <v>78.4</v>
      </c>
      <c r="X14" s="33">
        <v>85.49</v>
      </c>
      <c r="Y14" s="33">
        <v>56.01</v>
      </c>
      <c r="Z14" s="33">
        <v>72.35</v>
      </c>
      <c r="AA14" s="33">
        <v>74.87</v>
      </c>
      <c r="AB14" s="33">
        <v>84.72</v>
      </c>
      <c r="AC14" s="33">
        <v>74.53</v>
      </c>
      <c r="AD14" s="33">
        <v>94.12</v>
      </c>
      <c r="AE14" s="33">
        <v>37.16</v>
      </c>
      <c r="AF14" s="33">
        <v>39.05</v>
      </c>
      <c r="AG14" s="33">
        <v>37.9</v>
      </c>
      <c r="AH14" s="33">
        <v>36.78</v>
      </c>
      <c r="AI14" s="33">
        <v>44.09</v>
      </c>
      <c r="AJ14" s="33">
        <v>43.07</v>
      </c>
      <c r="AK14" s="33">
        <v>43.07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226</v>
      </c>
      <c r="D15" s="50" t="s">
        <v>42</v>
      </c>
      <c r="E15" s="32" t="s">
        <v>227</v>
      </c>
      <c r="F15" s="32" t="s">
        <v>229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v>526.5</v>
      </c>
      <c r="X15" s="33">
        <v>577.92</v>
      </c>
      <c r="Y15" s="33">
        <v>537.34</v>
      </c>
      <c r="Z15" s="33">
        <v>574.95</v>
      </c>
      <c r="AA15" s="33">
        <v>593.42</v>
      </c>
      <c r="AB15" s="33">
        <v>643.09</v>
      </c>
      <c r="AC15" s="33">
        <v>509.13</v>
      </c>
      <c r="AD15" s="33">
        <v>549.87</v>
      </c>
      <c r="AE15" s="33">
        <v>520.4</v>
      </c>
      <c r="AF15" s="33">
        <v>467.01</v>
      </c>
      <c r="AG15" s="33">
        <v>499.08</v>
      </c>
      <c r="AH15" s="33">
        <v>505.68</v>
      </c>
      <c r="AI15" s="33">
        <v>551.21</v>
      </c>
      <c r="AJ15" s="33">
        <v>511.26</v>
      </c>
      <c r="AK15" s="33">
        <v>534.67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226</v>
      </c>
      <c r="D16" s="50" t="s">
        <v>42</v>
      </c>
      <c r="E16" s="32" t="s">
        <v>227</v>
      </c>
      <c r="F16" s="32" t="s">
        <v>230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v>69.36</v>
      </c>
      <c r="X16" s="33">
        <v>37.36</v>
      </c>
      <c r="Y16" s="33">
        <v>63.38</v>
      </c>
      <c r="Z16" s="33">
        <v>32.18</v>
      </c>
      <c r="AA16" s="33">
        <v>32.43</v>
      </c>
      <c r="AB16" s="33">
        <v>32.99</v>
      </c>
      <c r="AC16" s="33">
        <v>37.03</v>
      </c>
      <c r="AD16" s="33">
        <v>33.5</v>
      </c>
      <c r="AE16" s="33">
        <v>32.18</v>
      </c>
      <c r="AF16" s="33">
        <v>34.83</v>
      </c>
      <c r="AG16" s="33">
        <v>32.52</v>
      </c>
      <c r="AH16" s="33">
        <v>32.78</v>
      </c>
      <c r="AI16" s="33">
        <v>38.97</v>
      </c>
      <c r="AJ16" s="33">
        <v>41.01</v>
      </c>
      <c r="AK16" s="33">
        <v>38.86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226</v>
      </c>
      <c r="D17" s="50" t="s">
        <v>42</v>
      </c>
      <c r="E17" s="32" t="s">
        <v>227</v>
      </c>
      <c r="F17" s="32" t="s">
        <v>231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v>298.34</v>
      </c>
      <c r="X17" s="33">
        <v>332.25</v>
      </c>
      <c r="Y17" s="33">
        <v>294.32</v>
      </c>
      <c r="Z17" s="33">
        <v>369.1</v>
      </c>
      <c r="AA17" s="33">
        <v>496.75</v>
      </c>
      <c r="AB17" s="33">
        <v>702.92</v>
      </c>
      <c r="AC17" s="33">
        <v>609.99</v>
      </c>
      <c r="AD17" s="33">
        <v>781.42</v>
      </c>
      <c r="AE17" s="33">
        <v>618.02</v>
      </c>
      <c r="AF17" s="33">
        <v>512.58</v>
      </c>
      <c r="AG17" s="33">
        <v>407.79</v>
      </c>
      <c r="AH17" s="33">
        <v>343.69</v>
      </c>
      <c r="AI17" s="33">
        <v>283.38</v>
      </c>
      <c r="AJ17" s="33">
        <v>263.32</v>
      </c>
      <c r="AK17" s="33">
        <v>400.35</v>
      </c>
      <c r="AL17" s="34">
        <f>SUM(G17:AK17)</f>
      </c>
      <c r="AM17" s="35"/>
    </row>
    <row r="18" ht="13.5" customHeight="1" spans="2:39" x14ac:dyDescent="0.25">
      <c r="B18" s="51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40"/>
    </row>
    <row r="19" ht="13.5" customHeight="1" spans="2:39" x14ac:dyDescent="0.25">
      <c r="B19" s="20"/>
      <c r="C19" s="21"/>
      <c r="D19" s="21" t="s">
        <v>85</v>
      </c>
      <c r="E19" s="21"/>
      <c r="F19" s="21"/>
      <c r="G19" s="22">
        <f>SUM(G14:G17)</f>
      </c>
      <c r="H19" s="22">
        <f>SUM(H14:H17)</f>
      </c>
      <c r="I19" s="22">
        <f>SUM(I14:I17)</f>
      </c>
      <c r="J19" s="22">
        <f>SUM(J14:J17)</f>
      </c>
      <c r="K19" s="22">
        <f>SUM(K14:K17)</f>
      </c>
      <c r="L19" s="22">
        <f>SUM(L14:L17)</f>
      </c>
      <c r="M19" s="22">
        <f>SUM(M14:M17)</f>
      </c>
      <c r="N19" s="22">
        <f>SUM(N14:N17)</f>
      </c>
      <c r="O19" s="22">
        <f>SUM(O14:O17)</f>
      </c>
      <c r="P19" s="22">
        <f>SUM(P14:P17)</f>
      </c>
      <c r="Q19" s="22">
        <f>SUM(Q14:Q17)</f>
      </c>
      <c r="R19" s="22">
        <f>SUM(R14:R17)</f>
      </c>
      <c r="S19" s="22">
        <f>SUM(S14:S17)</f>
      </c>
      <c r="T19" s="22">
        <f>SUM(T14:T17)</f>
      </c>
      <c r="U19" s="22">
        <f>SUM(U14:U17)</f>
      </c>
      <c r="V19" s="22">
        <f>SUM(V14:V17)</f>
      </c>
      <c r="W19" s="22">
        <f>SUM(W14:W17)</f>
      </c>
      <c r="X19" s="22">
        <f>SUM(X14:X17)</f>
      </c>
      <c r="Y19" s="22">
        <f>SUM(Y14:Y17)</f>
      </c>
      <c r="Z19" s="22">
        <f>SUM(Z14:Z17)</f>
      </c>
      <c r="AA19" s="22">
        <f>SUM(AA14:AA17)</f>
      </c>
      <c r="AB19" s="22">
        <f>SUM(AB14:AB17)</f>
      </c>
      <c r="AC19" s="22">
        <f>SUM(AC14:AC17)</f>
      </c>
      <c r="AD19" s="22">
        <f>SUM(AD14:AD17)</f>
      </c>
      <c r="AE19" s="22">
        <f>SUM(AE14:AE17)</f>
      </c>
      <c r="AF19" s="22">
        <f>SUM(AF14:AF17)</f>
      </c>
      <c r="AG19" s="22">
        <f>SUM(AG14:AG17)</f>
      </c>
      <c r="AH19" s="22">
        <f>SUM(AH14:AH17)</f>
      </c>
      <c r="AI19" s="22">
        <f>SUM(AI14:AI17)</f>
      </c>
      <c r="AJ19" s="22">
        <f>SUM(AJ14:AJ17)</f>
      </c>
      <c r="AK19" s="22">
        <f>SUM(AK14:AK17)</f>
      </c>
      <c r="AL19" s="22">
        <f>SUM(AL14:AL17)</f>
      </c>
      <c r="AM19" s="23"/>
    </row>
    <row r="21" ht="13.5" customHeight="1" spans="2:39" x14ac:dyDescent="0.25">
      <c r="B21" s="46"/>
      <c r="C21" s="28"/>
      <c r="D21" s="47" t="s">
        <v>43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9"/>
    </row>
    <row r="22" ht="13.5" customHeight="1" spans="2:39" x14ac:dyDescent="0.25">
      <c r="B22" s="48" t="s">
        <v>3</v>
      </c>
      <c r="C22" s="49" t="s">
        <v>226</v>
      </c>
      <c r="D22" s="50" t="s">
        <v>43</v>
      </c>
      <c r="E22" s="32" t="s">
        <v>232</v>
      </c>
      <c r="F22" s="32" t="s">
        <v>233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3">
        <f>39114.94+60462.82+3780.00</f>
        <v>103357.76000000001</v>
      </c>
      <c r="Y22" s="32"/>
      <c r="Z22" s="33">
        <f>44762.51+61402.87+3780.00</f>
        <v>109945.38</v>
      </c>
      <c r="AA22" s="32"/>
      <c r="AB22" s="33">
        <f>33296.67+54288.46+3780.00</f>
        <v>91365.13</v>
      </c>
      <c r="AC22" s="32"/>
      <c r="AD22" s="33">
        <f>46153.47+57010.09+3780.00</f>
        <v>106943.56</v>
      </c>
      <c r="AE22" s="32"/>
      <c r="AF22" s="33">
        <f>50931.31+79582.16+3780.00</f>
        <v>134293.47</v>
      </c>
      <c r="AG22" s="32"/>
      <c r="AH22" s="33">
        <f>58583.42+73137.70+3780.00</f>
        <v>135501.12</v>
      </c>
      <c r="AI22" s="32"/>
      <c r="AJ22" s="33">
        <f>50465.68+63004.60+3780.00</f>
        <v>117250.28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226</v>
      </c>
      <c r="D23" s="50" t="s">
        <v>43</v>
      </c>
      <c r="E23" s="32" t="s">
        <v>232</v>
      </c>
      <c r="F23" s="32" t="s">
        <v>234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f>38138.78+58953.53+3780.00</f>
        <v>100872.31</v>
      </c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89</v>
      </c>
      <c r="E25" s="21"/>
      <c r="F25" s="21"/>
      <c r="G25" s="22">
        <f>SUM(G22:G23)</f>
      </c>
      <c r="H25" s="22">
        <f>SUM(H22:H23)</f>
      </c>
      <c r="I25" s="22">
        <f>SUM(I22:I23)</f>
      </c>
      <c r="J25" s="22">
        <f>SUM(J22:J23)</f>
      </c>
      <c r="K25" s="22">
        <f>SUM(K22:K23)</f>
      </c>
      <c r="L25" s="22">
        <f>SUM(L22:L23)</f>
      </c>
      <c r="M25" s="22">
        <f>SUM(M22:M23)</f>
      </c>
      <c r="N25" s="22">
        <f>SUM(N22:N23)</f>
      </c>
      <c r="O25" s="22">
        <f>SUM(O22:O23)</f>
      </c>
      <c r="P25" s="22">
        <f>SUM(P22:P23)</f>
      </c>
      <c r="Q25" s="22">
        <f>SUM(Q22:Q23)</f>
      </c>
      <c r="R25" s="22">
        <f>SUM(R22:R23)</f>
      </c>
      <c r="S25" s="22">
        <f>SUM(S22:S23)</f>
      </c>
      <c r="T25" s="22">
        <f>SUM(T22:T23)</f>
      </c>
      <c r="U25" s="22">
        <f>SUM(U22:U23)</f>
      </c>
      <c r="V25" s="22">
        <f>SUM(V22:V23)</f>
      </c>
      <c r="W25" s="22">
        <f>SUM(W22:W23)</f>
      </c>
      <c r="X25" s="22">
        <f>SUM(X22:X23)</f>
      </c>
      <c r="Y25" s="22">
        <f>SUM(Y22:Y23)</f>
      </c>
      <c r="Z25" s="22">
        <f>SUM(Z22:Z23)</f>
      </c>
      <c r="AA25" s="22">
        <f>SUM(AA22:AA23)</f>
      </c>
      <c r="AB25" s="22">
        <f>SUM(AB22:AB23)</f>
      </c>
      <c r="AC25" s="22">
        <f>SUM(AC22:AC23)</f>
      </c>
      <c r="AD25" s="22">
        <f>SUM(AD22:AD23)</f>
      </c>
      <c r="AE25" s="22">
        <f>SUM(AE22:AE23)</f>
      </c>
      <c r="AF25" s="22">
        <f>SUM(AF22:AF23)</f>
      </c>
      <c r="AG25" s="22">
        <f>SUM(AG22:AG23)</f>
      </c>
      <c r="AH25" s="22">
        <f>SUM(AH22:AH23)</f>
      </c>
      <c r="AI25" s="22">
        <f>SUM(AI22:AI23)</f>
      </c>
      <c r="AJ25" s="22">
        <f>SUM(AJ22:AJ23)</f>
      </c>
      <c r="AK25" s="22">
        <f>SUM(AK22:AK23)</f>
      </c>
      <c r="AL25" s="22">
        <f>SUM(AL22:AL23)</f>
      </c>
      <c r="AM25" s="23"/>
    </row>
    <row r="27" ht="13.5" customHeight="1" spans="2:39" x14ac:dyDescent="0.25">
      <c r="B27" s="46"/>
      <c r="C27" s="28"/>
      <c r="D27" s="47" t="s">
        <v>44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226</v>
      </c>
      <c r="D28" s="50" t="s">
        <v>44</v>
      </c>
      <c r="E28" s="32" t="s">
        <v>232</v>
      </c>
      <c r="F28" s="32" t="s">
        <v>233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3">
        <v>3181.5</v>
      </c>
      <c r="Y28" s="32"/>
      <c r="Z28" s="33">
        <v>3181.5</v>
      </c>
      <c r="AA28" s="32"/>
      <c r="AB28" s="33">
        <v>3181.5</v>
      </c>
      <c r="AC28" s="32"/>
      <c r="AD28" s="33">
        <v>3181.5</v>
      </c>
      <c r="AE28" s="32"/>
      <c r="AF28" s="33">
        <v>3024</v>
      </c>
      <c r="AG28" s="32"/>
      <c r="AH28" s="33">
        <v>3024</v>
      </c>
      <c r="AI28" s="32"/>
      <c r="AJ28" s="33">
        <v>3024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226</v>
      </c>
      <c r="D29" s="50" t="s">
        <v>44</v>
      </c>
      <c r="E29" s="32" t="s">
        <v>232</v>
      </c>
      <c r="F29" s="32" t="s">
        <v>234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3181.5</v>
      </c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51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40"/>
    </row>
    <row r="31" ht="13.5" customHeight="1" spans="2:39" x14ac:dyDescent="0.25">
      <c r="B31" s="20"/>
      <c r="C31" s="21"/>
      <c r="D31" s="21" t="s">
        <v>90</v>
      </c>
      <c r="E31" s="21"/>
      <c r="F31" s="21"/>
      <c r="G31" s="22">
        <f>SUM(G28:G29)</f>
      </c>
      <c r="H31" s="22">
        <f>SUM(H28:H29)</f>
      </c>
      <c r="I31" s="22">
        <f>SUM(I28:I29)</f>
      </c>
      <c r="J31" s="22">
        <f>SUM(J28:J29)</f>
      </c>
      <c r="K31" s="22">
        <f>SUM(K28:K29)</f>
      </c>
      <c r="L31" s="22">
        <f>SUM(L28:L29)</f>
      </c>
      <c r="M31" s="22">
        <f>SUM(M28:M29)</f>
      </c>
      <c r="N31" s="22">
        <f>SUM(N28:N29)</f>
      </c>
      <c r="O31" s="22">
        <f>SUM(O28:O29)</f>
      </c>
      <c r="P31" s="22">
        <f>SUM(P28:P29)</f>
      </c>
      <c r="Q31" s="22">
        <f>SUM(Q28:Q29)</f>
      </c>
      <c r="R31" s="22">
        <f>SUM(R28:R29)</f>
      </c>
      <c r="S31" s="22">
        <f>SUM(S28:S29)</f>
      </c>
      <c r="T31" s="22">
        <f>SUM(T28:T29)</f>
      </c>
      <c r="U31" s="22">
        <f>SUM(U28:U29)</f>
      </c>
      <c r="V31" s="22">
        <f>SUM(V28:V29)</f>
      </c>
      <c r="W31" s="22">
        <f>SUM(W28:W29)</f>
      </c>
      <c r="X31" s="22">
        <f>SUM(X28:X29)</f>
      </c>
      <c r="Y31" s="22">
        <f>SUM(Y28:Y29)</f>
      </c>
      <c r="Z31" s="22">
        <f>SUM(Z28:Z29)</f>
      </c>
      <c r="AA31" s="22">
        <f>SUM(AA28:AA29)</f>
      </c>
      <c r="AB31" s="22">
        <f>SUM(AB28:AB29)</f>
      </c>
      <c r="AC31" s="22">
        <f>SUM(AC28:AC29)</f>
      </c>
      <c r="AD31" s="22">
        <f>SUM(AD28:AD29)</f>
      </c>
      <c r="AE31" s="22">
        <f>SUM(AE28:AE29)</f>
      </c>
      <c r="AF31" s="22">
        <f>SUM(AF28:AF29)</f>
      </c>
      <c r="AG31" s="22">
        <f>SUM(AG28:AG29)</f>
      </c>
      <c r="AH31" s="22">
        <f>SUM(AH28:AH29)</f>
      </c>
      <c r="AI31" s="22">
        <f>SUM(AI28:AI29)</f>
      </c>
      <c r="AJ31" s="22">
        <f>SUM(AJ28:AJ29)</f>
      </c>
      <c r="AK31" s="22">
        <f>SUM(AK28:AK29)</f>
      </c>
      <c r="AL31" s="22">
        <f>SUM(AL28:AL29)</f>
      </c>
      <c r="AM31" s="23"/>
    </row>
    <row r="34" ht="12.75" customHeight="1" spans="2:39" x14ac:dyDescent="0.25">
      <c r="B34" s="11" t="s">
        <v>40</v>
      </c>
      <c r="C34" s="12"/>
      <c r="D34" s="12"/>
      <c r="E34" s="12"/>
      <c r="F34" s="12"/>
      <c r="G34" s="52" t="s">
        <v>7</v>
      </c>
      <c r="H34" s="52" t="s">
        <v>8</v>
      </c>
      <c r="I34" s="52" t="s">
        <v>9</v>
      </c>
      <c r="J34" s="52" t="s">
        <v>10</v>
      </c>
      <c r="K34" s="52" t="s">
        <v>11</v>
      </c>
      <c r="L34" s="52" t="s">
        <v>12</v>
      </c>
      <c r="M34" s="52" t="s">
        <v>13</v>
      </c>
      <c r="N34" s="52" t="s">
        <v>14</v>
      </c>
      <c r="O34" s="52" t="s">
        <v>15</v>
      </c>
      <c r="P34" s="52" t="s">
        <v>16</v>
      </c>
      <c r="Q34" s="52" t="s">
        <v>17</v>
      </c>
      <c r="R34" s="52" t="s">
        <v>18</v>
      </c>
      <c r="S34" s="52" t="s">
        <v>19</v>
      </c>
      <c r="T34" s="52" t="s">
        <v>20</v>
      </c>
      <c r="U34" s="52" t="s">
        <v>21</v>
      </c>
      <c r="V34" s="52" t="s">
        <v>22</v>
      </c>
      <c r="W34" s="52" t="s">
        <v>23</v>
      </c>
      <c r="X34" s="52" t="s">
        <v>24</v>
      </c>
      <c r="Y34" s="52" t="s">
        <v>25</v>
      </c>
      <c r="Z34" s="52" t="s">
        <v>26</v>
      </c>
      <c r="AA34" s="52" t="s">
        <v>27</v>
      </c>
      <c r="AB34" s="52" t="s">
        <v>28</v>
      </c>
      <c r="AC34" s="52" t="s">
        <v>29</v>
      </c>
      <c r="AD34" s="52" t="s">
        <v>30</v>
      </c>
      <c r="AE34" s="52" t="s">
        <v>31</v>
      </c>
      <c r="AF34" s="52" t="s">
        <v>32</v>
      </c>
      <c r="AG34" s="52" t="s">
        <v>33</v>
      </c>
      <c r="AH34" s="52" t="s">
        <v>34</v>
      </c>
      <c r="AI34" s="52" t="s">
        <v>35</v>
      </c>
      <c r="AJ34" s="52" t="s">
        <v>36</v>
      </c>
      <c r="AK34" s="52" t="s">
        <v>37</v>
      </c>
      <c r="AL34" s="52" t="s">
        <v>38</v>
      </c>
      <c r="AM34" s="15"/>
    </row>
    <row r="35" ht="12.75" customHeight="1" spans="2:39" x14ac:dyDescent="0.25">
      <c r="B35" s="16"/>
      <c r="C35" s="17"/>
      <c r="D35" s="17" t="s">
        <v>41</v>
      </c>
      <c r="E35" s="17"/>
      <c r="F35" s="17"/>
      <c r="G35" s="18">
        <f>G11</f>
      </c>
      <c r="H35" s="18">
        <f>H11</f>
      </c>
      <c r="I35" s="18">
        <f>I11</f>
      </c>
      <c r="J35" s="18">
        <f>J11</f>
      </c>
      <c r="K35" s="18">
        <f>K11</f>
      </c>
      <c r="L35" s="18">
        <f>L11</f>
      </c>
      <c r="M35" s="18">
        <f>M11</f>
      </c>
      <c r="N35" s="18">
        <f>N11</f>
      </c>
      <c r="O35" s="18">
        <f>O11</f>
      </c>
      <c r="P35" s="18">
        <f>P11</f>
      </c>
      <c r="Q35" s="18">
        <f>Q11</f>
      </c>
      <c r="R35" s="18">
        <f>R11</f>
      </c>
      <c r="S35" s="18">
        <f>S11</f>
      </c>
      <c r="T35" s="18">
        <f>T11</f>
      </c>
      <c r="U35" s="18">
        <f>U11</f>
      </c>
      <c r="V35" s="18">
        <f>V11</f>
      </c>
      <c r="W35" s="18">
        <f>W11</f>
      </c>
      <c r="X35" s="18">
        <f>X11</f>
      </c>
      <c r="Y35" s="18">
        <f>Y11</f>
      </c>
      <c r="Z35" s="18">
        <f>Z11</f>
      </c>
      <c r="AA35" s="18">
        <f>AA11</f>
      </c>
      <c r="AB35" s="18">
        <f>AB11</f>
      </c>
      <c r="AC35" s="18">
        <f>AC11</f>
      </c>
      <c r="AD35" s="18">
        <f>AD11</f>
      </c>
      <c r="AE35" s="18">
        <f>AE11</f>
      </c>
      <c r="AF35" s="18">
        <f>AF11</f>
      </c>
      <c r="AG35" s="18">
        <f>AG11</f>
      </c>
      <c r="AH35" s="18">
        <f>AH11</f>
      </c>
      <c r="AI35" s="18">
        <f>AI11</f>
      </c>
      <c r="AJ35" s="18">
        <f>AJ11</f>
      </c>
      <c r="AK35" s="18">
        <f>AK11</f>
      </c>
      <c r="AL35" s="18">
        <f>AL11</f>
      </c>
      <c r="AM35" s="19"/>
    </row>
    <row r="36" ht="12.75" customHeight="1" spans="2:39" x14ac:dyDescent="0.25">
      <c r="B36" s="16"/>
      <c r="C36" s="17"/>
      <c r="D36" s="17" t="s">
        <v>42</v>
      </c>
      <c r="E36" s="17"/>
      <c r="F36" s="17"/>
      <c r="G36" s="18">
        <f>G19</f>
      </c>
      <c r="H36" s="18">
        <f>H19</f>
      </c>
      <c r="I36" s="18">
        <f>I19</f>
      </c>
      <c r="J36" s="18">
        <f>J19</f>
      </c>
      <c r="K36" s="18">
        <f>K19</f>
      </c>
      <c r="L36" s="18">
        <f>L19</f>
      </c>
      <c r="M36" s="18">
        <f>M19</f>
      </c>
      <c r="N36" s="18">
        <f>N19</f>
      </c>
      <c r="O36" s="18">
        <f>O19</f>
      </c>
      <c r="P36" s="18">
        <f>P19</f>
      </c>
      <c r="Q36" s="18">
        <f>Q19</f>
      </c>
      <c r="R36" s="18">
        <f>R19</f>
      </c>
      <c r="S36" s="18">
        <f>S19</f>
      </c>
      <c r="T36" s="18">
        <f>T19</f>
      </c>
      <c r="U36" s="18">
        <f>U19</f>
      </c>
      <c r="V36" s="18">
        <f>V19</f>
      </c>
      <c r="W36" s="18">
        <f>W19</f>
      </c>
      <c r="X36" s="18">
        <f>X19</f>
      </c>
      <c r="Y36" s="18">
        <f>Y19</f>
      </c>
      <c r="Z36" s="18">
        <f>Z19</f>
      </c>
      <c r="AA36" s="18">
        <f>AA19</f>
      </c>
      <c r="AB36" s="18">
        <f>AB19</f>
      </c>
      <c r="AC36" s="18">
        <f>AC19</f>
      </c>
      <c r="AD36" s="18">
        <f>AD19</f>
      </c>
      <c r="AE36" s="18">
        <f>AE19</f>
      </c>
      <c r="AF36" s="18">
        <f>AF19</f>
      </c>
      <c r="AG36" s="18">
        <f>AG19</f>
      </c>
      <c r="AH36" s="18">
        <f>AH19</f>
      </c>
      <c r="AI36" s="18">
        <f>AI19</f>
      </c>
      <c r="AJ36" s="18">
        <f>AJ19</f>
      </c>
      <c r="AK36" s="18">
        <f>AK19</f>
      </c>
      <c r="AL36" s="18">
        <f>AL19</f>
      </c>
      <c r="AM36" s="19"/>
    </row>
    <row r="37" ht="12.75" customHeight="1" spans="2:39" x14ac:dyDescent="0.25">
      <c r="B37" s="16"/>
      <c r="C37" s="17"/>
      <c r="D37" s="17" t="s">
        <v>43</v>
      </c>
      <c r="E37" s="17"/>
      <c r="F37" s="17"/>
      <c r="G37" s="18">
        <f>G25</f>
      </c>
      <c r="H37" s="18">
        <f>H25</f>
      </c>
      <c r="I37" s="18">
        <f>I25</f>
      </c>
      <c r="J37" s="18">
        <f>J25</f>
      </c>
      <c r="K37" s="18">
        <f>K25</f>
      </c>
      <c r="L37" s="18">
        <f>L25</f>
      </c>
      <c r="M37" s="18">
        <f>M25</f>
      </c>
      <c r="N37" s="18">
        <f>N25</f>
      </c>
      <c r="O37" s="18">
        <f>O25</f>
      </c>
      <c r="P37" s="18">
        <f>P25</f>
      </c>
      <c r="Q37" s="18">
        <f>Q25</f>
      </c>
      <c r="R37" s="18">
        <f>R25</f>
      </c>
      <c r="S37" s="18">
        <f>S25</f>
      </c>
      <c r="T37" s="18">
        <f>T25</f>
      </c>
      <c r="U37" s="18">
        <f>U25</f>
      </c>
      <c r="V37" s="18">
        <f>V25</f>
      </c>
      <c r="W37" s="18">
        <f>W25</f>
      </c>
      <c r="X37" s="18">
        <f>X25</f>
      </c>
      <c r="Y37" s="18">
        <f>Y25</f>
      </c>
      <c r="Z37" s="18">
        <f>Z25</f>
      </c>
      <c r="AA37" s="18">
        <f>AA25</f>
      </c>
      <c r="AB37" s="18">
        <f>AB25</f>
      </c>
      <c r="AC37" s="18">
        <f>AC25</f>
      </c>
      <c r="AD37" s="18">
        <f>AD25</f>
      </c>
      <c r="AE37" s="18">
        <f>AE25</f>
      </c>
      <c r="AF37" s="18">
        <f>AF25</f>
      </c>
      <c r="AG37" s="18">
        <f>AG25</f>
      </c>
      <c r="AH37" s="18">
        <f>AH25</f>
      </c>
      <c r="AI37" s="18">
        <f>AI25</f>
      </c>
      <c r="AJ37" s="18">
        <f>AJ25</f>
      </c>
      <c r="AK37" s="18">
        <f>AK25</f>
      </c>
      <c r="AL37" s="18">
        <f>AL25</f>
      </c>
      <c r="AM37" s="19"/>
    </row>
    <row r="38" ht="12.75" customHeight="1" spans="2:39" x14ac:dyDescent="0.25">
      <c r="B38" s="16"/>
      <c r="C38" s="17"/>
      <c r="D38" s="17" t="s">
        <v>44</v>
      </c>
      <c r="E38" s="17"/>
      <c r="F38" s="17"/>
      <c r="G38" s="18">
        <f>G31</f>
      </c>
      <c r="H38" s="18">
        <f>H31</f>
      </c>
      <c r="I38" s="18">
        <f>I31</f>
      </c>
      <c r="J38" s="18">
        <f>J31</f>
      </c>
      <c r="K38" s="18">
        <f>K31</f>
      </c>
      <c r="L38" s="18">
        <f>L31</f>
      </c>
      <c r="M38" s="18">
        <f>M31</f>
      </c>
      <c r="N38" s="18">
        <f>N31</f>
      </c>
      <c r="O38" s="18">
        <f>O31</f>
      </c>
      <c r="P38" s="18">
        <f>P31</f>
      </c>
      <c r="Q38" s="18">
        <f>Q31</f>
      </c>
      <c r="R38" s="18">
        <f>R31</f>
      </c>
      <c r="S38" s="18">
        <f>S31</f>
      </c>
      <c r="T38" s="18">
        <f>T31</f>
      </c>
      <c r="U38" s="18">
        <f>U31</f>
      </c>
      <c r="V38" s="18">
        <f>V31</f>
      </c>
      <c r="W38" s="18">
        <f>W31</f>
      </c>
      <c r="X38" s="18">
        <f>X31</f>
      </c>
      <c r="Y38" s="18">
        <f>Y31</f>
      </c>
      <c r="Z38" s="18">
        <f>Z31</f>
      </c>
      <c r="AA38" s="18">
        <f>AA31</f>
      </c>
      <c r="AB38" s="18">
        <f>AB31</f>
      </c>
      <c r="AC38" s="18">
        <f>AC31</f>
      </c>
      <c r="AD38" s="18">
        <f>AD31</f>
      </c>
      <c r="AE38" s="18">
        <f>AE31</f>
      </c>
      <c r="AF38" s="18">
        <f>AF31</f>
      </c>
      <c r="AG38" s="18">
        <f>AG31</f>
      </c>
      <c r="AH38" s="18">
        <f>AH31</f>
      </c>
      <c r="AI38" s="18">
        <f>AI31</f>
      </c>
      <c r="AJ38" s="18">
        <f>AJ31</f>
      </c>
      <c r="AK38" s="18">
        <f>AK31</f>
      </c>
      <c r="AL38" s="18">
        <f>AL31</f>
      </c>
      <c r="AM38" s="19"/>
    </row>
    <row r="39" ht="12.75" customHeight="1" spans="2:39" x14ac:dyDescent="0.25">
      <c r="B39" s="20"/>
      <c r="C39" s="21"/>
      <c r="D39" s="21" t="s">
        <v>45</v>
      </c>
      <c r="E39" s="21"/>
      <c r="F39" s="21"/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2">
        <f>AK35+AK36+AK37+AK38</f>
      </c>
      <c r="AL39" s="22">
        <f>AL35+AL36+AL37+AL38</f>
      </c>
      <c r="AM39" s="23"/>
    </row>
    <row r="41" ht="12.75" customHeight="1" spans="2:39" x14ac:dyDescent="0.25">
      <c r="B41" s="11" t="s">
        <v>46</v>
      </c>
      <c r="C41" s="12"/>
      <c r="D41" s="12"/>
      <c r="E41" s="12"/>
      <c r="F41" s="12"/>
      <c r="G41" s="52" t="s">
        <v>7</v>
      </c>
      <c r="H41" s="52" t="s">
        <v>8</v>
      </c>
      <c r="I41" s="52" t="s">
        <v>9</v>
      </c>
      <c r="J41" s="52" t="s">
        <v>10</v>
      </c>
      <c r="K41" s="52" t="s">
        <v>11</v>
      </c>
      <c r="L41" s="52" t="s">
        <v>12</v>
      </c>
      <c r="M41" s="52" t="s">
        <v>13</v>
      </c>
      <c r="N41" s="52" t="s">
        <v>14</v>
      </c>
      <c r="O41" s="52" t="s">
        <v>15</v>
      </c>
      <c r="P41" s="52" t="s">
        <v>16</v>
      </c>
      <c r="Q41" s="52" t="s">
        <v>17</v>
      </c>
      <c r="R41" s="52" t="s">
        <v>18</v>
      </c>
      <c r="S41" s="52" t="s">
        <v>19</v>
      </c>
      <c r="T41" s="52" t="s">
        <v>20</v>
      </c>
      <c r="U41" s="52" t="s">
        <v>21</v>
      </c>
      <c r="V41" s="52" t="s">
        <v>22</v>
      </c>
      <c r="W41" s="52" t="s">
        <v>23</v>
      </c>
      <c r="X41" s="52" t="s">
        <v>24</v>
      </c>
      <c r="Y41" s="52" t="s">
        <v>25</v>
      </c>
      <c r="Z41" s="52" t="s">
        <v>26</v>
      </c>
      <c r="AA41" s="52" t="s">
        <v>27</v>
      </c>
      <c r="AB41" s="52" t="s">
        <v>28</v>
      </c>
      <c r="AC41" s="52" t="s">
        <v>29</v>
      </c>
      <c r="AD41" s="52" t="s">
        <v>30</v>
      </c>
      <c r="AE41" s="52" t="s">
        <v>31</v>
      </c>
      <c r="AF41" s="52" t="s">
        <v>32</v>
      </c>
      <c r="AG41" s="52" t="s">
        <v>33</v>
      </c>
      <c r="AH41" s="52" t="s">
        <v>34</v>
      </c>
      <c r="AI41" s="52" t="s">
        <v>35</v>
      </c>
      <c r="AJ41" s="52" t="s">
        <v>36</v>
      </c>
      <c r="AK41" s="52" t="s">
        <v>37</v>
      </c>
      <c r="AL41" s="52" t="s">
        <v>38</v>
      </c>
      <c r="AM41" s="15"/>
    </row>
    <row r="42" ht="12.75" customHeight="1" spans="2:39" x14ac:dyDescent="0.25">
      <c r="B42" s="16"/>
      <c r="C42" s="17"/>
      <c r="D42" s="17" t="s">
        <v>41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42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43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44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20"/>
      <c r="C46" s="21"/>
      <c r="D46" s="21" t="s">
        <v>45</v>
      </c>
      <c r="E46" s="21"/>
      <c r="F46" s="21"/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2">
        <f>AK42+AK43+AK44+AK45</f>
      </c>
      <c r="AL46" s="22">
        <f>AL42+AL43+AL44+AL45</f>
      </c>
      <c r="AM46" s="23"/>
    </row>
    <row r="48" ht="12.75" customHeight="1" spans="2:39" x14ac:dyDescent="0.25">
      <c r="B48" s="11" t="s">
        <v>47</v>
      </c>
      <c r="C48" s="12"/>
      <c r="D48" s="12"/>
      <c r="E48" s="12"/>
      <c r="F48" s="12"/>
      <c r="G48" s="52" t="s">
        <v>7</v>
      </c>
      <c r="H48" s="52" t="s">
        <v>8</v>
      </c>
      <c r="I48" s="52" t="s">
        <v>9</v>
      </c>
      <c r="J48" s="52" t="s">
        <v>10</v>
      </c>
      <c r="K48" s="52" t="s">
        <v>11</v>
      </c>
      <c r="L48" s="52" t="s">
        <v>12</v>
      </c>
      <c r="M48" s="52" t="s">
        <v>13</v>
      </c>
      <c r="N48" s="52" t="s">
        <v>14</v>
      </c>
      <c r="O48" s="52" t="s">
        <v>15</v>
      </c>
      <c r="P48" s="52" t="s">
        <v>16</v>
      </c>
      <c r="Q48" s="52" t="s">
        <v>17</v>
      </c>
      <c r="R48" s="52" t="s">
        <v>18</v>
      </c>
      <c r="S48" s="52" t="s">
        <v>19</v>
      </c>
      <c r="T48" s="52" t="s">
        <v>20</v>
      </c>
      <c r="U48" s="52" t="s">
        <v>21</v>
      </c>
      <c r="V48" s="52" t="s">
        <v>22</v>
      </c>
      <c r="W48" s="52" t="s">
        <v>23</v>
      </c>
      <c r="X48" s="52" t="s">
        <v>24</v>
      </c>
      <c r="Y48" s="52" t="s">
        <v>25</v>
      </c>
      <c r="Z48" s="52" t="s">
        <v>26</v>
      </c>
      <c r="AA48" s="52" t="s">
        <v>27</v>
      </c>
      <c r="AB48" s="52" t="s">
        <v>28</v>
      </c>
      <c r="AC48" s="52" t="s">
        <v>29</v>
      </c>
      <c r="AD48" s="52" t="s">
        <v>30</v>
      </c>
      <c r="AE48" s="52" t="s">
        <v>31</v>
      </c>
      <c r="AF48" s="52" t="s">
        <v>32</v>
      </c>
      <c r="AG48" s="52" t="s">
        <v>33</v>
      </c>
      <c r="AH48" s="52" t="s">
        <v>34</v>
      </c>
      <c r="AI48" s="52" t="s">
        <v>35</v>
      </c>
      <c r="AJ48" s="52" t="s">
        <v>36</v>
      </c>
      <c r="AK48" s="52" t="s">
        <v>37</v>
      </c>
      <c r="AL48" s="52" t="s">
        <v>38</v>
      </c>
      <c r="AM48" s="15"/>
    </row>
    <row r="49" ht="12.75" customHeight="1" spans="2:39" x14ac:dyDescent="0.25">
      <c r="B49" s="16"/>
      <c r="C49" s="17"/>
      <c r="D49" s="17" t="s">
        <v>41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42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43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44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20"/>
      <c r="C53" s="21"/>
      <c r="D53" s="21" t="s">
        <v>45</v>
      </c>
      <c r="E53" s="21"/>
      <c r="F53" s="21"/>
      <c r="G53" s="25">
        <f>G49+G50+G51+G52</f>
      </c>
      <c r="H53" s="25">
        <f>H49+H50+H51+H52</f>
      </c>
      <c r="I53" s="25">
        <f>I49+I50+I51+I52</f>
      </c>
      <c r="J53" s="25">
        <f>J49+J50+J51+J52</f>
      </c>
      <c r="K53" s="25">
        <f>K49+K50+K51+K52</f>
      </c>
      <c r="L53" s="25">
        <f>L49+L50+L51+L52</f>
      </c>
      <c r="M53" s="25">
        <f>M49+M50+M51+M52</f>
      </c>
      <c r="N53" s="25">
        <f>N49+N50+N51+N52</f>
      </c>
      <c r="O53" s="25">
        <f>O49+O50+O51+O52</f>
      </c>
      <c r="P53" s="25">
        <f>P49+P50+P51+P52</f>
      </c>
      <c r="Q53" s="25">
        <f>Q49+Q50+Q51+Q52</f>
      </c>
      <c r="R53" s="25">
        <f>R49+R50+R51+R52</f>
      </c>
      <c r="S53" s="25">
        <f>S49+S50+S51+S52</f>
      </c>
      <c r="T53" s="25">
        <f>T49+T50+T51+T52</f>
      </c>
      <c r="U53" s="25">
        <f>U49+U50+U51+U52</f>
      </c>
      <c r="V53" s="25">
        <f>V49+V50+V51+V52</f>
      </c>
      <c r="W53" s="25">
        <f>W49+W50+W51+W52</f>
      </c>
      <c r="X53" s="25">
        <f>X49+X50+X51+X52</f>
      </c>
      <c r="Y53" s="25">
        <f>Y49+Y50+Y51+Y52</f>
      </c>
      <c r="Z53" s="25">
        <f>Z49+Z50+Z51+Z52</f>
      </c>
      <c r="AA53" s="25">
        <f>AA49+AA50+AA51+AA52</f>
      </c>
      <c r="AB53" s="25">
        <f>AB49+AB50+AB51+AB52</f>
      </c>
      <c r="AC53" s="25">
        <f>AC49+AC50+AC51+AC52</f>
      </c>
      <c r="AD53" s="25">
        <f>AD49+AD50+AD51+AD52</f>
      </c>
      <c r="AE53" s="25">
        <f>AE49+AE50+AE51+AE52</f>
      </c>
      <c r="AF53" s="25">
        <f>AF49+AF50+AF51+AF52</f>
      </c>
      <c r="AG53" s="25">
        <f>AG49+AG50+AG51+AG52</f>
      </c>
      <c r="AH53" s="25">
        <f>AH49+AH50+AH51+AH52</f>
      </c>
      <c r="AI53" s="25">
        <f>AI49+AI50+AI51+AI52</f>
      </c>
      <c r="AJ53" s="25">
        <f>AJ49+AJ50+AJ51+AJ52</f>
      </c>
      <c r="AK53" s="25">
        <f>AK49+AK50+AK51+AK52</f>
      </c>
      <c r="AL53" s="25">
        <f>AL49+AL50+AL51+AL52</f>
      </c>
      <c r="AM5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4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251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252</v>
      </c>
      <c r="E13" s="32"/>
      <c r="F13" s="32"/>
      <c r="G13" s="32"/>
      <c r="H13" s="33">
        <v>38.49</v>
      </c>
      <c r="I13" s="33">
        <v>40.9</v>
      </c>
      <c r="J13" s="33">
        <v>31.31</v>
      </c>
      <c r="K13" s="33">
        <v>74.91</v>
      </c>
      <c r="L13" s="33">
        <v>69.12</v>
      </c>
      <c r="M13" s="33">
        <v>27.07</v>
      </c>
      <c r="N13" s="33">
        <v>27.07</v>
      </c>
      <c r="O13" s="33">
        <v>27.07</v>
      </c>
      <c r="P13" s="33">
        <v>27.07</v>
      </c>
      <c r="Q13" s="33">
        <v>27.07</v>
      </c>
      <c r="R13" s="33">
        <v>27.07</v>
      </c>
      <c r="S13" s="33">
        <v>27.07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253</v>
      </c>
      <c r="E14" s="32"/>
      <c r="F14" s="32"/>
      <c r="G14" s="32"/>
      <c r="H14" s="33">
        <v>57.92</v>
      </c>
      <c r="I14" s="33">
        <v>63.23</v>
      </c>
      <c r="J14" s="33">
        <v>61.62</v>
      </c>
      <c r="K14" s="33">
        <v>51.93</v>
      </c>
      <c r="L14" s="33">
        <v>37.85</v>
      </c>
      <c r="M14" s="33">
        <v>27.07</v>
      </c>
      <c r="N14" s="33">
        <v>27.07</v>
      </c>
      <c r="O14" s="33">
        <v>27.07</v>
      </c>
      <c r="P14" s="33">
        <v>27.07</v>
      </c>
      <c r="Q14" s="33">
        <v>27.07</v>
      </c>
      <c r="R14" s="33">
        <v>27.07</v>
      </c>
      <c r="S14" s="36">
        <f>0.00+30.08</f>
        <v>30.08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254</v>
      </c>
      <c r="E15" s="33">
        <v>0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6">
        <f>9.91+0.00</f>
        <v>9.91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255</v>
      </c>
      <c r="E16" s="32"/>
      <c r="F16" s="32"/>
      <c r="G16" s="32"/>
      <c r="H16" s="33">
        <v>33.21</v>
      </c>
      <c r="I16" s="33">
        <v>65.73</v>
      </c>
      <c r="J16" s="33">
        <v>60.82</v>
      </c>
      <c r="K16" s="33">
        <v>36.16</v>
      </c>
      <c r="L16" s="33">
        <v>27.07</v>
      </c>
      <c r="M16" s="33">
        <v>27.07</v>
      </c>
      <c r="N16" s="33">
        <v>27.07</v>
      </c>
      <c r="O16" s="33">
        <v>27.07</v>
      </c>
      <c r="P16" s="33">
        <v>27.07</v>
      </c>
      <c r="Q16" s="33">
        <v>27.07</v>
      </c>
      <c r="R16" s="33">
        <v>27.07</v>
      </c>
      <c r="S16" s="33">
        <v>27.07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256</v>
      </c>
      <c r="E17" s="32"/>
      <c r="F17" s="32"/>
      <c r="G17" s="32"/>
      <c r="H17" s="33">
        <v>35.23</v>
      </c>
      <c r="I17" s="33">
        <v>75.96</v>
      </c>
      <c r="J17" s="33">
        <v>82.22</v>
      </c>
      <c r="K17" s="33">
        <v>85.97</v>
      </c>
      <c r="L17" s="33">
        <v>27.07</v>
      </c>
      <c r="M17" s="33">
        <v>27.07</v>
      </c>
      <c r="N17" s="33">
        <v>27.07</v>
      </c>
      <c r="O17" s="33">
        <v>27.07</v>
      </c>
      <c r="P17" s="33">
        <v>27.07</v>
      </c>
      <c r="Q17" s="33">
        <v>27.07</v>
      </c>
      <c r="R17" s="33">
        <v>27.07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257</v>
      </c>
      <c r="E18" s="32"/>
      <c r="F18" s="32"/>
      <c r="G18" s="32"/>
      <c r="H18" s="33">
        <v>44.19</v>
      </c>
      <c r="I18" s="33">
        <v>44.12</v>
      </c>
      <c r="J18" s="33">
        <v>44.12</v>
      </c>
      <c r="K18" s="33">
        <v>41.04</v>
      </c>
      <c r="L18" s="33">
        <v>36.65</v>
      </c>
      <c r="M18" s="33">
        <v>36.65</v>
      </c>
      <c r="N18" s="33">
        <v>36.65</v>
      </c>
      <c r="O18" s="33">
        <v>35.52</v>
      </c>
      <c r="P18" s="33">
        <v>36.65</v>
      </c>
      <c r="Q18" s="33">
        <v>36.65</v>
      </c>
      <c r="R18" s="33">
        <v>36.65</v>
      </c>
      <c r="S18" s="33">
        <v>36.65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258</v>
      </c>
      <c r="E19" s="33">
        <v>0</v>
      </c>
      <c r="F19" s="32"/>
      <c r="G19" s="32"/>
      <c r="H19" s="32"/>
      <c r="I19" s="32"/>
      <c r="J19" s="32"/>
      <c r="K19" s="32"/>
      <c r="L19" s="32"/>
      <c r="M19" s="32"/>
      <c r="N19" s="32"/>
      <c r="O19" s="36">
        <f>0.00+27.07</f>
        <v>27.07</v>
      </c>
      <c r="P19" s="33">
        <v>27.07</v>
      </c>
      <c r="Q19" s="33">
        <v>27.52</v>
      </c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259</v>
      </c>
      <c r="E20" s="32"/>
      <c r="F20" s="32"/>
      <c r="G20" s="32"/>
      <c r="H20" s="33">
        <v>358.71</v>
      </c>
      <c r="I20" s="33">
        <v>550.17</v>
      </c>
      <c r="J20" s="33">
        <v>460.68</v>
      </c>
      <c r="K20" s="33">
        <v>504.41</v>
      </c>
      <c r="L20" s="33">
        <v>329.85</v>
      </c>
      <c r="M20" s="33">
        <v>462.24</v>
      </c>
      <c r="N20" s="33">
        <v>429.25</v>
      </c>
      <c r="O20" s="33">
        <v>418.11</v>
      </c>
      <c r="P20" s="33">
        <v>548.36</v>
      </c>
      <c r="Q20" s="33">
        <v>470.52</v>
      </c>
      <c r="R20" s="33">
        <v>368.13</v>
      </c>
      <c r="S20" s="33">
        <v>376.02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260</v>
      </c>
      <c r="E21" s="32"/>
      <c r="F21" s="32"/>
      <c r="G21" s="32"/>
      <c r="H21" s="33">
        <v>27.07</v>
      </c>
      <c r="I21" s="33">
        <v>56.68</v>
      </c>
      <c r="J21" s="33">
        <v>58.82</v>
      </c>
      <c r="K21" s="33">
        <v>32.28</v>
      </c>
      <c r="L21" s="33">
        <v>27.07</v>
      </c>
      <c r="M21" s="33">
        <v>27.07</v>
      </c>
      <c r="N21" s="33">
        <v>27.07</v>
      </c>
      <c r="O21" s="33">
        <v>27.07</v>
      </c>
      <c r="P21" s="33">
        <v>27.07</v>
      </c>
      <c r="Q21" s="33">
        <v>27.07</v>
      </c>
      <c r="R21" s="36">
        <f>28.21+0.00</f>
        <v>28.21</v>
      </c>
      <c r="S21" s="33">
        <v>32.98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261</v>
      </c>
      <c r="E22" s="32"/>
      <c r="F22" s="32"/>
      <c r="G22" s="32"/>
      <c r="H22" s="33">
        <v>31.93</v>
      </c>
      <c r="I22" s="33">
        <v>65.2</v>
      </c>
      <c r="J22" s="33">
        <v>74.89</v>
      </c>
      <c r="K22" s="33">
        <v>65</v>
      </c>
      <c r="L22" s="33">
        <v>27.07</v>
      </c>
      <c r="M22" s="33">
        <v>27.07</v>
      </c>
      <c r="N22" s="33">
        <v>27.07</v>
      </c>
      <c r="O22" s="33">
        <v>27.07</v>
      </c>
      <c r="P22" s="33">
        <v>27.07</v>
      </c>
      <c r="Q22" s="33">
        <v>27.07</v>
      </c>
      <c r="R22" s="33">
        <v>27.07</v>
      </c>
      <c r="S22" s="33">
        <v>27.07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262</v>
      </c>
      <c r="E23" s="32"/>
      <c r="F23" s="32"/>
      <c r="G23" s="32"/>
      <c r="H23" s="32"/>
      <c r="I23" s="32"/>
      <c r="J23" s="32"/>
      <c r="K23" s="33">
        <v>115.73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263</v>
      </c>
      <c r="E24" s="32"/>
      <c r="F24" s="32"/>
      <c r="G24" s="32"/>
      <c r="H24" s="33">
        <v>34.11</v>
      </c>
      <c r="I24" s="33">
        <v>81.01</v>
      </c>
      <c r="J24" s="33">
        <v>76.23</v>
      </c>
      <c r="K24" s="33">
        <v>61.98</v>
      </c>
      <c r="L24" s="33">
        <v>27.07</v>
      </c>
      <c r="M24" s="33">
        <v>27.07</v>
      </c>
      <c r="N24" s="33">
        <v>27.07</v>
      </c>
      <c r="O24" s="33">
        <v>27.07</v>
      </c>
      <c r="P24" s="33">
        <v>27.07</v>
      </c>
      <c r="Q24" s="33">
        <v>27.07</v>
      </c>
      <c r="R24" s="33">
        <v>27.07</v>
      </c>
      <c r="S24" s="33">
        <v>27.07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264</v>
      </c>
      <c r="E25" s="33">
        <v>0</v>
      </c>
      <c r="F25" s="32"/>
      <c r="G25" s="32"/>
      <c r="H25" s="32"/>
      <c r="I25" s="32"/>
      <c r="J25" s="32"/>
      <c r="K25" s="32"/>
      <c r="L25" s="32"/>
      <c r="M25" s="32"/>
      <c r="N25" s="32"/>
      <c r="O25" s="36">
        <f>0.00+28.20</f>
        <v>28.2</v>
      </c>
      <c r="P25" s="33">
        <v>28.4</v>
      </c>
      <c r="Q25" s="33">
        <v>28.26</v>
      </c>
      <c r="R25" s="33">
        <v>28.29</v>
      </c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265</v>
      </c>
      <c r="E26" s="32"/>
      <c r="F26" s="32"/>
      <c r="G26" s="32"/>
      <c r="H26" s="33">
        <v>2345.87</v>
      </c>
      <c r="I26" s="33">
        <v>2239.29</v>
      </c>
      <c r="J26" s="33">
        <v>1802.42</v>
      </c>
      <c r="K26" s="33">
        <v>1505.89</v>
      </c>
      <c r="L26" s="33">
        <v>1384.88</v>
      </c>
      <c r="M26" s="33">
        <v>913.6</v>
      </c>
      <c r="N26" s="33">
        <v>653.31</v>
      </c>
      <c r="O26" s="33">
        <v>632.25</v>
      </c>
      <c r="P26" s="33">
        <v>651.61</v>
      </c>
      <c r="Q26" s="33">
        <v>625.83</v>
      </c>
      <c r="R26" s="33">
        <v>1370.74</v>
      </c>
      <c r="S26" s="33">
        <v>1776.53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266</v>
      </c>
      <c r="E27" s="32"/>
      <c r="F27" s="32"/>
      <c r="G27" s="32"/>
      <c r="H27" s="33">
        <v>64.15</v>
      </c>
      <c r="I27" s="33">
        <v>64.45</v>
      </c>
      <c r="J27" s="33">
        <v>64.45</v>
      </c>
      <c r="K27" s="33">
        <v>59.73</v>
      </c>
      <c r="L27" s="33">
        <v>57.55</v>
      </c>
      <c r="M27" s="33">
        <v>57.55</v>
      </c>
      <c r="N27" s="33">
        <v>57.55</v>
      </c>
      <c r="O27" s="33">
        <v>55.7</v>
      </c>
      <c r="P27" s="33">
        <v>57.55</v>
      </c>
      <c r="Q27" s="33">
        <v>57.55</v>
      </c>
      <c r="R27" s="33">
        <v>57.55</v>
      </c>
      <c r="S27" s="33">
        <v>57.55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267</v>
      </c>
      <c r="E28" s="32"/>
      <c r="F28" s="32"/>
      <c r="G28" s="32"/>
      <c r="H28" s="33">
        <v>27.07</v>
      </c>
      <c r="I28" s="33">
        <v>27.07</v>
      </c>
      <c r="J28" s="33">
        <v>27.07</v>
      </c>
      <c r="K28" s="33">
        <v>27.07</v>
      </c>
      <c r="L28" s="33">
        <v>27.07</v>
      </c>
      <c r="M28" s="33">
        <v>27.07</v>
      </c>
      <c r="N28" s="33">
        <v>27.07</v>
      </c>
      <c r="O28" s="33">
        <v>27.07</v>
      </c>
      <c r="P28" s="33">
        <v>27.07</v>
      </c>
      <c r="Q28" s="33">
        <v>27.07</v>
      </c>
      <c r="R28" s="33">
        <v>27.07</v>
      </c>
      <c r="S28" s="36">
        <f>27.76+2.29</f>
        <v>30.05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268</v>
      </c>
      <c r="E29" s="32"/>
      <c r="F29" s="32"/>
      <c r="G29" s="32"/>
      <c r="H29" s="33">
        <v>28.48</v>
      </c>
      <c r="I29" s="33">
        <v>131.48</v>
      </c>
      <c r="J29" s="33">
        <v>118.46</v>
      </c>
      <c r="K29" s="33">
        <v>92.26</v>
      </c>
      <c r="L29" s="33">
        <v>27.07</v>
      </c>
      <c r="M29" s="33">
        <v>27.07</v>
      </c>
      <c r="N29" s="33">
        <v>27.07</v>
      </c>
      <c r="O29" s="33">
        <v>27.07</v>
      </c>
      <c r="P29" s="33">
        <v>27.07</v>
      </c>
      <c r="Q29" s="33">
        <v>27.07</v>
      </c>
      <c r="R29" s="36">
        <f>27.07+5.41</f>
        <v>32.480000000000004</v>
      </c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269</v>
      </c>
      <c r="E30" s="32"/>
      <c r="F30" s="32"/>
      <c r="G30" s="32"/>
      <c r="H30" s="33">
        <v>31.52</v>
      </c>
      <c r="I30" s="33">
        <v>50.2</v>
      </c>
      <c r="J30" s="33">
        <v>51.81</v>
      </c>
      <c r="K30" s="33">
        <v>50.54</v>
      </c>
      <c r="L30" s="33">
        <v>27.88</v>
      </c>
      <c r="M30" s="33">
        <v>27.88</v>
      </c>
      <c r="N30" s="33">
        <v>27.88</v>
      </c>
      <c r="O30" s="33">
        <v>27.77</v>
      </c>
      <c r="P30" s="33">
        <v>27.94</v>
      </c>
      <c r="Q30" s="33">
        <v>27.8</v>
      </c>
      <c r="R30" s="33">
        <v>27.88</v>
      </c>
      <c r="S30" s="33">
        <v>30.22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270</v>
      </c>
      <c r="E31" s="32"/>
      <c r="F31" s="32"/>
      <c r="G31" s="32"/>
      <c r="H31" s="33">
        <v>62.1</v>
      </c>
      <c r="I31" s="33">
        <v>78.72</v>
      </c>
      <c r="J31" s="33">
        <v>106.25</v>
      </c>
      <c r="K31" s="33">
        <v>101.96</v>
      </c>
      <c r="L31" s="33">
        <v>108.47</v>
      </c>
      <c r="M31" s="33">
        <v>107.81</v>
      </c>
      <c r="N31" s="33">
        <v>81</v>
      </c>
      <c r="O31" s="33">
        <v>79.93</v>
      </c>
      <c r="P31" s="33">
        <v>100.87</v>
      </c>
      <c r="Q31" s="33">
        <v>77.05</v>
      </c>
      <c r="R31" s="33">
        <v>75.61</v>
      </c>
      <c r="S31" s="33">
        <v>93.49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271</v>
      </c>
      <c r="E32" s="32"/>
      <c r="F32" s="32"/>
      <c r="G32" s="32"/>
      <c r="H32" s="33">
        <v>302.81</v>
      </c>
      <c r="I32" s="33">
        <v>377.51</v>
      </c>
      <c r="J32" s="33">
        <v>385.6</v>
      </c>
      <c r="K32" s="33">
        <v>450.67</v>
      </c>
      <c r="L32" s="33">
        <v>320.64</v>
      </c>
      <c r="M32" s="33">
        <v>409.01</v>
      </c>
      <c r="N32" s="33">
        <v>382.07</v>
      </c>
      <c r="O32" s="33">
        <v>376.26</v>
      </c>
      <c r="P32" s="33">
        <v>420.05</v>
      </c>
      <c r="Q32" s="33">
        <v>372.72</v>
      </c>
      <c r="R32" s="33">
        <v>289.25</v>
      </c>
      <c r="S32" s="33">
        <v>325.64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272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6">
        <f>0.00+0.00</f>
        <v>0</v>
      </c>
      <c r="P33" s="33">
        <v>27.07</v>
      </c>
      <c r="Q33" s="33">
        <v>27.07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273</v>
      </c>
      <c r="E34" s="33">
        <v>0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6">
        <f>0.00+9.91</f>
        <v>9.91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274</v>
      </c>
      <c r="E35" s="33">
        <v>0</v>
      </c>
      <c r="F35" s="32"/>
      <c r="G35" s="32"/>
      <c r="H35" s="32"/>
      <c r="I35" s="32"/>
      <c r="J35" s="32"/>
      <c r="K35" s="32"/>
      <c r="L35" s="32"/>
      <c r="M35" s="32"/>
      <c r="N35" s="32"/>
      <c r="O35" s="36">
        <f>0.00+27.07</f>
        <v>27.07</v>
      </c>
      <c r="P35" s="33">
        <v>27.07</v>
      </c>
      <c r="Q35" s="33">
        <v>27.07</v>
      </c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275</v>
      </c>
      <c r="E36" s="33">
        <v>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6">
        <f>0.00+9.91</f>
        <v>9.91</v>
      </c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276</v>
      </c>
      <c r="E37" s="32"/>
      <c r="F37" s="32"/>
      <c r="G37" s="32"/>
      <c r="H37" s="33">
        <v>37.58</v>
      </c>
      <c r="I37" s="33">
        <v>82.07</v>
      </c>
      <c r="J37" s="33">
        <v>98.28</v>
      </c>
      <c r="K37" s="33">
        <v>27.07</v>
      </c>
      <c r="L37" s="33">
        <v>31.21</v>
      </c>
      <c r="M37" s="33">
        <v>27.07</v>
      </c>
      <c r="N37" s="33">
        <v>27.07</v>
      </c>
      <c r="O37" s="33">
        <v>27.07</v>
      </c>
      <c r="P37" s="33">
        <v>27.07</v>
      </c>
      <c r="Q37" s="33">
        <v>27.07</v>
      </c>
      <c r="R37" s="33">
        <v>18.96</v>
      </c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277</v>
      </c>
      <c r="E38" s="32"/>
      <c r="F38" s="32"/>
      <c r="G38" s="32"/>
      <c r="H38" s="33">
        <v>27.07</v>
      </c>
      <c r="I38" s="33">
        <v>27.07</v>
      </c>
      <c r="J38" s="33">
        <v>27.07</v>
      </c>
      <c r="K38" s="33">
        <v>27.07</v>
      </c>
      <c r="L38" s="33">
        <v>27.07</v>
      </c>
      <c r="M38" s="33">
        <v>27.07</v>
      </c>
      <c r="N38" s="33">
        <v>27.07</v>
      </c>
      <c r="O38" s="33">
        <v>27.07</v>
      </c>
      <c r="P38" s="33">
        <v>27.07</v>
      </c>
      <c r="Q38" s="33">
        <v>27.07</v>
      </c>
      <c r="R38" s="33">
        <v>27.07</v>
      </c>
      <c r="S38" s="33">
        <v>27.07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278</v>
      </c>
      <c r="E39" s="32"/>
      <c r="F39" s="32"/>
      <c r="G39" s="32"/>
      <c r="H39" s="33">
        <v>27.07</v>
      </c>
      <c r="I39" s="33">
        <v>76.78</v>
      </c>
      <c r="J39" s="33">
        <v>177.94</v>
      </c>
      <c r="K39" s="33">
        <v>90.25</v>
      </c>
      <c r="L39" s="33">
        <v>27.07</v>
      </c>
      <c r="M39" s="33">
        <v>27.07</v>
      </c>
      <c r="N39" s="33">
        <v>27.07</v>
      </c>
      <c r="O39" s="33">
        <v>27.07</v>
      </c>
      <c r="P39" s="33">
        <v>27.07</v>
      </c>
      <c r="Q39" s="33">
        <v>27.07</v>
      </c>
      <c r="R39" s="33">
        <v>27.07</v>
      </c>
      <c r="S39" s="33">
        <v>27.07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279</v>
      </c>
      <c r="E40" s="32"/>
      <c r="F40" s="32"/>
      <c r="G40" s="36">
        <f>95.75+0.00+15.17</f>
        <v>110.92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280</v>
      </c>
      <c r="E41" s="32"/>
      <c r="F41" s="32"/>
      <c r="G41" s="32"/>
      <c r="H41" s="33">
        <v>143.75</v>
      </c>
      <c r="I41" s="33">
        <v>123.24</v>
      </c>
      <c r="J41" s="33">
        <v>38</v>
      </c>
      <c r="K41" s="33">
        <v>28.2</v>
      </c>
      <c r="L41" s="33">
        <v>27.88</v>
      </c>
      <c r="M41" s="33">
        <v>27.94</v>
      </c>
      <c r="N41" s="33">
        <v>27.88</v>
      </c>
      <c r="O41" s="33">
        <v>27.81</v>
      </c>
      <c r="P41" s="33">
        <v>27.94</v>
      </c>
      <c r="Q41" s="33">
        <v>27.88</v>
      </c>
      <c r="R41" s="33">
        <v>55.83</v>
      </c>
      <c r="S41" s="33">
        <v>110.39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281</v>
      </c>
      <c r="E42" s="32"/>
      <c r="F42" s="32"/>
      <c r="G42" s="32"/>
      <c r="H42" s="33">
        <v>108.49</v>
      </c>
      <c r="I42" s="33">
        <v>116.47</v>
      </c>
      <c r="J42" s="33">
        <v>97.77</v>
      </c>
      <c r="K42" s="33">
        <v>57.96</v>
      </c>
      <c r="L42" s="33">
        <v>27.07</v>
      </c>
      <c r="M42" s="33">
        <v>27.07</v>
      </c>
      <c r="N42" s="33">
        <v>27.07</v>
      </c>
      <c r="O42" s="33">
        <v>27.07</v>
      </c>
      <c r="P42" s="33">
        <v>27.07</v>
      </c>
      <c r="Q42" s="33">
        <v>27.07</v>
      </c>
      <c r="R42" s="33">
        <v>20.76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282</v>
      </c>
      <c r="E43" s="33">
        <v>0</v>
      </c>
      <c r="F43" s="32"/>
      <c r="G43" s="32"/>
      <c r="H43" s="32"/>
      <c r="I43" s="36">
        <f>0.00+79.16</f>
        <v>79.16</v>
      </c>
      <c r="J43" s="33">
        <v>76.23</v>
      </c>
      <c r="K43" s="33">
        <v>79.45</v>
      </c>
      <c r="L43" s="33">
        <v>33.48</v>
      </c>
      <c r="M43" s="33">
        <v>27.07</v>
      </c>
      <c r="N43" s="33">
        <v>27.07</v>
      </c>
      <c r="O43" s="33">
        <v>27.07</v>
      </c>
      <c r="P43" s="33">
        <v>27.07</v>
      </c>
      <c r="Q43" s="33">
        <v>27.07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283</v>
      </c>
      <c r="E44" s="32"/>
      <c r="F44" s="32"/>
      <c r="G44" s="32"/>
      <c r="H44" s="36">
        <f>0.00+0.00</f>
        <v>0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284</v>
      </c>
      <c r="E45" s="32"/>
      <c r="F45" s="32"/>
      <c r="G45" s="32"/>
      <c r="H45" s="33">
        <v>357.67</v>
      </c>
      <c r="I45" s="33">
        <v>379.74</v>
      </c>
      <c r="J45" s="33">
        <v>436.39</v>
      </c>
      <c r="K45" s="33">
        <v>453.07</v>
      </c>
      <c r="L45" s="33">
        <v>397.19</v>
      </c>
      <c r="M45" s="33">
        <v>314.09</v>
      </c>
      <c r="N45" s="33">
        <v>203.65</v>
      </c>
      <c r="O45" s="33">
        <v>175.8</v>
      </c>
      <c r="P45" s="33">
        <v>169.46</v>
      </c>
      <c r="Q45" s="33">
        <v>133.18</v>
      </c>
      <c r="R45" s="33">
        <v>221.14</v>
      </c>
      <c r="S45" s="33">
        <v>323.42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285</v>
      </c>
      <c r="E46" s="32"/>
      <c r="F46" s="32"/>
      <c r="G46" s="32"/>
      <c r="H46" s="33">
        <v>68.54</v>
      </c>
      <c r="I46" s="33">
        <v>39.96</v>
      </c>
      <c r="J46" s="33">
        <v>35.29</v>
      </c>
      <c r="K46" s="33">
        <v>41.64</v>
      </c>
      <c r="L46" s="33">
        <v>27.07</v>
      </c>
      <c r="M46" s="33">
        <v>27.07</v>
      </c>
      <c r="N46" s="33">
        <v>27.07</v>
      </c>
      <c r="O46" s="33">
        <v>27.07</v>
      </c>
      <c r="P46" s="33">
        <v>27.07</v>
      </c>
      <c r="Q46" s="33">
        <v>27.07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286</v>
      </c>
      <c r="E47" s="33">
        <v>0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6">
        <f>0.00+9.91</f>
        <v>9.91</v>
      </c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287</v>
      </c>
      <c r="E48" s="32"/>
      <c r="F48" s="32"/>
      <c r="G48" s="32"/>
      <c r="H48" s="33">
        <v>45.32</v>
      </c>
      <c r="I48" s="33">
        <v>32.54</v>
      </c>
      <c r="J48" s="33">
        <v>35.78</v>
      </c>
      <c r="K48" s="33">
        <v>51.05</v>
      </c>
      <c r="L48" s="33">
        <v>72.75</v>
      </c>
      <c r="M48" s="33">
        <v>141.52</v>
      </c>
      <c r="N48" s="33">
        <v>126.48</v>
      </c>
      <c r="O48" s="33">
        <v>113.73</v>
      </c>
      <c r="P48" s="33">
        <v>67.58</v>
      </c>
      <c r="Q48" s="33">
        <v>31.72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288</v>
      </c>
      <c r="E49" s="32"/>
      <c r="F49" s="32"/>
      <c r="G49" s="32"/>
      <c r="H49" s="33">
        <v>132.82</v>
      </c>
      <c r="I49" s="33">
        <v>130.1</v>
      </c>
      <c r="J49" s="33">
        <v>132.32</v>
      </c>
      <c r="K49" s="33">
        <v>112.52</v>
      </c>
      <c r="L49" s="33">
        <v>84.81</v>
      </c>
      <c r="M49" s="33">
        <v>62.87</v>
      </c>
      <c r="N49" s="33">
        <v>40.26</v>
      </c>
      <c r="O49" s="33">
        <v>42.74</v>
      </c>
      <c r="P49" s="33">
        <v>48.54</v>
      </c>
      <c r="Q49" s="33">
        <v>48.14</v>
      </c>
      <c r="R49" s="33">
        <v>66.13</v>
      </c>
      <c r="S49" s="33">
        <v>90.61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289</v>
      </c>
      <c r="E50" s="33">
        <v>0</v>
      </c>
      <c r="F50" s="32"/>
      <c r="G50" s="32"/>
      <c r="H50" s="32"/>
      <c r="I50" s="36">
        <f>0.00+50.20</f>
        <v>50.2</v>
      </c>
      <c r="J50" s="33">
        <v>42.48</v>
      </c>
      <c r="K50" s="33">
        <v>147.63</v>
      </c>
      <c r="L50" s="33">
        <v>32.41</v>
      </c>
      <c r="M50" s="33">
        <v>27.07</v>
      </c>
      <c r="N50" s="33">
        <v>27.07</v>
      </c>
      <c r="O50" s="33">
        <v>27.07</v>
      </c>
      <c r="P50" s="33">
        <v>27.07</v>
      </c>
      <c r="Q50" s="33">
        <v>27.07</v>
      </c>
      <c r="R50" s="33">
        <v>31.36</v>
      </c>
      <c r="S50" s="33">
        <v>28.17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290</v>
      </c>
      <c r="E51" s="32"/>
      <c r="F51" s="32"/>
      <c r="G51" s="32"/>
      <c r="H51" s="33">
        <v>1663.97</v>
      </c>
      <c r="I51" s="33">
        <v>1755.27</v>
      </c>
      <c r="J51" s="33">
        <v>1791.3</v>
      </c>
      <c r="K51" s="33">
        <v>1335.25</v>
      </c>
      <c r="L51" s="33">
        <v>1298.62</v>
      </c>
      <c r="M51" s="33">
        <v>960.45</v>
      </c>
      <c r="N51" s="33">
        <v>734.64</v>
      </c>
      <c r="O51" s="33">
        <v>808.66</v>
      </c>
      <c r="P51" s="33">
        <v>1291.48</v>
      </c>
      <c r="Q51" s="33">
        <v>1347.89</v>
      </c>
      <c r="R51" s="33">
        <v>1497.92</v>
      </c>
      <c r="S51" s="33">
        <v>1674.26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291</v>
      </c>
      <c r="E52" s="33">
        <v>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6">
        <f>0.00+9.91</f>
        <v>9.91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292</v>
      </c>
      <c r="E53" s="32"/>
      <c r="F53" s="32"/>
      <c r="G53" s="32"/>
      <c r="H53" s="33">
        <v>36.13</v>
      </c>
      <c r="I53" s="33">
        <v>109.58</v>
      </c>
      <c r="J53" s="33">
        <v>119.54</v>
      </c>
      <c r="K53" s="33">
        <v>103.34</v>
      </c>
      <c r="L53" s="33">
        <v>27.07</v>
      </c>
      <c r="M53" s="33">
        <v>27.07</v>
      </c>
      <c r="N53" s="33">
        <v>27.07</v>
      </c>
      <c r="O53" s="33">
        <v>27.07</v>
      </c>
      <c r="P53" s="33">
        <v>27.07</v>
      </c>
      <c r="Q53" s="33">
        <v>27.07</v>
      </c>
      <c r="R53" s="33">
        <v>27.07</v>
      </c>
      <c r="S53" s="33">
        <v>27.07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293</v>
      </c>
      <c r="E54" s="33">
        <v>0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6">
        <f>0.00+9.91</f>
        <v>9.91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294</v>
      </c>
      <c r="E55" s="32"/>
      <c r="F55" s="32"/>
      <c r="G55" s="32"/>
      <c r="H55" s="33">
        <v>33.76</v>
      </c>
      <c r="I55" s="33">
        <v>32.65</v>
      </c>
      <c r="J55" s="33">
        <v>77.96</v>
      </c>
      <c r="K55" s="33">
        <v>73.92</v>
      </c>
      <c r="L55" s="33">
        <v>27.56</v>
      </c>
      <c r="M55" s="33">
        <v>28.04</v>
      </c>
      <c r="N55" s="33">
        <v>28</v>
      </c>
      <c r="O55" s="33">
        <v>27.07</v>
      </c>
      <c r="P55" s="33">
        <v>27.07</v>
      </c>
      <c r="Q55" s="33">
        <v>27.07</v>
      </c>
      <c r="R55" s="33">
        <v>27.07</v>
      </c>
      <c r="S55" s="33">
        <v>71.34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295</v>
      </c>
      <c r="E56" s="32"/>
      <c r="F56" s="32"/>
      <c r="G56" s="32"/>
      <c r="H56" s="33">
        <v>27.07</v>
      </c>
      <c r="I56" s="33">
        <v>33.76</v>
      </c>
      <c r="J56" s="33">
        <v>41.69</v>
      </c>
      <c r="K56" s="33">
        <v>46.42</v>
      </c>
      <c r="L56" s="33">
        <v>38.78</v>
      </c>
      <c r="M56" s="33">
        <v>27.07</v>
      </c>
      <c r="N56" s="33">
        <v>27.07</v>
      </c>
      <c r="O56" s="33">
        <v>27.07</v>
      </c>
      <c r="P56" s="33">
        <v>27.07</v>
      </c>
      <c r="Q56" s="33">
        <v>27.07</v>
      </c>
      <c r="R56" s="36">
        <f>0.00+27.07</f>
        <v>27.07</v>
      </c>
      <c r="S56" s="33">
        <v>27.63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296</v>
      </c>
      <c r="E57" s="33">
        <v>0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6">
        <f>0.00+9.91</f>
        <v>9.91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297</v>
      </c>
      <c r="E58" s="32"/>
      <c r="F58" s="32"/>
      <c r="G58" s="32"/>
      <c r="H58" s="33">
        <v>34.49</v>
      </c>
      <c r="I58" s="33">
        <v>1</v>
      </c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298</v>
      </c>
      <c r="E59" s="36">
        <f>0.00+0.00+0.00</f>
        <v>0</v>
      </c>
      <c r="F59" s="32"/>
      <c r="G59" s="32"/>
      <c r="H59" s="32"/>
      <c r="I59" s="32"/>
      <c r="J59" s="32"/>
      <c r="K59" s="32"/>
      <c r="L59" s="36">
        <f>9.91+0.00</f>
        <v>9.91</v>
      </c>
      <c r="M59" s="33">
        <v>47.95</v>
      </c>
      <c r="N59" s="33">
        <v>27.07</v>
      </c>
      <c r="O59" s="33">
        <v>27.07</v>
      </c>
      <c r="P59" s="33">
        <v>27.07</v>
      </c>
      <c r="Q59" s="33">
        <v>27.07</v>
      </c>
      <c r="R59" s="33">
        <v>27.07</v>
      </c>
      <c r="S59" s="33">
        <v>27.07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299</v>
      </c>
      <c r="E60" s="33">
        <v>0</v>
      </c>
      <c r="F60" s="32"/>
      <c r="G60" s="32"/>
      <c r="H60" s="32"/>
      <c r="I60" s="32"/>
      <c r="J60" s="32"/>
      <c r="K60" s="32"/>
      <c r="L60" s="32"/>
      <c r="M60" s="32"/>
      <c r="N60" s="32"/>
      <c r="O60" s="36">
        <f>0.00+27.07</f>
        <v>27.07</v>
      </c>
      <c r="P60" s="33">
        <v>27.07</v>
      </c>
      <c r="Q60" s="33">
        <v>27.07</v>
      </c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300</v>
      </c>
      <c r="E61" s="32"/>
      <c r="F61" s="32"/>
      <c r="G61" s="32"/>
      <c r="H61" s="33">
        <v>101.94</v>
      </c>
      <c r="I61" s="33">
        <v>119.08</v>
      </c>
      <c r="J61" s="33">
        <v>144.1</v>
      </c>
      <c r="K61" s="33">
        <v>165.25</v>
      </c>
      <c r="L61" s="33">
        <v>160.68</v>
      </c>
      <c r="M61" s="33">
        <v>200.24</v>
      </c>
      <c r="N61" s="33">
        <v>191.43</v>
      </c>
      <c r="O61" s="33">
        <v>187.22</v>
      </c>
      <c r="P61" s="33">
        <v>211.68</v>
      </c>
      <c r="Q61" s="33">
        <v>191.43</v>
      </c>
      <c r="R61" s="33">
        <v>165.8</v>
      </c>
      <c r="S61" s="33">
        <v>153.42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301</v>
      </c>
      <c r="E62" s="32"/>
      <c r="F62" s="32"/>
      <c r="G62" s="32"/>
      <c r="H62" s="32"/>
      <c r="I62" s="32"/>
      <c r="J62" s="32"/>
      <c r="K62" s="32"/>
      <c r="L62" s="32"/>
      <c r="M62" s="32"/>
      <c r="N62" s="33">
        <v>75.5</v>
      </c>
      <c r="O62" s="36">
        <f>71.25+0.00</f>
        <v>71.25</v>
      </c>
      <c r="P62" s="33">
        <v>65.1</v>
      </c>
      <c r="Q62" s="33">
        <v>65.76</v>
      </c>
      <c r="R62" s="33">
        <v>53.8</v>
      </c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302</v>
      </c>
      <c r="E63" s="32"/>
      <c r="F63" s="32"/>
      <c r="G63" s="32"/>
      <c r="H63" s="33">
        <v>27.07</v>
      </c>
      <c r="I63" s="33">
        <v>27.07</v>
      </c>
      <c r="J63" s="33">
        <v>27.07</v>
      </c>
      <c r="K63" s="33">
        <v>27.07</v>
      </c>
      <c r="L63" s="33">
        <v>27.07</v>
      </c>
      <c r="M63" s="33">
        <v>27.07</v>
      </c>
      <c r="N63" s="33">
        <v>27.07</v>
      </c>
      <c r="O63" s="33">
        <v>27.07</v>
      </c>
      <c r="P63" s="33">
        <v>27.07</v>
      </c>
      <c r="Q63" s="33">
        <v>27.07</v>
      </c>
      <c r="R63" s="33">
        <v>27.07</v>
      </c>
      <c r="S63" s="36">
        <f>27.07+1.80</f>
        <v>28.87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303</v>
      </c>
      <c r="E64" s="32"/>
      <c r="F64" s="32"/>
      <c r="G64" s="32"/>
      <c r="H64" s="33">
        <v>28.81</v>
      </c>
      <c r="I64" s="33">
        <v>125.66</v>
      </c>
      <c r="J64" s="33">
        <v>132.03</v>
      </c>
      <c r="K64" s="33">
        <v>127.32</v>
      </c>
      <c r="L64" s="33">
        <v>27.07</v>
      </c>
      <c r="M64" s="33">
        <v>27.07</v>
      </c>
      <c r="N64" s="33">
        <v>27.07</v>
      </c>
      <c r="O64" s="33">
        <v>27.07</v>
      </c>
      <c r="P64" s="33">
        <v>27.07</v>
      </c>
      <c r="Q64" s="33">
        <v>27.07</v>
      </c>
      <c r="R64" s="33">
        <v>37.72</v>
      </c>
      <c r="S64" s="33">
        <v>100.02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304</v>
      </c>
      <c r="E65" s="32"/>
      <c r="F65" s="32"/>
      <c r="G65" s="32"/>
      <c r="H65" s="33">
        <v>29.71</v>
      </c>
      <c r="I65" s="33">
        <v>56.98</v>
      </c>
      <c r="J65" s="33">
        <v>84.06</v>
      </c>
      <c r="K65" s="33">
        <v>88.89</v>
      </c>
      <c r="L65" s="33">
        <v>65.13</v>
      </c>
      <c r="M65" s="33">
        <v>27.94</v>
      </c>
      <c r="N65" s="33">
        <v>27.88</v>
      </c>
      <c r="O65" s="33">
        <v>27.77</v>
      </c>
      <c r="P65" s="33">
        <v>27.94</v>
      </c>
      <c r="Q65" s="33">
        <v>27.85</v>
      </c>
      <c r="R65" s="33">
        <v>27.85</v>
      </c>
      <c r="S65" s="33">
        <v>27.94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305</v>
      </c>
      <c r="E66" s="36">
        <f>0.00+0.00</f>
        <v>0</v>
      </c>
      <c r="F66" s="32"/>
      <c r="G66" s="32"/>
      <c r="H66" s="32"/>
      <c r="I66" s="32"/>
      <c r="J66" s="33">
        <v>0</v>
      </c>
      <c r="K66" s="32"/>
      <c r="L66" s="33">
        <v>28.29</v>
      </c>
      <c r="M66" s="33">
        <v>28.36</v>
      </c>
      <c r="N66" s="33">
        <v>28.26</v>
      </c>
      <c r="O66" s="33">
        <v>28.2</v>
      </c>
      <c r="P66" s="33">
        <v>28.36</v>
      </c>
      <c r="Q66" s="33">
        <v>28.26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306</v>
      </c>
      <c r="E67" s="32"/>
      <c r="F67" s="32"/>
      <c r="G67" s="32"/>
      <c r="H67" s="33">
        <v>62.82</v>
      </c>
      <c r="I67" s="33">
        <v>85.52</v>
      </c>
      <c r="J67" s="33">
        <v>68.79</v>
      </c>
      <c r="K67" s="33">
        <v>71.91</v>
      </c>
      <c r="L67" s="33">
        <v>27.07</v>
      </c>
      <c r="M67" s="33">
        <v>27.07</v>
      </c>
      <c r="N67" s="33">
        <v>27.07</v>
      </c>
      <c r="O67" s="33">
        <v>27.07</v>
      </c>
      <c r="P67" s="36">
        <f>27.07+3.61</f>
        <v>30.68</v>
      </c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307</v>
      </c>
      <c r="E68" s="32"/>
      <c r="F68" s="32"/>
      <c r="G68" s="32"/>
      <c r="H68" s="33">
        <v>116.3</v>
      </c>
      <c r="I68" s="33">
        <v>127.91</v>
      </c>
      <c r="J68" s="33">
        <v>95.88</v>
      </c>
      <c r="K68" s="33">
        <v>37.32</v>
      </c>
      <c r="L68" s="33">
        <v>27.07</v>
      </c>
      <c r="M68" s="33">
        <v>27.07</v>
      </c>
      <c r="N68" s="33">
        <v>27.07</v>
      </c>
      <c r="O68" s="33">
        <v>27.07</v>
      </c>
      <c r="P68" s="33">
        <v>27.07</v>
      </c>
      <c r="Q68" s="33">
        <v>27.07</v>
      </c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308</v>
      </c>
      <c r="E69" s="32"/>
      <c r="F69" s="32"/>
      <c r="G69" s="32"/>
      <c r="H69" s="33">
        <v>118.85</v>
      </c>
      <c r="I69" s="33">
        <v>121.93</v>
      </c>
      <c r="J69" s="33">
        <v>124.99</v>
      </c>
      <c r="K69" s="33">
        <v>131.23</v>
      </c>
      <c r="L69" s="33">
        <v>109.88</v>
      </c>
      <c r="M69" s="33">
        <v>27.96</v>
      </c>
      <c r="N69" s="33">
        <v>27.94</v>
      </c>
      <c r="O69" s="33">
        <v>27.85</v>
      </c>
      <c r="P69" s="33">
        <v>27.96</v>
      </c>
      <c r="Q69" s="33">
        <v>27.85</v>
      </c>
      <c r="R69" s="33">
        <v>37.26</v>
      </c>
      <c r="S69" s="33">
        <v>128.59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309</v>
      </c>
      <c r="E70" s="32"/>
      <c r="F70" s="32"/>
      <c r="G70" s="32"/>
      <c r="H70" s="33">
        <v>27.07</v>
      </c>
      <c r="I70" s="33">
        <v>32.81</v>
      </c>
      <c r="J70" s="33">
        <v>27.07</v>
      </c>
      <c r="K70" s="33">
        <v>27.07</v>
      </c>
      <c r="L70" s="33">
        <v>27.07</v>
      </c>
      <c r="M70" s="33">
        <v>27.07</v>
      </c>
      <c r="N70" s="33">
        <v>27.07</v>
      </c>
      <c r="O70" s="33">
        <v>27.07</v>
      </c>
      <c r="P70" s="33">
        <v>27.07</v>
      </c>
      <c r="Q70" s="33">
        <v>27.07</v>
      </c>
      <c r="R70" s="33">
        <v>27.07</v>
      </c>
      <c r="S70" s="33">
        <v>27.07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310</v>
      </c>
      <c r="E71" s="32"/>
      <c r="F71" s="32"/>
      <c r="G71" s="32"/>
      <c r="H71" s="32"/>
      <c r="I71" s="32"/>
      <c r="J71" s="32"/>
      <c r="K71" s="32"/>
      <c r="L71" s="33">
        <v>25.08</v>
      </c>
      <c r="M71" s="33">
        <v>282.26</v>
      </c>
      <c r="N71" s="33">
        <v>27.07</v>
      </c>
      <c r="O71" s="33">
        <v>27.07</v>
      </c>
      <c r="P71" s="33">
        <v>27.07</v>
      </c>
      <c r="Q71" s="36">
        <f>27.07+2.70</f>
        <v>29.77</v>
      </c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311</v>
      </c>
      <c r="E72" s="32"/>
      <c r="F72" s="32"/>
      <c r="G72" s="32"/>
      <c r="H72" s="33">
        <v>27.8</v>
      </c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312</v>
      </c>
      <c r="E73" s="32"/>
      <c r="F73" s="32"/>
      <c r="G73" s="32"/>
      <c r="H73" s="33">
        <v>131.03</v>
      </c>
      <c r="I73" s="33">
        <v>142.64</v>
      </c>
      <c r="J73" s="33">
        <v>147.35</v>
      </c>
      <c r="K73" s="33">
        <v>131.98</v>
      </c>
      <c r="L73" s="33">
        <v>27.07</v>
      </c>
      <c r="M73" s="33">
        <v>27.07</v>
      </c>
      <c r="N73" s="33">
        <v>27.07</v>
      </c>
      <c r="O73" s="33">
        <v>27.07</v>
      </c>
      <c r="P73" s="33">
        <v>27.07</v>
      </c>
      <c r="Q73" s="33">
        <v>27.07</v>
      </c>
      <c r="R73" s="33">
        <v>27.07</v>
      </c>
      <c r="S73" s="33">
        <v>33.09</v>
      </c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313</v>
      </c>
      <c r="E74" s="32"/>
      <c r="F74" s="32"/>
      <c r="G74" s="32"/>
      <c r="H74" s="33">
        <v>28.31</v>
      </c>
      <c r="I74" s="33">
        <v>35.89</v>
      </c>
      <c r="J74" s="33">
        <v>34.16</v>
      </c>
      <c r="K74" s="33">
        <v>31.12</v>
      </c>
      <c r="L74" s="33">
        <v>27.07</v>
      </c>
      <c r="M74" s="33">
        <v>27.07</v>
      </c>
      <c r="N74" s="33">
        <v>27.07</v>
      </c>
      <c r="O74" s="33">
        <v>27.07</v>
      </c>
      <c r="P74" s="33">
        <v>27.07</v>
      </c>
      <c r="Q74" s="33">
        <v>27.07</v>
      </c>
      <c r="R74" s="36">
        <f>34.13+6.94</f>
        <v>41.07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314</v>
      </c>
      <c r="E75" s="32"/>
      <c r="F75" s="32"/>
      <c r="G75" s="32"/>
      <c r="H75" s="32"/>
      <c r="I75" s="32"/>
      <c r="J75" s="32"/>
      <c r="K75" s="32"/>
      <c r="L75" s="33">
        <v>9.91</v>
      </c>
      <c r="M75" s="36">
        <f>0.00+28.29</f>
        <v>28.29</v>
      </c>
      <c r="N75" s="33">
        <v>28.29</v>
      </c>
      <c r="O75" s="33">
        <v>28.13</v>
      </c>
      <c r="P75" s="33">
        <v>28.32</v>
      </c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315</v>
      </c>
      <c r="E76" s="32"/>
      <c r="F76" s="32"/>
      <c r="G76" s="32"/>
      <c r="H76" s="33">
        <v>82.87</v>
      </c>
      <c r="I76" s="33">
        <v>91.4</v>
      </c>
      <c r="J76" s="33">
        <v>95.08</v>
      </c>
      <c r="K76" s="33">
        <v>85.86</v>
      </c>
      <c r="L76" s="33">
        <v>28.48</v>
      </c>
      <c r="M76" s="33">
        <v>27.07</v>
      </c>
      <c r="N76" s="33">
        <v>27.07</v>
      </c>
      <c r="O76" s="33">
        <v>27.07</v>
      </c>
      <c r="P76" s="33">
        <v>27.07</v>
      </c>
      <c r="Q76" s="33">
        <v>35.13</v>
      </c>
      <c r="R76" s="33">
        <v>34.62</v>
      </c>
      <c r="S76" s="33">
        <v>29.13</v>
      </c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316</v>
      </c>
      <c r="E77" s="32"/>
      <c r="F77" s="32"/>
      <c r="G77" s="32"/>
      <c r="H77" s="33">
        <v>33.36</v>
      </c>
      <c r="I77" s="33">
        <v>84.73</v>
      </c>
      <c r="J77" s="33">
        <v>64.93</v>
      </c>
      <c r="K77" s="33">
        <v>42.14</v>
      </c>
      <c r="L77" s="33">
        <v>32.22</v>
      </c>
      <c r="M77" s="33">
        <v>27.07</v>
      </c>
      <c r="N77" s="33">
        <v>27.07</v>
      </c>
      <c r="O77" s="33">
        <v>27.07</v>
      </c>
      <c r="P77" s="33">
        <v>27.24</v>
      </c>
      <c r="Q77" s="33">
        <v>27.07</v>
      </c>
      <c r="R77" s="33">
        <v>27.07</v>
      </c>
      <c r="S77" s="33">
        <v>27.07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317</v>
      </c>
      <c r="E78" s="32"/>
      <c r="F78" s="32"/>
      <c r="G78" s="32"/>
      <c r="H78" s="33">
        <v>27.07</v>
      </c>
      <c r="I78" s="33">
        <v>35.32</v>
      </c>
      <c r="J78" s="33">
        <v>94.81</v>
      </c>
      <c r="K78" s="33">
        <v>33.43</v>
      </c>
      <c r="L78" s="33">
        <v>27.07</v>
      </c>
      <c r="M78" s="33">
        <v>27.07</v>
      </c>
      <c r="N78" s="33">
        <v>27.07</v>
      </c>
      <c r="O78" s="33">
        <v>27.07</v>
      </c>
      <c r="P78" s="33">
        <v>27.07</v>
      </c>
      <c r="Q78" s="33">
        <v>27.07</v>
      </c>
      <c r="R78" s="33">
        <v>20.76</v>
      </c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318</v>
      </c>
      <c r="E79" s="32"/>
      <c r="F79" s="32"/>
      <c r="G79" s="32"/>
      <c r="H79" s="33">
        <v>111.53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319</v>
      </c>
      <c r="E80" s="32"/>
      <c r="F80" s="32"/>
      <c r="G80" s="32"/>
      <c r="H80" s="33">
        <v>27.18</v>
      </c>
      <c r="I80" s="33">
        <v>122.6</v>
      </c>
      <c r="J80" s="33">
        <v>131.87</v>
      </c>
      <c r="K80" s="33">
        <v>156.6</v>
      </c>
      <c r="L80" s="36">
        <f>28.90+0.00</f>
        <v>28.9</v>
      </c>
      <c r="M80" s="33">
        <v>28.66</v>
      </c>
      <c r="N80" s="33">
        <v>27.07</v>
      </c>
      <c r="O80" s="33">
        <v>28.13</v>
      </c>
      <c r="P80" s="33">
        <v>28.04</v>
      </c>
      <c r="Q80" s="33">
        <v>27.49</v>
      </c>
      <c r="R80" s="33">
        <v>27.85</v>
      </c>
      <c r="S80" s="33">
        <v>31.31</v>
      </c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320</v>
      </c>
      <c r="E81" s="33">
        <v>0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6">
        <f>0.00+9.91</f>
        <v>9.91</v>
      </c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3</v>
      </c>
      <c r="D82" s="32" t="s">
        <v>321</v>
      </c>
      <c r="E82" s="32"/>
      <c r="F82" s="32"/>
      <c r="G82" s="32"/>
      <c r="H82" s="33">
        <v>82.87</v>
      </c>
      <c r="I82" s="33">
        <v>132.16</v>
      </c>
      <c r="J82" s="33">
        <v>83.02</v>
      </c>
      <c r="K82" s="33">
        <v>35.18</v>
      </c>
      <c r="L82" s="33">
        <v>99.9</v>
      </c>
      <c r="M82" s="33">
        <v>101.68</v>
      </c>
      <c r="N82" s="33">
        <v>27.07</v>
      </c>
      <c r="O82" s="33">
        <v>31.38</v>
      </c>
      <c r="P82" s="33">
        <v>27.07</v>
      </c>
      <c r="Q82" s="33">
        <v>30.24</v>
      </c>
      <c r="R82" s="33">
        <v>29.02</v>
      </c>
      <c r="S82" s="33">
        <v>31.66</v>
      </c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3</v>
      </c>
      <c r="D83" s="32" t="s">
        <v>322</v>
      </c>
      <c r="E83" s="32"/>
      <c r="F83" s="32"/>
      <c r="G83" s="32"/>
      <c r="H83" s="33">
        <v>27.07</v>
      </c>
      <c r="I83" s="33">
        <v>47.26</v>
      </c>
      <c r="J83" s="33">
        <v>47.41</v>
      </c>
      <c r="K83" s="33">
        <v>32.91</v>
      </c>
      <c r="L83" s="33">
        <v>27.15</v>
      </c>
      <c r="M83" s="33">
        <v>27.07</v>
      </c>
      <c r="N83" s="33">
        <v>27.49</v>
      </c>
      <c r="O83" s="33">
        <v>27.5</v>
      </c>
      <c r="P83" s="33">
        <v>27.44</v>
      </c>
      <c r="Q83" s="33">
        <v>27.07</v>
      </c>
      <c r="R83" s="33">
        <v>27.73</v>
      </c>
      <c r="S83" s="33">
        <v>27.07</v>
      </c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3</v>
      </c>
      <c r="D84" s="32" t="s">
        <v>323</v>
      </c>
      <c r="E84" s="32"/>
      <c r="F84" s="32"/>
      <c r="G84" s="32"/>
      <c r="H84" s="32"/>
      <c r="I84" s="32"/>
      <c r="J84" s="32"/>
      <c r="K84" s="32"/>
      <c r="L84" s="32"/>
      <c r="M84" s="32"/>
      <c r="N84" s="36">
        <f>0.00+0.00</f>
        <v>0</v>
      </c>
      <c r="O84" s="33">
        <v>27.07</v>
      </c>
      <c r="P84" s="33">
        <v>27.07</v>
      </c>
      <c r="Q84" s="33">
        <v>27.07</v>
      </c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3</v>
      </c>
      <c r="D85" s="32" t="s">
        <v>324</v>
      </c>
      <c r="E85" s="32"/>
      <c r="F85" s="32"/>
      <c r="G85" s="32"/>
      <c r="H85" s="32"/>
      <c r="I85" s="32"/>
      <c r="J85" s="32"/>
      <c r="K85" s="32"/>
      <c r="L85" s="32"/>
      <c r="M85" s="32"/>
      <c r="N85" s="36">
        <f>0.00+30.34</f>
        <v>30.34</v>
      </c>
      <c r="O85" s="33">
        <v>33.04</v>
      </c>
      <c r="P85" s="33">
        <v>27.88</v>
      </c>
      <c r="Q85" s="33">
        <v>27.85</v>
      </c>
      <c r="R85" s="33">
        <v>27.85</v>
      </c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3</v>
      </c>
      <c r="D86" s="32" t="s">
        <v>325</v>
      </c>
      <c r="E86" s="33">
        <v>0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6">
        <f>9.91+0.00</f>
        <v>9.91</v>
      </c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3</v>
      </c>
      <c r="D87" s="32" t="s">
        <v>326</v>
      </c>
      <c r="E87" s="33">
        <v>0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6">
        <f>0.00+9.91</f>
        <v>9.91</v>
      </c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3</v>
      </c>
      <c r="D88" s="32" t="s">
        <v>327</v>
      </c>
      <c r="E88" s="33">
        <v>0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6">
        <f>0.00+9.91</f>
        <v>9.91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3</v>
      </c>
      <c r="D89" s="32" t="s">
        <v>328</v>
      </c>
      <c r="E89" s="32"/>
      <c r="F89" s="32"/>
      <c r="G89" s="32"/>
      <c r="H89" s="33">
        <v>53.43</v>
      </c>
      <c r="I89" s="33">
        <v>70.36</v>
      </c>
      <c r="J89" s="33">
        <v>61.08</v>
      </c>
      <c r="K89" s="33">
        <v>58.65</v>
      </c>
      <c r="L89" s="33">
        <v>38.54</v>
      </c>
      <c r="M89" s="33">
        <v>35.51</v>
      </c>
      <c r="N89" s="33">
        <v>36.45</v>
      </c>
      <c r="O89" s="33">
        <v>55.95</v>
      </c>
      <c r="P89" s="33">
        <v>75.76</v>
      </c>
      <c r="Q89" s="33">
        <v>69.85</v>
      </c>
      <c r="R89" s="33">
        <v>72.72</v>
      </c>
      <c r="S89" s="33">
        <v>59.58</v>
      </c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3</v>
      </c>
      <c r="D90" s="32" t="s">
        <v>329</v>
      </c>
      <c r="E90" s="33">
        <v>0</v>
      </c>
      <c r="F90" s="32"/>
      <c r="G90" s="32"/>
      <c r="H90" s="32"/>
      <c r="I90" s="32"/>
      <c r="J90" s="32"/>
      <c r="K90" s="32"/>
      <c r="L90" s="32"/>
      <c r="M90" s="32"/>
      <c r="N90" s="32"/>
      <c r="O90" s="36">
        <f>0.00+27.81</f>
        <v>27.81</v>
      </c>
      <c r="P90" s="33">
        <v>27.94</v>
      </c>
      <c r="Q90" s="33">
        <v>27.8</v>
      </c>
      <c r="R90" s="33">
        <v>27.88</v>
      </c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3</v>
      </c>
      <c r="D91" s="32" t="s">
        <v>330</v>
      </c>
      <c r="E91" s="32"/>
      <c r="F91" s="32"/>
      <c r="G91" s="32"/>
      <c r="H91" s="33">
        <v>185.03</v>
      </c>
      <c r="I91" s="33">
        <v>210.17</v>
      </c>
      <c r="J91" s="33">
        <v>211.36</v>
      </c>
      <c r="K91" s="33">
        <v>206.63</v>
      </c>
      <c r="L91" s="33">
        <v>206.55</v>
      </c>
      <c r="M91" s="33">
        <v>338.02</v>
      </c>
      <c r="N91" s="33">
        <v>398.23</v>
      </c>
      <c r="O91" s="33">
        <v>380.92</v>
      </c>
      <c r="P91" s="33">
        <v>457.12</v>
      </c>
      <c r="Q91" s="33">
        <v>384.42</v>
      </c>
      <c r="R91" s="33">
        <v>265.32</v>
      </c>
      <c r="S91" s="33">
        <v>228.25</v>
      </c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3</v>
      </c>
      <c r="D92" s="32" t="s">
        <v>331</v>
      </c>
      <c r="E92" s="33">
        <v>0</v>
      </c>
      <c r="F92" s="32"/>
      <c r="G92" s="32"/>
      <c r="H92" s="33">
        <v>0</v>
      </c>
      <c r="I92" s="33">
        <v>65.16</v>
      </c>
      <c r="J92" s="33">
        <v>65.07</v>
      </c>
      <c r="K92" s="33">
        <v>57.96</v>
      </c>
      <c r="L92" s="33">
        <v>27.07</v>
      </c>
      <c r="M92" s="33">
        <v>27.07</v>
      </c>
      <c r="N92" s="33">
        <v>27.07</v>
      </c>
      <c r="O92" s="33">
        <v>27.07</v>
      </c>
      <c r="P92" s="33">
        <v>27.07</v>
      </c>
      <c r="Q92" s="33">
        <v>27.07</v>
      </c>
      <c r="R92" s="33">
        <v>27.07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3</v>
      </c>
      <c r="D93" s="32" t="s">
        <v>332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3">
        <v>0</v>
      </c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3</v>
      </c>
      <c r="D94" s="32" t="s">
        <v>333</v>
      </c>
      <c r="E94" s="32"/>
      <c r="F94" s="32"/>
      <c r="G94" s="32"/>
      <c r="H94" s="33">
        <v>752.92</v>
      </c>
      <c r="I94" s="33">
        <v>698.31</v>
      </c>
      <c r="J94" s="33">
        <v>674.69</v>
      </c>
      <c r="K94" s="33">
        <v>711.55</v>
      </c>
      <c r="L94" s="33">
        <v>628.14</v>
      </c>
      <c r="M94" s="33">
        <v>604.13</v>
      </c>
      <c r="N94" s="33">
        <v>571.22</v>
      </c>
      <c r="O94" s="33">
        <v>778.93</v>
      </c>
      <c r="P94" s="33">
        <v>604.87</v>
      </c>
      <c r="Q94" s="33">
        <v>569.8</v>
      </c>
      <c r="R94" s="33">
        <v>609.59</v>
      </c>
      <c r="S94" s="33">
        <v>734.97</v>
      </c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3</v>
      </c>
      <c r="D95" s="32" t="s">
        <v>334</v>
      </c>
      <c r="E95" s="33">
        <v>0</v>
      </c>
      <c r="F95" s="32"/>
      <c r="G95" s="32"/>
      <c r="H95" s="32"/>
      <c r="I95" s="32"/>
      <c r="J95" s="32"/>
      <c r="K95" s="32"/>
      <c r="L95" s="32"/>
      <c r="M95" s="32"/>
      <c r="N95" s="32"/>
      <c r="O95" s="36">
        <f>0.00+27.91</f>
        <v>27.91</v>
      </c>
      <c r="P95" s="33">
        <v>28.04</v>
      </c>
      <c r="Q95" s="33">
        <v>27.94</v>
      </c>
      <c r="R95" s="33">
        <v>27.96</v>
      </c>
      <c r="S95" s="33">
        <v>28</v>
      </c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3</v>
      </c>
      <c r="D96" s="32" t="s">
        <v>335</v>
      </c>
      <c r="E96" s="32"/>
      <c r="F96" s="32"/>
      <c r="G96" s="32"/>
      <c r="H96" s="33">
        <v>28.31</v>
      </c>
      <c r="I96" s="33">
        <v>98.94</v>
      </c>
      <c r="J96" s="33">
        <v>111.97</v>
      </c>
      <c r="K96" s="33">
        <v>125.56</v>
      </c>
      <c r="L96" s="33">
        <v>29.92</v>
      </c>
      <c r="M96" s="33">
        <v>27.96</v>
      </c>
      <c r="N96" s="33">
        <v>29.35</v>
      </c>
      <c r="O96" s="33">
        <v>28.16</v>
      </c>
      <c r="P96" s="33">
        <v>28.09</v>
      </c>
      <c r="Q96" s="33">
        <v>27.85</v>
      </c>
      <c r="R96" s="33">
        <v>28.29</v>
      </c>
      <c r="S96" s="33">
        <v>28.6</v>
      </c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3</v>
      </c>
      <c r="D97" s="32" t="s">
        <v>336</v>
      </c>
      <c r="E97" s="33">
        <v>0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6">
        <f>9.91+0.00+5.41</f>
        <v>15.32</v>
      </c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3</v>
      </c>
      <c r="D98" s="32" t="s">
        <v>337</v>
      </c>
      <c r="E98" s="32"/>
      <c r="F98" s="32"/>
      <c r="G98" s="32"/>
      <c r="H98" s="33">
        <v>64.16</v>
      </c>
      <c r="I98" s="33">
        <v>70.64</v>
      </c>
      <c r="J98" s="33">
        <v>64.28</v>
      </c>
      <c r="K98" s="33">
        <v>49.8</v>
      </c>
      <c r="L98" s="33">
        <v>27.07</v>
      </c>
      <c r="M98" s="33">
        <v>27.07</v>
      </c>
      <c r="N98" s="33">
        <v>27.07</v>
      </c>
      <c r="O98" s="33">
        <v>27.07</v>
      </c>
      <c r="P98" s="33">
        <v>27.07</v>
      </c>
      <c r="Q98" s="33">
        <v>27.07</v>
      </c>
      <c r="R98" s="33">
        <v>27.07</v>
      </c>
      <c r="S98" s="33">
        <v>27.07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3</v>
      </c>
      <c r="D99" s="32" t="s">
        <v>338</v>
      </c>
      <c r="E99" s="32"/>
      <c r="F99" s="32"/>
      <c r="G99" s="32"/>
      <c r="H99" s="33">
        <v>33.47</v>
      </c>
      <c r="I99" s="33">
        <v>38.8</v>
      </c>
      <c r="J99" s="33">
        <v>50.73</v>
      </c>
      <c r="K99" s="33">
        <v>72.53</v>
      </c>
      <c r="L99" s="33">
        <v>27.85</v>
      </c>
      <c r="M99" s="33">
        <v>27.94</v>
      </c>
      <c r="N99" s="33">
        <v>42.22</v>
      </c>
      <c r="O99" s="33">
        <v>27.81</v>
      </c>
      <c r="P99" s="33">
        <v>27.88</v>
      </c>
      <c r="Q99" s="33">
        <v>27.85</v>
      </c>
      <c r="R99" s="33">
        <v>27.85</v>
      </c>
      <c r="S99" s="33">
        <v>27.88</v>
      </c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3</v>
      </c>
      <c r="D100" s="32" t="s">
        <v>339</v>
      </c>
      <c r="E100" s="32"/>
      <c r="F100" s="32"/>
      <c r="G100" s="32"/>
      <c r="H100" s="32"/>
      <c r="I100" s="33">
        <v>0</v>
      </c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3</v>
      </c>
      <c r="D101" s="32" t="s">
        <v>340</v>
      </c>
      <c r="E101" s="32"/>
      <c r="F101" s="32"/>
      <c r="G101" s="32"/>
      <c r="H101" s="33">
        <v>28.28</v>
      </c>
      <c r="I101" s="33">
        <v>28.18</v>
      </c>
      <c r="J101" s="33">
        <v>28.14</v>
      </c>
      <c r="K101" s="33">
        <v>28.12</v>
      </c>
      <c r="L101" s="33">
        <v>27.85</v>
      </c>
      <c r="M101" s="33">
        <v>27.94</v>
      </c>
      <c r="N101" s="33">
        <v>27.88</v>
      </c>
      <c r="O101" s="33">
        <v>27.81</v>
      </c>
      <c r="P101" s="33">
        <v>27.94</v>
      </c>
      <c r="Q101" s="33">
        <v>27.85</v>
      </c>
      <c r="R101" s="33">
        <v>27.85</v>
      </c>
      <c r="S101" s="33">
        <v>27.94</v>
      </c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3</v>
      </c>
      <c r="D102" s="32" t="s">
        <v>341</v>
      </c>
      <c r="E102" s="32"/>
      <c r="F102" s="32"/>
      <c r="G102" s="32"/>
      <c r="H102" s="33">
        <v>27.07</v>
      </c>
      <c r="I102" s="33">
        <v>134.29</v>
      </c>
      <c r="J102" s="33">
        <v>148.58</v>
      </c>
      <c r="K102" s="33">
        <v>120.16</v>
      </c>
      <c r="L102" s="33">
        <v>29.11</v>
      </c>
      <c r="M102" s="33">
        <v>27.07</v>
      </c>
      <c r="N102" s="33">
        <v>27.07</v>
      </c>
      <c r="O102" s="33">
        <v>27.07</v>
      </c>
      <c r="P102" s="33">
        <v>42.56</v>
      </c>
      <c r="Q102" s="33">
        <v>27.07</v>
      </c>
      <c r="R102" s="33">
        <v>27.07</v>
      </c>
      <c r="S102" s="33">
        <v>27.07</v>
      </c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3</v>
      </c>
      <c r="D103" s="32" t="s">
        <v>342</v>
      </c>
      <c r="E103" s="32"/>
      <c r="F103" s="32"/>
      <c r="G103" s="32"/>
      <c r="H103" s="33">
        <v>27.07</v>
      </c>
      <c r="I103" s="33">
        <v>27.07</v>
      </c>
      <c r="J103" s="33">
        <v>27.07</v>
      </c>
      <c r="K103" s="33">
        <v>27.07</v>
      </c>
      <c r="L103" s="33">
        <v>27.07</v>
      </c>
      <c r="M103" s="33">
        <v>27.07</v>
      </c>
      <c r="N103" s="33">
        <v>27.07</v>
      </c>
      <c r="O103" s="33">
        <v>27.07</v>
      </c>
      <c r="P103" s="33">
        <v>27.07</v>
      </c>
      <c r="Q103" s="33">
        <v>27.07</v>
      </c>
      <c r="R103" s="33">
        <v>27.07</v>
      </c>
      <c r="S103" s="36">
        <f>27.07+1.80</f>
        <v>28.87</v>
      </c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3</v>
      </c>
      <c r="D104" s="32" t="s">
        <v>343</v>
      </c>
      <c r="E104" s="32"/>
      <c r="F104" s="32"/>
      <c r="G104" s="32"/>
      <c r="H104" s="33">
        <v>29.49</v>
      </c>
      <c r="I104" s="33">
        <v>29.54</v>
      </c>
      <c r="J104" s="33">
        <v>29.48</v>
      </c>
      <c r="K104" s="33">
        <v>29.47</v>
      </c>
      <c r="L104" s="33">
        <v>29.46</v>
      </c>
      <c r="M104" s="33">
        <v>29.49</v>
      </c>
      <c r="N104" s="33">
        <v>29.46</v>
      </c>
      <c r="O104" s="33">
        <v>29.46</v>
      </c>
      <c r="P104" s="33">
        <v>29.46</v>
      </c>
      <c r="Q104" s="33">
        <v>29.46</v>
      </c>
      <c r="R104" s="33">
        <v>29.46</v>
      </c>
      <c r="S104" s="33">
        <v>29.49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4">
        <f>SUM(E104:AI104)</f>
      </c>
      <c r="AK104" s="35"/>
    </row>
    <row r="105" ht="12.75" customHeight="1" spans="2:37" x14ac:dyDescent="0.25">
      <c r="B105" s="30" t="s">
        <v>42</v>
      </c>
      <c r="C105" s="31" t="s">
        <v>3</v>
      </c>
      <c r="D105" s="32" t="s">
        <v>344</v>
      </c>
      <c r="E105" s="33">
        <v>0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6">
        <f>9.91+0.00</f>
        <v>9.91</v>
      </c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4">
        <f>SUM(E105:AI105)</f>
      </c>
      <c r="AK105" s="35"/>
    </row>
    <row r="106" ht="12.75" customHeight="1" spans="2:37" x14ac:dyDescent="0.25">
      <c r="B106" s="30" t="s">
        <v>42</v>
      </c>
      <c r="C106" s="31" t="s">
        <v>3</v>
      </c>
      <c r="D106" s="32" t="s">
        <v>345</v>
      </c>
      <c r="E106" s="33">
        <v>0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6">
        <f>0.00+9.91</f>
        <v>9.91</v>
      </c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4">
        <f>SUM(E106:AI106)</f>
      </c>
      <c r="AK106" s="35"/>
    </row>
    <row r="107" ht="12.75" customHeight="1" spans="2:37" x14ac:dyDescent="0.25">
      <c r="B107" s="30" t="s">
        <v>42</v>
      </c>
      <c r="C107" s="31" t="s">
        <v>3</v>
      </c>
      <c r="D107" s="32" t="s">
        <v>346</v>
      </c>
      <c r="E107" s="33">
        <v>0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6">
        <f>0.00+9.91</f>
        <v>9.91</v>
      </c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4">
        <f>SUM(E107:AI107)</f>
      </c>
      <c r="AK107" s="35"/>
    </row>
    <row r="108" ht="12.75" customHeight="1" spans="2:37" x14ac:dyDescent="0.25">
      <c r="B108" s="30" t="s">
        <v>42</v>
      </c>
      <c r="C108" s="31" t="s">
        <v>3</v>
      </c>
      <c r="D108" s="32" t="s">
        <v>347</v>
      </c>
      <c r="E108" s="33">
        <v>0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6">
        <f>0.00+27.85</f>
        <v>27.85</v>
      </c>
      <c r="P108" s="33">
        <v>27.94</v>
      </c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4">
        <f>SUM(E108:AI108)</f>
      </c>
      <c r="AK108" s="35"/>
    </row>
    <row r="109" ht="12.75" customHeight="1" spans="2:37" x14ac:dyDescent="0.25">
      <c r="B109" s="30" t="s">
        <v>42</v>
      </c>
      <c r="C109" s="31" t="s">
        <v>3</v>
      </c>
      <c r="D109" s="32" t="s">
        <v>348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3">
        <v>28.08</v>
      </c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4">
        <f>SUM(E109:AI109)</f>
      </c>
      <c r="AK109" s="35"/>
    </row>
    <row r="110" ht="12.75" customHeight="1" spans="2:37" x14ac:dyDescent="0.25">
      <c r="B110" s="30" t="s">
        <v>42</v>
      </c>
      <c r="C110" s="31" t="s">
        <v>3</v>
      </c>
      <c r="D110" s="32" t="s">
        <v>349</v>
      </c>
      <c r="E110" s="33">
        <v>0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6">
        <f>0.00+27.23</f>
        <v>27.23</v>
      </c>
      <c r="P110" s="33">
        <v>27.94</v>
      </c>
      <c r="Q110" s="33">
        <v>27.85</v>
      </c>
      <c r="R110" s="33">
        <v>27.85</v>
      </c>
      <c r="S110" s="33">
        <v>34.31</v>
      </c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4">
        <f>SUM(E110:AI110)</f>
      </c>
      <c r="AK110" s="35"/>
    </row>
    <row r="111" ht="12.75" customHeight="1" spans="2:37" x14ac:dyDescent="0.25">
      <c r="B111" s="30" t="s">
        <v>42</v>
      </c>
      <c r="C111" s="31" t="s">
        <v>3</v>
      </c>
      <c r="D111" s="32" t="s">
        <v>350</v>
      </c>
      <c r="E111" s="32"/>
      <c r="F111" s="32"/>
      <c r="G111" s="32"/>
      <c r="H111" s="33">
        <v>30.68</v>
      </c>
      <c r="I111" s="33">
        <v>69.46</v>
      </c>
      <c r="J111" s="33">
        <v>94.96</v>
      </c>
      <c r="K111" s="33">
        <v>74.56</v>
      </c>
      <c r="L111" s="33">
        <v>27.07</v>
      </c>
      <c r="M111" s="33">
        <v>27.07</v>
      </c>
      <c r="N111" s="33">
        <v>27.07</v>
      </c>
      <c r="O111" s="33">
        <v>27.07</v>
      </c>
      <c r="P111" s="33">
        <v>27.07</v>
      </c>
      <c r="Q111" s="36">
        <f>27.07+2.70</f>
        <v>29.77</v>
      </c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4">
        <f>SUM(E111:AI111)</f>
      </c>
      <c r="AK111" s="35"/>
    </row>
    <row r="112" ht="12.75" customHeight="1" spans="2:37" x14ac:dyDescent="0.25">
      <c r="B112" s="30" t="s">
        <v>42</v>
      </c>
      <c r="C112" s="31" t="s">
        <v>3</v>
      </c>
      <c r="D112" s="32" t="s">
        <v>351</v>
      </c>
      <c r="E112" s="32"/>
      <c r="F112" s="32"/>
      <c r="G112" s="32"/>
      <c r="H112" s="33">
        <v>36.61</v>
      </c>
      <c r="I112" s="33">
        <v>58.7</v>
      </c>
      <c r="J112" s="33">
        <v>46.66</v>
      </c>
      <c r="K112" s="33">
        <v>59.19</v>
      </c>
      <c r="L112" s="33">
        <v>62.62</v>
      </c>
      <c r="M112" s="33">
        <v>111.24</v>
      </c>
      <c r="N112" s="33">
        <v>105.45</v>
      </c>
      <c r="O112" s="33">
        <v>91.97</v>
      </c>
      <c r="P112" s="33">
        <v>98.48</v>
      </c>
      <c r="Q112" s="33">
        <v>89.42</v>
      </c>
      <c r="R112" s="33">
        <v>59.58</v>
      </c>
      <c r="S112" s="33">
        <v>45.52</v>
      </c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4">
        <f>SUM(E112:AI112)</f>
      </c>
      <c r="AK112" s="35"/>
    </row>
    <row r="113" ht="12.75" customHeight="1" spans="2:37" x14ac:dyDescent="0.25">
      <c r="B113" s="30" t="s">
        <v>42</v>
      </c>
      <c r="C113" s="31" t="s">
        <v>3</v>
      </c>
      <c r="D113" s="32" t="s">
        <v>352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3">
        <v>27.99</v>
      </c>
      <c r="P113" s="33">
        <v>28.17</v>
      </c>
      <c r="Q113" s="33">
        <v>28.04</v>
      </c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4">
        <f>SUM(E113:AI113)</f>
      </c>
      <c r="AK113" s="35"/>
    </row>
    <row r="114" ht="12.75" customHeight="1" spans="2:37" x14ac:dyDescent="0.25">
      <c r="B114" s="30" t="s">
        <v>42</v>
      </c>
      <c r="C114" s="31" t="s">
        <v>3</v>
      </c>
      <c r="D114" s="32" t="s">
        <v>353</v>
      </c>
      <c r="E114" s="32"/>
      <c r="F114" s="32"/>
      <c r="G114" s="32"/>
      <c r="H114" s="33">
        <v>27.07</v>
      </c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4">
        <f>SUM(E114:AI114)</f>
      </c>
      <c r="AK114" s="35"/>
    </row>
    <row r="115" ht="12.75" customHeight="1" spans="2:37" x14ac:dyDescent="0.25">
      <c r="B115" s="30" t="s">
        <v>42</v>
      </c>
      <c r="C115" s="31" t="s">
        <v>3</v>
      </c>
      <c r="D115" s="32" t="s">
        <v>354</v>
      </c>
      <c r="E115" s="32"/>
      <c r="F115" s="32"/>
      <c r="G115" s="32"/>
      <c r="H115" s="33">
        <v>37.2</v>
      </c>
      <c r="I115" s="33">
        <v>115.26</v>
      </c>
      <c r="J115" s="33">
        <v>122.34</v>
      </c>
      <c r="K115" s="33">
        <v>122.03</v>
      </c>
      <c r="L115" s="33">
        <v>27.07</v>
      </c>
      <c r="M115" s="33">
        <v>27.07</v>
      </c>
      <c r="N115" s="33">
        <v>27.07</v>
      </c>
      <c r="O115" s="33">
        <v>32.01</v>
      </c>
      <c r="P115" s="33">
        <v>27.07</v>
      </c>
      <c r="Q115" s="33">
        <v>27.07</v>
      </c>
      <c r="R115" s="36">
        <f>0.00+59.69</f>
        <v>59.69</v>
      </c>
      <c r="S115" s="33">
        <v>117.89</v>
      </c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4">
        <f>SUM(E115:AI115)</f>
      </c>
      <c r="AK115" s="35"/>
    </row>
    <row r="116" ht="12.75" customHeight="1" spans="2:37" x14ac:dyDescent="0.25">
      <c r="B116" s="37"/>
      <c r="C116" s="38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40"/>
    </row>
    <row r="117" ht="12.75" customHeight="1" spans="2:37" x14ac:dyDescent="0.25">
      <c r="B117" s="20" t="s">
        <v>85</v>
      </c>
      <c r="C117" s="21"/>
      <c r="D117" s="21"/>
      <c r="E117" s="22">
        <f>SUM(E13:E115)</f>
      </c>
      <c r="F117" s="22">
        <f>SUM(F13:F115)</f>
      </c>
      <c r="G117" s="22">
        <f>SUM(G13:G115)</f>
      </c>
      <c r="H117" s="22">
        <f>SUM(H13:H115)</f>
      </c>
      <c r="I117" s="22">
        <f>SUM(I13:I115)</f>
      </c>
      <c r="J117" s="22">
        <f>SUM(J13:J115)</f>
      </c>
      <c r="K117" s="22">
        <f>SUM(K13:K115)</f>
      </c>
      <c r="L117" s="22">
        <f>SUM(L13:L115)</f>
      </c>
      <c r="M117" s="22">
        <f>SUM(M13:M115)</f>
      </c>
      <c r="N117" s="22">
        <f>SUM(N13:N115)</f>
      </c>
      <c r="O117" s="22">
        <f>SUM(O13:O115)</f>
      </c>
      <c r="P117" s="22">
        <f>SUM(P13:P115)</f>
      </c>
      <c r="Q117" s="22">
        <f>SUM(Q13:Q115)</f>
      </c>
      <c r="R117" s="22">
        <f>SUM(R13:R115)</f>
      </c>
      <c r="S117" s="22">
        <f>SUM(S13:S115)</f>
      </c>
      <c r="T117" s="22">
        <f>SUM(T13:T115)</f>
      </c>
      <c r="U117" s="22">
        <f>SUM(U13:U115)</f>
      </c>
      <c r="V117" s="22">
        <f>SUM(V13:V115)</f>
      </c>
      <c r="W117" s="22">
        <f>SUM(W13:W115)</f>
      </c>
      <c r="X117" s="22">
        <f>SUM(X13:X115)</f>
      </c>
      <c r="Y117" s="22">
        <f>SUM(Y13:Y115)</f>
      </c>
      <c r="Z117" s="22">
        <f>SUM(Z13:Z115)</f>
      </c>
      <c r="AA117" s="22">
        <f>SUM(AA13:AA115)</f>
      </c>
      <c r="AB117" s="22">
        <f>SUM(AB13:AB115)</f>
      </c>
      <c r="AC117" s="22">
        <f>SUM(AC13:AC115)</f>
      </c>
      <c r="AD117" s="22">
        <f>SUM(AD13:AD115)</f>
      </c>
      <c r="AE117" s="22">
        <f>SUM(AE13:AE115)</f>
      </c>
      <c r="AF117" s="22">
        <f>SUM(AF13:AF115)</f>
      </c>
      <c r="AG117" s="22">
        <f>SUM(AG13:AG115)</f>
      </c>
      <c r="AH117" s="22">
        <f>SUM(AH13:AH115)</f>
      </c>
      <c r="AI117" s="22">
        <f>SUM(AI13:AI115)</f>
      </c>
      <c r="AJ117" s="22">
        <f>SUM(AJ13:AJ115)</f>
      </c>
      <c r="AK117" s="23"/>
    </row>
    <row r="119" ht="12.75" customHeight="1" spans="2:37" x14ac:dyDescent="0.25">
      <c r="B119" s="26" t="s">
        <v>43</v>
      </c>
      <c r="C119" s="2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9"/>
    </row>
    <row r="120" ht="12.75" customHeight="1" spans="2:37" x14ac:dyDescent="0.25">
      <c r="B120" s="37"/>
      <c r="C120" s="3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40"/>
    </row>
    <row r="121" ht="12.75" customHeight="1" spans="2:37" x14ac:dyDescent="0.25">
      <c r="B121" s="20" t="s">
        <v>89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3"/>
    </row>
    <row r="123" ht="12.75" customHeight="1" spans="2:37" x14ac:dyDescent="0.25">
      <c r="B123" s="26" t="s">
        <v>44</v>
      </c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9"/>
    </row>
    <row r="124" ht="12.75" customHeight="1" spans="2:37" x14ac:dyDescent="0.25">
      <c r="B124" s="37"/>
      <c r="C124" s="3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40"/>
    </row>
    <row r="125" ht="12.75" customHeight="1" spans="2:37" x14ac:dyDescent="0.25">
      <c r="B125" s="20" t="s">
        <v>90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3"/>
    </row>
    <row r="128" ht="12.75" customHeight="1" spans="2:37" x14ac:dyDescent="0.25">
      <c r="B128" s="11" t="s">
        <v>40</v>
      </c>
      <c r="C128" s="12"/>
      <c r="D128" s="13"/>
      <c r="E128" s="14" t="s">
        <v>7</v>
      </c>
      <c r="F128" s="14" t="s">
        <v>8</v>
      </c>
      <c r="G128" s="14" t="s">
        <v>9</v>
      </c>
      <c r="H128" s="14" t="s">
        <v>10</v>
      </c>
      <c r="I128" s="14" t="s">
        <v>11</v>
      </c>
      <c r="J128" s="14" t="s">
        <v>12</v>
      </c>
      <c r="K128" s="14" t="s">
        <v>13</v>
      </c>
      <c r="L128" s="14" t="s">
        <v>14</v>
      </c>
      <c r="M128" s="14" t="s">
        <v>15</v>
      </c>
      <c r="N128" s="14" t="s">
        <v>16</v>
      </c>
      <c r="O128" s="14" t="s">
        <v>17</v>
      </c>
      <c r="P128" s="14" t="s">
        <v>18</v>
      </c>
      <c r="Q128" s="14" t="s">
        <v>19</v>
      </c>
      <c r="R128" s="14" t="s">
        <v>20</v>
      </c>
      <c r="S128" s="14" t="s">
        <v>21</v>
      </c>
      <c r="T128" s="14" t="s">
        <v>22</v>
      </c>
      <c r="U128" s="14" t="s">
        <v>23</v>
      </c>
      <c r="V128" s="14" t="s">
        <v>24</v>
      </c>
      <c r="W128" s="14" t="s">
        <v>25</v>
      </c>
      <c r="X128" s="14" t="s">
        <v>26</v>
      </c>
      <c r="Y128" s="14" t="s">
        <v>27</v>
      </c>
      <c r="Z128" s="14" t="s">
        <v>28</v>
      </c>
      <c r="AA128" s="14" t="s">
        <v>29</v>
      </c>
      <c r="AB128" s="14" t="s">
        <v>30</v>
      </c>
      <c r="AC128" s="14" t="s">
        <v>31</v>
      </c>
      <c r="AD128" s="14" t="s">
        <v>32</v>
      </c>
      <c r="AE128" s="14" t="s">
        <v>33</v>
      </c>
      <c r="AF128" s="14" t="s">
        <v>34</v>
      </c>
      <c r="AG128" s="14" t="s">
        <v>35</v>
      </c>
      <c r="AH128" s="14" t="s">
        <v>36</v>
      </c>
      <c r="AI128" s="14" t="s">
        <v>37</v>
      </c>
      <c r="AJ128" s="14" t="s">
        <v>38</v>
      </c>
      <c r="AK128" s="15"/>
    </row>
    <row r="129" ht="12.75" customHeight="1" spans="2:37" x14ac:dyDescent="0.25">
      <c r="B129" s="16" t="s">
        <v>41</v>
      </c>
      <c r="C129" s="17"/>
      <c r="D129" s="17"/>
      <c r="E129" s="18">
        <f>E10</f>
      </c>
      <c r="F129" s="18">
        <f>F10</f>
      </c>
      <c r="G129" s="18">
        <f>G10</f>
      </c>
      <c r="H129" s="18">
        <f>H10</f>
      </c>
      <c r="I129" s="18">
        <f>I10</f>
      </c>
      <c r="J129" s="18">
        <f>J10</f>
      </c>
      <c r="K129" s="18">
        <f>K10</f>
      </c>
      <c r="L129" s="18">
        <f>L10</f>
      </c>
      <c r="M129" s="18">
        <f>M10</f>
      </c>
      <c r="N129" s="18">
        <f>N10</f>
      </c>
      <c r="O129" s="18">
        <f>O10</f>
      </c>
      <c r="P129" s="18">
        <f>P10</f>
      </c>
      <c r="Q129" s="18">
        <f>Q10</f>
      </c>
      <c r="R129" s="18">
        <f>R10</f>
      </c>
      <c r="S129" s="18">
        <f>S10</f>
      </c>
      <c r="T129" s="18">
        <f>T10</f>
      </c>
      <c r="U129" s="18">
        <f>U10</f>
      </c>
      <c r="V129" s="18">
        <f>V10</f>
      </c>
      <c r="W129" s="18">
        <f>W10</f>
      </c>
      <c r="X129" s="18">
        <f>X10</f>
      </c>
      <c r="Y129" s="18">
        <f>Y10</f>
      </c>
      <c r="Z129" s="18">
        <f>Z10</f>
      </c>
      <c r="AA129" s="18">
        <f>AA10</f>
      </c>
      <c r="AB129" s="18">
        <f>AB10</f>
      </c>
      <c r="AC129" s="18">
        <f>AC10</f>
      </c>
      <c r="AD129" s="18">
        <f>AD10</f>
      </c>
      <c r="AE129" s="18">
        <f>AE10</f>
      </c>
      <c r="AF129" s="18">
        <f>AF10</f>
      </c>
      <c r="AG129" s="18">
        <f>AG10</f>
      </c>
      <c r="AH129" s="18">
        <f>AH10</f>
      </c>
      <c r="AI129" s="18">
        <f>AI10</f>
      </c>
      <c r="AJ129" s="18">
        <f>AJ10</f>
      </c>
      <c r="AK129" s="19"/>
    </row>
    <row r="130" ht="12.75" customHeight="1" spans="2:37" x14ac:dyDescent="0.25">
      <c r="B130" s="16" t="s">
        <v>42</v>
      </c>
      <c r="C130" s="17"/>
      <c r="D130" s="17"/>
      <c r="E130" s="18">
        <f>E117</f>
      </c>
      <c r="F130" s="18">
        <f>F117</f>
      </c>
      <c r="G130" s="18">
        <f>G117</f>
      </c>
      <c r="H130" s="18">
        <f>H117</f>
      </c>
      <c r="I130" s="18">
        <f>I117</f>
      </c>
      <c r="J130" s="18">
        <f>J117</f>
      </c>
      <c r="K130" s="18">
        <f>K117</f>
      </c>
      <c r="L130" s="18">
        <f>L117</f>
      </c>
      <c r="M130" s="18">
        <f>M117</f>
      </c>
      <c r="N130" s="18">
        <f>N117</f>
      </c>
      <c r="O130" s="18">
        <f>O117</f>
      </c>
      <c r="P130" s="18">
        <f>P117</f>
      </c>
      <c r="Q130" s="18">
        <f>Q117</f>
      </c>
      <c r="R130" s="18">
        <f>R117</f>
      </c>
      <c r="S130" s="18">
        <f>S117</f>
      </c>
      <c r="T130" s="18">
        <f>T117</f>
      </c>
      <c r="U130" s="18">
        <f>U117</f>
      </c>
      <c r="V130" s="18">
        <f>V117</f>
      </c>
      <c r="W130" s="18">
        <f>W117</f>
      </c>
      <c r="X130" s="18">
        <f>X117</f>
      </c>
      <c r="Y130" s="18">
        <f>Y117</f>
      </c>
      <c r="Z130" s="18">
        <f>Z117</f>
      </c>
      <c r="AA130" s="18">
        <f>AA117</f>
      </c>
      <c r="AB130" s="18">
        <f>AB117</f>
      </c>
      <c r="AC130" s="18">
        <f>AC117</f>
      </c>
      <c r="AD130" s="18">
        <f>AD117</f>
      </c>
      <c r="AE130" s="18">
        <f>AE117</f>
      </c>
      <c r="AF130" s="18">
        <f>AF117</f>
      </c>
      <c r="AG130" s="18">
        <f>AG117</f>
      </c>
      <c r="AH130" s="18">
        <f>AH117</f>
      </c>
      <c r="AI130" s="18">
        <f>AI117</f>
      </c>
      <c r="AJ130" s="18">
        <f>AJ117</f>
      </c>
      <c r="AK130" s="19"/>
    </row>
    <row r="131" ht="12.75" customHeight="1" spans="2:37" x14ac:dyDescent="0.25">
      <c r="B131" s="16" t="s">
        <v>43</v>
      </c>
      <c r="C131" s="17"/>
      <c r="D131" s="17"/>
      <c r="E131" s="18">
        <f>E121</f>
      </c>
      <c r="F131" s="18">
        <f>F121</f>
      </c>
      <c r="G131" s="18">
        <f>G121</f>
      </c>
      <c r="H131" s="18">
        <f>H121</f>
      </c>
      <c r="I131" s="18">
        <f>I121</f>
      </c>
      <c r="J131" s="18">
        <f>J121</f>
      </c>
      <c r="K131" s="18">
        <f>K121</f>
      </c>
      <c r="L131" s="18">
        <f>L121</f>
      </c>
      <c r="M131" s="18">
        <f>M121</f>
      </c>
      <c r="N131" s="18">
        <f>N121</f>
      </c>
      <c r="O131" s="18">
        <f>O121</f>
      </c>
      <c r="P131" s="18">
        <f>P121</f>
      </c>
      <c r="Q131" s="18">
        <f>Q121</f>
      </c>
      <c r="R131" s="18">
        <f>R121</f>
      </c>
      <c r="S131" s="18">
        <f>S121</f>
      </c>
      <c r="T131" s="18">
        <f>T121</f>
      </c>
      <c r="U131" s="18">
        <f>U121</f>
      </c>
      <c r="V131" s="18">
        <f>V121</f>
      </c>
      <c r="W131" s="18">
        <f>W121</f>
      </c>
      <c r="X131" s="18">
        <f>X121</f>
      </c>
      <c r="Y131" s="18">
        <f>Y121</f>
      </c>
      <c r="Z131" s="18">
        <f>Z121</f>
      </c>
      <c r="AA131" s="18">
        <f>AA121</f>
      </c>
      <c r="AB131" s="18">
        <f>AB121</f>
      </c>
      <c r="AC131" s="18">
        <f>AC121</f>
      </c>
      <c r="AD131" s="18">
        <f>AD121</f>
      </c>
      <c r="AE131" s="18">
        <f>AE121</f>
      </c>
      <c r="AF131" s="18">
        <f>AF121</f>
      </c>
      <c r="AG131" s="18">
        <f>AG121</f>
      </c>
      <c r="AH131" s="18">
        <f>AH121</f>
      </c>
      <c r="AI131" s="18">
        <f>AI121</f>
      </c>
      <c r="AJ131" s="18">
        <f>AJ121</f>
      </c>
      <c r="AK131" s="19"/>
    </row>
    <row r="132" ht="12.75" customHeight="1" spans="2:37" x14ac:dyDescent="0.25">
      <c r="B132" s="16" t="s">
        <v>44</v>
      </c>
      <c r="C132" s="17"/>
      <c r="D132" s="17"/>
      <c r="E132" s="18">
        <f>E125</f>
      </c>
      <c r="F132" s="18">
        <f>F125</f>
      </c>
      <c r="G132" s="18">
        <f>G125</f>
      </c>
      <c r="H132" s="18">
        <f>H125</f>
      </c>
      <c r="I132" s="18">
        <f>I125</f>
      </c>
      <c r="J132" s="18">
        <f>J125</f>
      </c>
      <c r="K132" s="18">
        <f>K125</f>
      </c>
      <c r="L132" s="18">
        <f>L125</f>
      </c>
      <c r="M132" s="18">
        <f>M125</f>
      </c>
      <c r="N132" s="18">
        <f>N125</f>
      </c>
      <c r="O132" s="18">
        <f>O125</f>
      </c>
      <c r="P132" s="18">
        <f>P125</f>
      </c>
      <c r="Q132" s="18">
        <f>Q125</f>
      </c>
      <c r="R132" s="18">
        <f>R125</f>
      </c>
      <c r="S132" s="18">
        <f>S125</f>
      </c>
      <c r="T132" s="18">
        <f>T125</f>
      </c>
      <c r="U132" s="18">
        <f>U125</f>
      </c>
      <c r="V132" s="18">
        <f>V125</f>
      </c>
      <c r="W132" s="18">
        <f>W125</f>
      </c>
      <c r="X132" s="18">
        <f>X125</f>
      </c>
      <c r="Y132" s="18">
        <f>Y125</f>
      </c>
      <c r="Z132" s="18">
        <f>Z125</f>
      </c>
      <c r="AA132" s="18">
        <f>AA125</f>
      </c>
      <c r="AB132" s="18">
        <f>AB125</f>
      </c>
      <c r="AC132" s="18">
        <f>AC125</f>
      </c>
      <c r="AD132" s="18">
        <f>AD125</f>
      </c>
      <c r="AE132" s="18">
        <f>AE125</f>
      </c>
      <c r="AF132" s="18">
        <f>AF125</f>
      </c>
      <c r="AG132" s="18">
        <f>AG125</f>
      </c>
      <c r="AH132" s="18">
        <f>AH125</f>
      </c>
      <c r="AI132" s="18">
        <f>AI125</f>
      </c>
      <c r="AJ132" s="18">
        <f>AJ125</f>
      </c>
      <c r="AK132" s="19"/>
    </row>
    <row r="133" ht="12.75" customHeight="1" spans="2:37" x14ac:dyDescent="0.25">
      <c r="B133" s="20" t="s">
        <v>45</v>
      </c>
      <c r="C133" s="21"/>
      <c r="D133" s="21"/>
      <c r="E133" s="22">
        <f>E129+E130+E131+E132</f>
      </c>
      <c r="F133" s="22">
        <f>F129+F130+F131+F132</f>
      </c>
      <c r="G133" s="22">
        <f>G129+G130+G131+G132</f>
      </c>
      <c r="H133" s="22">
        <f>H129+H130+H131+H132</f>
      </c>
      <c r="I133" s="22">
        <f>I129+I130+I131+I132</f>
      </c>
      <c r="J133" s="22">
        <f>J129+J130+J131+J132</f>
      </c>
      <c r="K133" s="22">
        <f>K129+K130+K131+K132</f>
      </c>
      <c r="L133" s="22">
        <f>L129+L130+L131+L132</f>
      </c>
      <c r="M133" s="22">
        <f>M129+M130+M131+M132</f>
      </c>
      <c r="N133" s="22">
        <f>N129+N130+N131+N132</f>
      </c>
      <c r="O133" s="22">
        <f>O129+O130+O131+O132</f>
      </c>
      <c r="P133" s="22">
        <f>P129+P130+P131+P132</f>
      </c>
      <c r="Q133" s="22">
        <f>Q129+Q130+Q131+Q132</f>
      </c>
      <c r="R133" s="22">
        <f>R129+R130+R131+R132</f>
      </c>
      <c r="S133" s="22">
        <f>S129+S130+S131+S132</f>
      </c>
      <c r="T133" s="22">
        <f>T129+T130+T131+T132</f>
      </c>
      <c r="U133" s="22">
        <f>U129+U130+U131+U132</f>
      </c>
      <c r="V133" s="22">
        <f>V129+V130+V131+V132</f>
      </c>
      <c r="W133" s="22">
        <f>W129+W130+W131+W132</f>
      </c>
      <c r="X133" s="22">
        <f>X129+X130+X131+X132</f>
      </c>
      <c r="Y133" s="22">
        <f>Y129+Y130+Y131+Y132</f>
      </c>
      <c r="Z133" s="22">
        <f>Z129+Z130+Z131+Z132</f>
      </c>
      <c r="AA133" s="22">
        <f>AA129+AA130+AA131+AA132</f>
      </c>
      <c r="AB133" s="22">
        <f>AB129+AB130+AB131+AB132</f>
      </c>
      <c r="AC133" s="22">
        <f>AC129+AC130+AC131+AC132</f>
      </c>
      <c r="AD133" s="22">
        <f>AD129+AD130+AD131+AD132</f>
      </c>
      <c r="AE133" s="22">
        <f>AE129+AE130+AE131+AE132</f>
      </c>
      <c r="AF133" s="22">
        <f>AF129+AF130+AF131+AF132</f>
      </c>
      <c r="AG133" s="22">
        <f>AG129+AG130+AG131+AG132</f>
      </c>
      <c r="AH133" s="22">
        <f>AH129+AH130+AH131+AH132</f>
      </c>
      <c r="AI133" s="22">
        <f>AI129+AI130+AI131+AI132</f>
      </c>
      <c r="AJ133" s="22">
        <f>AJ129+AJ130+AJ131+AJ132</f>
      </c>
      <c r="AK133" s="23"/>
    </row>
    <row r="135" ht="12.75" customHeight="1" spans="2:37" x14ac:dyDescent="0.25">
      <c r="B135" s="11" t="s">
        <v>46</v>
      </c>
      <c r="C135" s="12"/>
      <c r="D135" s="13"/>
      <c r="E135" s="14" t="s">
        <v>7</v>
      </c>
      <c r="F135" s="14" t="s">
        <v>8</v>
      </c>
      <c r="G135" s="14" t="s">
        <v>9</v>
      </c>
      <c r="H135" s="14" t="s">
        <v>10</v>
      </c>
      <c r="I135" s="14" t="s">
        <v>11</v>
      </c>
      <c r="J135" s="14" t="s">
        <v>12</v>
      </c>
      <c r="K135" s="14" t="s">
        <v>13</v>
      </c>
      <c r="L135" s="14" t="s">
        <v>14</v>
      </c>
      <c r="M135" s="14" t="s">
        <v>15</v>
      </c>
      <c r="N135" s="14" t="s">
        <v>16</v>
      </c>
      <c r="O135" s="14" t="s">
        <v>17</v>
      </c>
      <c r="P135" s="14" t="s">
        <v>18</v>
      </c>
      <c r="Q135" s="14" t="s">
        <v>19</v>
      </c>
      <c r="R135" s="14" t="s">
        <v>20</v>
      </c>
      <c r="S135" s="14" t="s">
        <v>21</v>
      </c>
      <c r="T135" s="14" t="s">
        <v>22</v>
      </c>
      <c r="U135" s="14" t="s">
        <v>23</v>
      </c>
      <c r="V135" s="14" t="s">
        <v>24</v>
      </c>
      <c r="W135" s="14" t="s">
        <v>25</v>
      </c>
      <c r="X135" s="14" t="s">
        <v>26</v>
      </c>
      <c r="Y135" s="14" t="s">
        <v>27</v>
      </c>
      <c r="Z135" s="14" t="s">
        <v>28</v>
      </c>
      <c r="AA135" s="14" t="s">
        <v>29</v>
      </c>
      <c r="AB135" s="14" t="s">
        <v>30</v>
      </c>
      <c r="AC135" s="14" t="s">
        <v>31</v>
      </c>
      <c r="AD135" s="14" t="s">
        <v>32</v>
      </c>
      <c r="AE135" s="14" t="s">
        <v>33</v>
      </c>
      <c r="AF135" s="14" t="s">
        <v>34</v>
      </c>
      <c r="AG135" s="14" t="s">
        <v>35</v>
      </c>
      <c r="AH135" s="14" t="s">
        <v>36</v>
      </c>
      <c r="AI135" s="14" t="s">
        <v>37</v>
      </c>
      <c r="AJ135" s="14" t="s">
        <v>38</v>
      </c>
      <c r="AK135" s="15"/>
    </row>
    <row r="136" ht="12.75" customHeight="1" spans="2:37" x14ac:dyDescent="0.25">
      <c r="B136" s="16" t="s">
        <v>41</v>
      </c>
      <c r="C136" s="17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9"/>
    </row>
    <row r="137" ht="12.75" customHeight="1" spans="2:37" x14ac:dyDescent="0.25">
      <c r="B137" s="16" t="s">
        <v>42</v>
      </c>
      <c r="C137" s="17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/>
    </row>
    <row r="138" ht="12.75" customHeight="1" spans="2:37" x14ac:dyDescent="0.25">
      <c r="B138" s="16" t="s">
        <v>43</v>
      </c>
      <c r="C138" s="17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9"/>
    </row>
    <row r="139" ht="12.75" customHeight="1" spans="2:37" x14ac:dyDescent="0.25">
      <c r="B139" s="16" t="s">
        <v>44</v>
      </c>
      <c r="C139" s="17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9"/>
    </row>
    <row r="140" ht="12.75" customHeight="1" spans="2:37" x14ac:dyDescent="0.25">
      <c r="B140" s="20" t="s">
        <v>45</v>
      </c>
      <c r="C140" s="21"/>
      <c r="D140" s="21"/>
      <c r="E140" s="22">
        <f>E136+E137+E138+E139</f>
      </c>
      <c r="F140" s="22">
        <f>F136+F137+F138+F139</f>
      </c>
      <c r="G140" s="22">
        <f>G136+G137+G138+G139</f>
      </c>
      <c r="H140" s="22">
        <f>H136+H137+H138+H139</f>
      </c>
      <c r="I140" s="22">
        <f>I136+I137+I138+I139</f>
      </c>
      <c r="J140" s="22">
        <f>J136+J137+J138+J139</f>
      </c>
      <c r="K140" s="22">
        <f>K136+K137+K138+K139</f>
      </c>
      <c r="L140" s="22">
        <f>L136+L137+L138+L139</f>
      </c>
      <c r="M140" s="22">
        <f>M136+M137+M138+M139</f>
      </c>
      <c r="N140" s="22">
        <f>N136+N137+N138+N139</f>
      </c>
      <c r="O140" s="22">
        <f>O136+O137+O138+O139</f>
      </c>
      <c r="P140" s="22">
        <f>P136+P137+P138+P139</f>
      </c>
      <c r="Q140" s="22">
        <f>Q136+Q137+Q138+Q139</f>
      </c>
      <c r="R140" s="22">
        <f>R136+R137+R138+R139</f>
      </c>
      <c r="S140" s="22">
        <f>S136+S137+S138+S139</f>
      </c>
      <c r="T140" s="22">
        <f>T136+T137+T138+T139</f>
      </c>
      <c r="U140" s="22">
        <f>U136+U137+U138+U139</f>
      </c>
      <c r="V140" s="22">
        <f>V136+V137+V138+V139</f>
      </c>
      <c r="W140" s="22">
        <f>W136+W137+W138+W139</f>
      </c>
      <c r="X140" s="22">
        <f>X136+X137+X138+X139</f>
      </c>
      <c r="Y140" s="22">
        <f>Y136+Y137+Y138+Y139</f>
      </c>
      <c r="Z140" s="22">
        <f>Z136+Z137+Z138+Z139</f>
      </c>
      <c r="AA140" s="22">
        <f>AA136+AA137+AA138+AA139</f>
      </c>
      <c r="AB140" s="22">
        <f>AB136+AB137+AB138+AB139</f>
      </c>
      <c r="AC140" s="22">
        <f>AC136+AC137+AC138+AC139</f>
      </c>
      <c r="AD140" s="22">
        <f>AD136+AD137+AD138+AD139</f>
      </c>
      <c r="AE140" s="22">
        <f>AE136+AE137+AE138+AE139</f>
      </c>
      <c r="AF140" s="22">
        <f>AF136+AF137+AF138+AF139</f>
      </c>
      <c r="AG140" s="22">
        <f>AG136+AG137+AG138+AG139</f>
      </c>
      <c r="AH140" s="22">
        <f>AH136+AH137+AH138+AH139</f>
      </c>
      <c r="AI140" s="22">
        <f>AI136+AI137+AI138+AI139</f>
      </c>
      <c r="AJ140" s="22">
        <f>AJ136+AJ137+AJ138+AJ139</f>
      </c>
      <c r="AK140" s="23"/>
    </row>
    <row r="142" ht="12.75" customHeight="1" spans="2:37" x14ac:dyDescent="0.25">
      <c r="B142" s="11" t="s">
        <v>47</v>
      </c>
      <c r="C142" s="12"/>
      <c r="D142" s="13"/>
      <c r="E142" s="14" t="s">
        <v>7</v>
      </c>
      <c r="F142" s="14" t="s">
        <v>8</v>
      </c>
      <c r="G142" s="14" t="s">
        <v>9</v>
      </c>
      <c r="H142" s="14" t="s">
        <v>10</v>
      </c>
      <c r="I142" s="14" t="s">
        <v>11</v>
      </c>
      <c r="J142" s="14" t="s">
        <v>12</v>
      </c>
      <c r="K142" s="14" t="s">
        <v>13</v>
      </c>
      <c r="L142" s="14" t="s">
        <v>14</v>
      </c>
      <c r="M142" s="14" t="s">
        <v>15</v>
      </c>
      <c r="N142" s="14" t="s">
        <v>16</v>
      </c>
      <c r="O142" s="14" t="s">
        <v>17</v>
      </c>
      <c r="P142" s="14" t="s">
        <v>18</v>
      </c>
      <c r="Q142" s="14" t="s">
        <v>19</v>
      </c>
      <c r="R142" s="14" t="s">
        <v>20</v>
      </c>
      <c r="S142" s="14" t="s">
        <v>21</v>
      </c>
      <c r="T142" s="14" t="s">
        <v>22</v>
      </c>
      <c r="U142" s="14" t="s">
        <v>23</v>
      </c>
      <c r="V142" s="14" t="s">
        <v>24</v>
      </c>
      <c r="W142" s="14" t="s">
        <v>25</v>
      </c>
      <c r="X142" s="14" t="s">
        <v>26</v>
      </c>
      <c r="Y142" s="14" t="s">
        <v>27</v>
      </c>
      <c r="Z142" s="14" t="s">
        <v>28</v>
      </c>
      <c r="AA142" s="14" t="s">
        <v>29</v>
      </c>
      <c r="AB142" s="14" t="s">
        <v>30</v>
      </c>
      <c r="AC142" s="14" t="s">
        <v>31</v>
      </c>
      <c r="AD142" s="14" t="s">
        <v>32</v>
      </c>
      <c r="AE142" s="14" t="s">
        <v>33</v>
      </c>
      <c r="AF142" s="14" t="s">
        <v>34</v>
      </c>
      <c r="AG142" s="14" t="s">
        <v>35</v>
      </c>
      <c r="AH142" s="14" t="s">
        <v>36</v>
      </c>
      <c r="AI142" s="14" t="s">
        <v>37</v>
      </c>
      <c r="AJ142" s="14" t="s">
        <v>38</v>
      </c>
      <c r="AK142" s="15"/>
    </row>
    <row r="143" ht="12.75" customHeight="1" spans="2:37" x14ac:dyDescent="0.25">
      <c r="B143" s="16" t="s">
        <v>41</v>
      </c>
      <c r="C143" s="17"/>
      <c r="D143" s="17"/>
      <c r="E143" s="24">
        <f>E136-E129</f>
      </c>
      <c r="F143" s="24">
        <f>F136-F129</f>
      </c>
      <c r="G143" s="24">
        <f>G136-G129</f>
      </c>
      <c r="H143" s="24">
        <f>H136-H129</f>
      </c>
      <c r="I143" s="24">
        <f>I136-I129</f>
      </c>
      <c r="J143" s="24">
        <f>J136-J129</f>
      </c>
      <c r="K143" s="24">
        <f>K136-K129</f>
      </c>
      <c r="L143" s="24">
        <f>L136-L129</f>
      </c>
      <c r="M143" s="24">
        <f>M136-M129</f>
      </c>
      <c r="N143" s="24">
        <f>N136-N129</f>
      </c>
      <c r="O143" s="24">
        <f>O136-O129</f>
      </c>
      <c r="P143" s="24">
        <f>P136-P129</f>
      </c>
      <c r="Q143" s="24">
        <f>Q136-Q129</f>
      </c>
      <c r="R143" s="24">
        <f>R136-R129</f>
      </c>
      <c r="S143" s="24">
        <f>S136-S129</f>
      </c>
      <c r="T143" s="24">
        <f>T136-T129</f>
      </c>
      <c r="U143" s="24">
        <f>U136-U129</f>
      </c>
      <c r="V143" s="24">
        <f>V136-V129</f>
      </c>
      <c r="W143" s="24">
        <f>W136-W129</f>
      </c>
      <c r="X143" s="24">
        <f>X136-X129</f>
      </c>
      <c r="Y143" s="24">
        <f>Y136-Y129</f>
      </c>
      <c r="Z143" s="24">
        <f>Z136-Z129</f>
      </c>
      <c r="AA143" s="24">
        <f>AA136-AA129</f>
      </c>
      <c r="AB143" s="24">
        <f>AB136-AB129</f>
      </c>
      <c r="AC143" s="24">
        <f>AC136-AC129</f>
      </c>
      <c r="AD143" s="24">
        <f>AD136-AD129</f>
      </c>
      <c r="AE143" s="24">
        <f>AE136-AE129</f>
      </c>
      <c r="AF143" s="24">
        <f>AF136-AF129</f>
      </c>
      <c r="AG143" s="24">
        <f>AG136-AG129</f>
      </c>
      <c r="AH143" s="24">
        <f>AH136-AH129</f>
      </c>
      <c r="AI143" s="24">
        <f>AI136-AI129</f>
      </c>
      <c r="AJ143" s="24">
        <f>AJ136-AJ129</f>
      </c>
      <c r="AK143" s="19"/>
    </row>
    <row r="144" ht="12.75" customHeight="1" spans="2:37" x14ac:dyDescent="0.25">
      <c r="B144" s="16" t="s">
        <v>42</v>
      </c>
      <c r="C144" s="17"/>
      <c r="D144" s="17"/>
      <c r="E144" s="24">
        <f>E137-E130</f>
      </c>
      <c r="F144" s="24">
        <f>F137-F130</f>
      </c>
      <c r="G144" s="24">
        <f>G137-G130</f>
      </c>
      <c r="H144" s="24">
        <f>H137-H130</f>
      </c>
      <c r="I144" s="24">
        <f>I137-I130</f>
      </c>
      <c r="J144" s="24">
        <f>J137-J130</f>
      </c>
      <c r="K144" s="24">
        <f>K137-K130</f>
      </c>
      <c r="L144" s="24">
        <f>L137-L130</f>
      </c>
      <c r="M144" s="24">
        <f>M137-M130</f>
      </c>
      <c r="N144" s="24">
        <f>N137-N130</f>
      </c>
      <c r="O144" s="24">
        <f>O137-O130</f>
      </c>
      <c r="P144" s="24">
        <f>P137-P130</f>
      </c>
      <c r="Q144" s="24">
        <f>Q137-Q130</f>
      </c>
      <c r="R144" s="24">
        <f>R137-R130</f>
      </c>
      <c r="S144" s="24">
        <f>S137-S130</f>
      </c>
      <c r="T144" s="24">
        <f>T137-T130</f>
      </c>
      <c r="U144" s="24">
        <f>U137-U130</f>
      </c>
      <c r="V144" s="24">
        <f>V137-V130</f>
      </c>
      <c r="W144" s="24">
        <f>W137-W130</f>
      </c>
      <c r="X144" s="24">
        <f>X137-X130</f>
      </c>
      <c r="Y144" s="24">
        <f>Y137-Y130</f>
      </c>
      <c r="Z144" s="24">
        <f>Z137-Z130</f>
      </c>
      <c r="AA144" s="24">
        <f>AA137-AA130</f>
      </c>
      <c r="AB144" s="24">
        <f>AB137-AB130</f>
      </c>
      <c r="AC144" s="24">
        <f>AC137-AC130</f>
      </c>
      <c r="AD144" s="24">
        <f>AD137-AD130</f>
      </c>
      <c r="AE144" s="24">
        <f>AE137-AE130</f>
      </c>
      <c r="AF144" s="24">
        <f>AF137-AF130</f>
      </c>
      <c r="AG144" s="24">
        <f>AG137-AG130</f>
      </c>
      <c r="AH144" s="24">
        <f>AH137-AH130</f>
      </c>
      <c r="AI144" s="24">
        <f>AI137-AI130</f>
      </c>
      <c r="AJ144" s="24">
        <f>AJ137-AJ130</f>
      </c>
      <c r="AK144" s="19"/>
    </row>
    <row r="145" ht="12.75" customHeight="1" spans="2:37" x14ac:dyDescent="0.25">
      <c r="B145" s="16" t="s">
        <v>43</v>
      </c>
      <c r="C145" s="17"/>
      <c r="D145" s="17"/>
      <c r="E145" s="24">
        <f>E138-E131</f>
      </c>
      <c r="F145" s="24">
        <f>F138-F131</f>
      </c>
      <c r="G145" s="24">
        <f>G138-G131</f>
      </c>
      <c r="H145" s="24">
        <f>H138-H131</f>
      </c>
      <c r="I145" s="24">
        <f>I138-I131</f>
      </c>
      <c r="J145" s="24">
        <f>J138-J131</f>
      </c>
      <c r="K145" s="24">
        <f>K138-K131</f>
      </c>
      <c r="L145" s="24">
        <f>L138-L131</f>
      </c>
      <c r="M145" s="24">
        <f>M138-M131</f>
      </c>
      <c r="N145" s="24">
        <f>N138-N131</f>
      </c>
      <c r="O145" s="24">
        <f>O138-O131</f>
      </c>
      <c r="P145" s="24">
        <f>P138-P131</f>
      </c>
      <c r="Q145" s="24">
        <f>Q138-Q131</f>
      </c>
      <c r="R145" s="24">
        <f>R138-R131</f>
      </c>
      <c r="S145" s="24">
        <f>S138-S131</f>
      </c>
      <c r="T145" s="24">
        <f>T138-T131</f>
      </c>
      <c r="U145" s="24">
        <f>U138-U131</f>
      </c>
      <c r="V145" s="24">
        <f>V138-V131</f>
      </c>
      <c r="W145" s="24">
        <f>W138-W131</f>
      </c>
      <c r="X145" s="24">
        <f>X138-X131</f>
      </c>
      <c r="Y145" s="24">
        <f>Y138-Y131</f>
      </c>
      <c r="Z145" s="24">
        <f>Z138-Z131</f>
      </c>
      <c r="AA145" s="24">
        <f>AA138-AA131</f>
      </c>
      <c r="AB145" s="24">
        <f>AB138-AB131</f>
      </c>
      <c r="AC145" s="24">
        <f>AC138-AC131</f>
      </c>
      <c r="AD145" s="24">
        <f>AD138-AD131</f>
      </c>
      <c r="AE145" s="24">
        <f>AE138-AE131</f>
      </c>
      <c r="AF145" s="24">
        <f>AF138-AF131</f>
      </c>
      <c r="AG145" s="24">
        <f>AG138-AG131</f>
      </c>
      <c r="AH145" s="24">
        <f>AH138-AH131</f>
      </c>
      <c r="AI145" s="24">
        <f>AI138-AI131</f>
      </c>
      <c r="AJ145" s="24">
        <f>AJ138-AJ131</f>
      </c>
      <c r="AK145" s="19"/>
    </row>
    <row r="146" ht="12.75" customHeight="1" spans="2:37" x14ac:dyDescent="0.25">
      <c r="B146" s="16" t="s">
        <v>44</v>
      </c>
      <c r="C146" s="17"/>
      <c r="D146" s="17"/>
      <c r="E146" s="24">
        <f>E139-E132</f>
      </c>
      <c r="F146" s="24">
        <f>F139-F132</f>
      </c>
      <c r="G146" s="24">
        <f>G139-G132</f>
      </c>
      <c r="H146" s="24">
        <f>H139-H132</f>
      </c>
      <c r="I146" s="24">
        <f>I139-I132</f>
      </c>
      <c r="J146" s="24">
        <f>J139-J132</f>
      </c>
      <c r="K146" s="24">
        <f>K139-K132</f>
      </c>
      <c r="L146" s="24">
        <f>L139-L132</f>
      </c>
      <c r="M146" s="24">
        <f>M139-M132</f>
      </c>
      <c r="N146" s="24">
        <f>N139-N132</f>
      </c>
      <c r="O146" s="24">
        <f>O139-O132</f>
      </c>
      <c r="P146" s="24">
        <f>P139-P132</f>
      </c>
      <c r="Q146" s="24">
        <f>Q139-Q132</f>
      </c>
      <c r="R146" s="24">
        <f>R139-R132</f>
      </c>
      <c r="S146" s="24">
        <f>S139-S132</f>
      </c>
      <c r="T146" s="24">
        <f>T139-T132</f>
      </c>
      <c r="U146" s="24">
        <f>U139-U132</f>
      </c>
      <c r="V146" s="24">
        <f>V139-V132</f>
      </c>
      <c r="W146" s="24">
        <f>W139-W132</f>
      </c>
      <c r="X146" s="24">
        <f>X139-X132</f>
      </c>
      <c r="Y146" s="24">
        <f>Y139-Y132</f>
      </c>
      <c r="Z146" s="24">
        <f>Z139-Z132</f>
      </c>
      <c r="AA146" s="24">
        <f>AA139-AA132</f>
      </c>
      <c r="AB146" s="24">
        <f>AB139-AB132</f>
      </c>
      <c r="AC146" s="24">
        <f>AC139-AC132</f>
      </c>
      <c r="AD146" s="24">
        <f>AD139-AD132</f>
      </c>
      <c r="AE146" s="24">
        <f>AE139-AE132</f>
      </c>
      <c r="AF146" s="24">
        <f>AF139-AF132</f>
      </c>
      <c r="AG146" s="24">
        <f>AG139-AG132</f>
      </c>
      <c r="AH146" s="24">
        <f>AH139-AH132</f>
      </c>
      <c r="AI146" s="24">
        <f>AI139-AI132</f>
      </c>
      <c r="AJ146" s="24">
        <f>AJ139-AJ132</f>
      </c>
      <c r="AK146" s="19"/>
    </row>
    <row r="147" ht="12.75" customHeight="1" spans="2:37" x14ac:dyDescent="0.25">
      <c r="B147" s="20" t="s">
        <v>45</v>
      </c>
      <c r="C147" s="21"/>
      <c r="D147" s="21"/>
      <c r="E147" s="25">
        <f>E143+E144+E145+E146</f>
      </c>
      <c r="F147" s="25">
        <f>F143+F144+F145+F146</f>
      </c>
      <c r="G147" s="25">
        <f>G143+G144+G145+G146</f>
      </c>
      <c r="H147" s="25">
        <f>H143+H144+H145+H146</f>
      </c>
      <c r="I147" s="25">
        <f>I143+I144+I145+I146</f>
      </c>
      <c r="J147" s="25">
        <f>J143+J144+J145+J146</f>
      </c>
      <c r="K147" s="25">
        <f>K143+K144+K145+K146</f>
      </c>
      <c r="L147" s="25">
        <f>L143+L144+L145+L146</f>
      </c>
      <c r="M147" s="25">
        <f>M143+M144+M145+M146</f>
      </c>
      <c r="N147" s="25">
        <f>N143+N144+N145+N146</f>
      </c>
      <c r="O147" s="25">
        <f>O143+O144+O145+O146</f>
      </c>
      <c r="P147" s="25">
        <f>P143+P144+P145+P146</f>
      </c>
      <c r="Q147" s="25">
        <f>Q143+Q144+Q145+Q146</f>
      </c>
      <c r="R147" s="25">
        <f>R143+R144+R145+R146</f>
      </c>
      <c r="S147" s="25">
        <f>S143+S144+S145+S146</f>
      </c>
      <c r="T147" s="25">
        <f>T143+T144+T145+T146</f>
      </c>
      <c r="U147" s="25">
        <f>U143+U144+U145+U146</f>
      </c>
      <c r="V147" s="25">
        <f>V143+V144+V145+V146</f>
      </c>
      <c r="W147" s="25">
        <f>W143+W144+W145+W146</f>
      </c>
      <c r="X147" s="25">
        <f>X143+X144+X145+X146</f>
      </c>
      <c r="Y147" s="25">
        <f>Y143+Y144+Y145+Y146</f>
      </c>
      <c r="Z147" s="25">
        <f>Z143+Z144+Z145+Z146</f>
      </c>
      <c r="AA147" s="25">
        <f>AA143+AA144+AA145+AA146</f>
      </c>
      <c r="AB147" s="25">
        <f>AB143+AB144+AB145+AB146</f>
      </c>
      <c r="AC147" s="25">
        <f>AC143+AC144+AC145+AC146</f>
      </c>
      <c r="AD147" s="25">
        <f>AD143+AD144+AD145+AD146</f>
      </c>
      <c r="AE147" s="25">
        <f>AE143+AE144+AE145+AE146</f>
      </c>
      <c r="AF147" s="25">
        <f>AF143+AF144+AF145+AF146</f>
      </c>
      <c r="AG147" s="25">
        <f>AG143+AG144+AG145+AG146</f>
      </c>
      <c r="AH147" s="25">
        <f>AH143+AH144+AH145+AH146</f>
      </c>
      <c r="AI147" s="25">
        <f>AI143+AI144+AI145+AI146</f>
      </c>
      <c r="AJ147" s="25">
        <f>AJ143+AJ144+AJ145+AJ146</f>
      </c>
      <c r="AK14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4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251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356</v>
      </c>
      <c r="J8" s="44" t="s">
        <v>357</v>
      </c>
      <c r="K8" s="44" t="s">
        <v>358</v>
      </c>
      <c r="L8" s="44" t="s">
        <v>359</v>
      </c>
      <c r="M8" s="44" t="s">
        <v>360</v>
      </c>
      <c r="N8" s="44" t="s">
        <v>361</v>
      </c>
      <c r="O8" s="44" t="s">
        <v>362</v>
      </c>
      <c r="P8" s="44" t="s">
        <v>363</v>
      </c>
      <c r="Q8" s="44" t="s">
        <v>364</v>
      </c>
      <c r="R8" s="44" t="s">
        <v>365</v>
      </c>
      <c r="S8" s="44" t="s">
        <v>366</v>
      </c>
      <c r="T8" s="44" t="s">
        <v>367</v>
      </c>
      <c r="U8" s="44" t="s">
        <v>368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251</v>
      </c>
      <c r="D14" s="50" t="s">
        <v>42</v>
      </c>
      <c r="E14" s="32" t="s">
        <v>3</v>
      </c>
      <c r="F14" s="32" t="s">
        <v>252</v>
      </c>
      <c r="G14" s="32"/>
      <c r="H14" s="32"/>
      <c r="I14" s="32"/>
      <c r="J14" s="33">
        <v>38.49</v>
      </c>
      <c r="K14" s="33">
        <v>40.9</v>
      </c>
      <c r="L14" s="33">
        <v>31.31</v>
      </c>
      <c r="M14" s="33">
        <v>74.91</v>
      </c>
      <c r="N14" s="33">
        <v>69.12</v>
      </c>
      <c r="O14" s="33">
        <v>27.07</v>
      </c>
      <c r="P14" s="33">
        <v>27.07</v>
      </c>
      <c r="Q14" s="33">
        <v>27.07</v>
      </c>
      <c r="R14" s="33">
        <v>27.07</v>
      </c>
      <c r="S14" s="33">
        <v>27.07</v>
      </c>
      <c r="T14" s="33">
        <v>27.07</v>
      </c>
      <c r="U14" s="33">
        <v>27.07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251</v>
      </c>
      <c r="D15" s="50" t="s">
        <v>42</v>
      </c>
      <c r="E15" s="32" t="s">
        <v>3</v>
      </c>
      <c r="F15" s="32" t="s">
        <v>253</v>
      </c>
      <c r="G15" s="32"/>
      <c r="H15" s="32"/>
      <c r="I15" s="32"/>
      <c r="J15" s="33">
        <v>57.92</v>
      </c>
      <c r="K15" s="33">
        <v>63.23</v>
      </c>
      <c r="L15" s="33">
        <v>61.62</v>
      </c>
      <c r="M15" s="33">
        <v>51.93</v>
      </c>
      <c r="N15" s="33">
        <v>37.85</v>
      </c>
      <c r="O15" s="33">
        <v>27.07</v>
      </c>
      <c r="P15" s="33">
        <v>27.07</v>
      </c>
      <c r="Q15" s="33">
        <v>27.07</v>
      </c>
      <c r="R15" s="33">
        <v>27.07</v>
      </c>
      <c r="S15" s="33">
        <v>27.07</v>
      </c>
      <c r="T15" s="33">
        <v>27.07</v>
      </c>
      <c r="U15" s="33">
        <f>0.00+30.08</f>
        <v>30.08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251</v>
      </c>
      <c r="D16" s="50" t="s">
        <v>42</v>
      </c>
      <c r="E16" s="32" t="s">
        <v>3</v>
      </c>
      <c r="F16" s="32" t="s">
        <v>254</v>
      </c>
      <c r="G16" s="33">
        <v>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>
        <f>9.91+0.00</f>
        <v>9.91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251</v>
      </c>
      <c r="D17" s="50" t="s">
        <v>42</v>
      </c>
      <c r="E17" s="32" t="s">
        <v>3</v>
      </c>
      <c r="F17" s="32" t="s">
        <v>255</v>
      </c>
      <c r="G17" s="32"/>
      <c r="H17" s="32"/>
      <c r="I17" s="32"/>
      <c r="J17" s="33">
        <v>33.21</v>
      </c>
      <c r="K17" s="33">
        <v>65.73</v>
      </c>
      <c r="L17" s="33">
        <v>60.82</v>
      </c>
      <c r="M17" s="33">
        <v>36.16</v>
      </c>
      <c r="N17" s="33">
        <v>27.07</v>
      </c>
      <c r="O17" s="33">
        <v>27.07</v>
      </c>
      <c r="P17" s="33">
        <v>27.07</v>
      </c>
      <c r="Q17" s="33">
        <v>27.07</v>
      </c>
      <c r="R17" s="33">
        <v>27.07</v>
      </c>
      <c r="S17" s="33">
        <v>27.07</v>
      </c>
      <c r="T17" s="33">
        <v>27.07</v>
      </c>
      <c r="U17" s="33">
        <v>27.07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251</v>
      </c>
      <c r="D18" s="50" t="s">
        <v>42</v>
      </c>
      <c r="E18" s="32" t="s">
        <v>3</v>
      </c>
      <c r="F18" s="32" t="s">
        <v>256</v>
      </c>
      <c r="G18" s="32"/>
      <c r="H18" s="32"/>
      <c r="I18" s="32"/>
      <c r="J18" s="33">
        <v>35.23</v>
      </c>
      <c r="K18" s="33">
        <v>75.96</v>
      </c>
      <c r="L18" s="33">
        <v>82.22</v>
      </c>
      <c r="M18" s="33">
        <v>85.97</v>
      </c>
      <c r="N18" s="33">
        <v>27.07</v>
      </c>
      <c r="O18" s="33">
        <v>27.07</v>
      </c>
      <c r="P18" s="33">
        <v>27.07</v>
      </c>
      <c r="Q18" s="33">
        <v>27.07</v>
      </c>
      <c r="R18" s="33">
        <v>27.07</v>
      </c>
      <c r="S18" s="33">
        <v>27.07</v>
      </c>
      <c r="T18" s="33">
        <v>27.07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251</v>
      </c>
      <c r="D19" s="50" t="s">
        <v>42</v>
      </c>
      <c r="E19" s="32" t="s">
        <v>3</v>
      </c>
      <c r="F19" s="32" t="s">
        <v>257</v>
      </c>
      <c r="G19" s="32"/>
      <c r="H19" s="32"/>
      <c r="I19" s="32"/>
      <c r="J19" s="33">
        <v>44.19</v>
      </c>
      <c r="K19" s="33">
        <v>44.12</v>
      </c>
      <c r="L19" s="33">
        <v>44.12</v>
      </c>
      <c r="M19" s="33">
        <v>41.04</v>
      </c>
      <c r="N19" s="33">
        <v>36.65</v>
      </c>
      <c r="O19" s="33">
        <v>36.65</v>
      </c>
      <c r="P19" s="33">
        <v>36.65</v>
      </c>
      <c r="Q19" s="33">
        <v>35.52</v>
      </c>
      <c r="R19" s="33">
        <v>36.65</v>
      </c>
      <c r="S19" s="33">
        <v>36.65</v>
      </c>
      <c r="T19" s="33">
        <v>36.65</v>
      </c>
      <c r="U19" s="33">
        <v>36.65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251</v>
      </c>
      <c r="D20" s="50" t="s">
        <v>42</v>
      </c>
      <c r="E20" s="32" t="s">
        <v>3</v>
      </c>
      <c r="F20" s="32" t="s">
        <v>258</v>
      </c>
      <c r="G20" s="33">
        <v>0</v>
      </c>
      <c r="H20" s="32"/>
      <c r="I20" s="32"/>
      <c r="J20" s="32"/>
      <c r="K20" s="32"/>
      <c r="L20" s="32"/>
      <c r="M20" s="32"/>
      <c r="N20" s="32"/>
      <c r="O20" s="32"/>
      <c r="P20" s="32"/>
      <c r="Q20" s="33">
        <f>0.00+27.07</f>
        <v>27.07</v>
      </c>
      <c r="R20" s="33">
        <v>27.07</v>
      </c>
      <c r="S20" s="33">
        <v>27.52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251</v>
      </c>
      <c r="D21" s="50" t="s">
        <v>42</v>
      </c>
      <c r="E21" s="32" t="s">
        <v>3</v>
      </c>
      <c r="F21" s="32" t="s">
        <v>259</v>
      </c>
      <c r="G21" s="32"/>
      <c r="H21" s="32"/>
      <c r="I21" s="32"/>
      <c r="J21" s="33">
        <v>358.71</v>
      </c>
      <c r="K21" s="33">
        <v>550.17</v>
      </c>
      <c r="L21" s="33">
        <v>460.68</v>
      </c>
      <c r="M21" s="33">
        <v>504.41</v>
      </c>
      <c r="N21" s="33">
        <v>329.85</v>
      </c>
      <c r="O21" s="33">
        <v>462.24</v>
      </c>
      <c r="P21" s="33">
        <v>429.25</v>
      </c>
      <c r="Q21" s="33">
        <v>418.11</v>
      </c>
      <c r="R21" s="33">
        <v>548.36</v>
      </c>
      <c r="S21" s="33">
        <v>470.52</v>
      </c>
      <c r="T21" s="33">
        <v>368.13</v>
      </c>
      <c r="U21" s="33">
        <v>376.02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251</v>
      </c>
      <c r="D22" s="50" t="s">
        <v>42</v>
      </c>
      <c r="E22" s="32" t="s">
        <v>3</v>
      </c>
      <c r="F22" s="32" t="s">
        <v>260</v>
      </c>
      <c r="G22" s="32"/>
      <c r="H22" s="32"/>
      <c r="I22" s="32"/>
      <c r="J22" s="33">
        <v>27.07</v>
      </c>
      <c r="K22" s="33">
        <v>56.68</v>
      </c>
      <c r="L22" s="33">
        <v>58.82</v>
      </c>
      <c r="M22" s="33">
        <v>32.28</v>
      </c>
      <c r="N22" s="33">
        <v>27.07</v>
      </c>
      <c r="O22" s="33">
        <v>27.07</v>
      </c>
      <c r="P22" s="33">
        <v>27.07</v>
      </c>
      <c r="Q22" s="33">
        <v>27.07</v>
      </c>
      <c r="R22" s="33">
        <v>27.07</v>
      </c>
      <c r="S22" s="33">
        <v>27.07</v>
      </c>
      <c r="T22" s="33">
        <f>28.21+0.00</f>
        <v>28.21</v>
      </c>
      <c r="U22" s="33">
        <v>32.98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251</v>
      </c>
      <c r="D23" s="50" t="s">
        <v>42</v>
      </c>
      <c r="E23" s="32" t="s">
        <v>3</v>
      </c>
      <c r="F23" s="32" t="s">
        <v>261</v>
      </c>
      <c r="G23" s="32"/>
      <c r="H23" s="32"/>
      <c r="I23" s="32"/>
      <c r="J23" s="33">
        <v>31.93</v>
      </c>
      <c r="K23" s="33">
        <v>65.2</v>
      </c>
      <c r="L23" s="33">
        <v>74.89</v>
      </c>
      <c r="M23" s="33">
        <v>65</v>
      </c>
      <c r="N23" s="33">
        <v>27.07</v>
      </c>
      <c r="O23" s="33">
        <v>27.07</v>
      </c>
      <c r="P23" s="33">
        <v>27.07</v>
      </c>
      <c r="Q23" s="33">
        <v>27.07</v>
      </c>
      <c r="R23" s="33">
        <v>27.07</v>
      </c>
      <c r="S23" s="33">
        <v>27.07</v>
      </c>
      <c r="T23" s="33">
        <v>27.07</v>
      </c>
      <c r="U23" s="33">
        <v>27.07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251</v>
      </c>
      <c r="D24" s="50" t="s">
        <v>42</v>
      </c>
      <c r="E24" s="32" t="s">
        <v>3</v>
      </c>
      <c r="F24" s="32" t="s">
        <v>262</v>
      </c>
      <c r="G24" s="32"/>
      <c r="H24" s="32"/>
      <c r="I24" s="32"/>
      <c r="J24" s="32"/>
      <c r="K24" s="32"/>
      <c r="L24" s="32"/>
      <c r="M24" s="33">
        <v>115.73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251</v>
      </c>
      <c r="D25" s="50" t="s">
        <v>42</v>
      </c>
      <c r="E25" s="32" t="s">
        <v>3</v>
      </c>
      <c r="F25" s="32" t="s">
        <v>263</v>
      </c>
      <c r="G25" s="32"/>
      <c r="H25" s="32"/>
      <c r="I25" s="32"/>
      <c r="J25" s="33">
        <v>34.11</v>
      </c>
      <c r="K25" s="33">
        <v>81.01</v>
      </c>
      <c r="L25" s="33">
        <v>76.23</v>
      </c>
      <c r="M25" s="33">
        <v>61.98</v>
      </c>
      <c r="N25" s="33">
        <v>27.07</v>
      </c>
      <c r="O25" s="33">
        <v>27.07</v>
      </c>
      <c r="P25" s="33">
        <v>27.07</v>
      </c>
      <c r="Q25" s="33">
        <v>27.07</v>
      </c>
      <c r="R25" s="33">
        <v>27.07</v>
      </c>
      <c r="S25" s="33">
        <v>27.07</v>
      </c>
      <c r="T25" s="33">
        <v>27.07</v>
      </c>
      <c r="U25" s="33">
        <v>27.07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251</v>
      </c>
      <c r="D26" s="50" t="s">
        <v>42</v>
      </c>
      <c r="E26" s="32" t="s">
        <v>3</v>
      </c>
      <c r="F26" s="32" t="s">
        <v>264</v>
      </c>
      <c r="G26" s="33">
        <v>0</v>
      </c>
      <c r="H26" s="32"/>
      <c r="I26" s="32"/>
      <c r="J26" s="32"/>
      <c r="K26" s="32"/>
      <c r="L26" s="32"/>
      <c r="M26" s="32"/>
      <c r="N26" s="32"/>
      <c r="O26" s="32"/>
      <c r="P26" s="32"/>
      <c r="Q26" s="33">
        <f>0.00+28.20</f>
        <v>28.2</v>
      </c>
      <c r="R26" s="33">
        <v>28.4</v>
      </c>
      <c r="S26" s="33">
        <v>28.26</v>
      </c>
      <c r="T26" s="33">
        <v>28.29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251</v>
      </c>
      <c r="D27" s="50" t="s">
        <v>42</v>
      </c>
      <c r="E27" s="32" t="s">
        <v>3</v>
      </c>
      <c r="F27" s="32" t="s">
        <v>265</v>
      </c>
      <c r="G27" s="32"/>
      <c r="H27" s="32"/>
      <c r="I27" s="32"/>
      <c r="J27" s="33">
        <v>2345.87</v>
      </c>
      <c r="K27" s="33">
        <v>2239.29</v>
      </c>
      <c r="L27" s="33">
        <v>1802.42</v>
      </c>
      <c r="M27" s="33">
        <v>1505.89</v>
      </c>
      <c r="N27" s="33">
        <v>1384.88</v>
      </c>
      <c r="O27" s="33">
        <v>913.6</v>
      </c>
      <c r="P27" s="33">
        <v>653.31</v>
      </c>
      <c r="Q27" s="33">
        <v>632.25</v>
      </c>
      <c r="R27" s="33">
        <v>651.61</v>
      </c>
      <c r="S27" s="33">
        <v>625.83</v>
      </c>
      <c r="T27" s="33">
        <v>1370.74</v>
      </c>
      <c r="U27" s="33">
        <v>1776.53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251</v>
      </c>
      <c r="D28" s="50" t="s">
        <v>42</v>
      </c>
      <c r="E28" s="32" t="s">
        <v>3</v>
      </c>
      <c r="F28" s="32" t="s">
        <v>266</v>
      </c>
      <c r="G28" s="32"/>
      <c r="H28" s="32"/>
      <c r="I28" s="32"/>
      <c r="J28" s="33">
        <v>64.15</v>
      </c>
      <c r="K28" s="33">
        <v>64.45</v>
      </c>
      <c r="L28" s="33">
        <v>64.45</v>
      </c>
      <c r="M28" s="33">
        <v>59.73</v>
      </c>
      <c r="N28" s="33">
        <v>57.55</v>
      </c>
      <c r="O28" s="33">
        <v>57.55</v>
      </c>
      <c r="P28" s="33">
        <v>57.55</v>
      </c>
      <c r="Q28" s="33">
        <v>55.7</v>
      </c>
      <c r="R28" s="33">
        <v>57.55</v>
      </c>
      <c r="S28" s="33">
        <v>57.55</v>
      </c>
      <c r="T28" s="33">
        <v>57.55</v>
      </c>
      <c r="U28" s="33">
        <v>57.55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251</v>
      </c>
      <c r="D29" s="50" t="s">
        <v>42</v>
      </c>
      <c r="E29" s="32" t="s">
        <v>3</v>
      </c>
      <c r="F29" s="32" t="s">
        <v>267</v>
      </c>
      <c r="G29" s="32"/>
      <c r="H29" s="32"/>
      <c r="I29" s="32"/>
      <c r="J29" s="33">
        <v>27.07</v>
      </c>
      <c r="K29" s="33">
        <v>27.07</v>
      </c>
      <c r="L29" s="33">
        <v>27.07</v>
      </c>
      <c r="M29" s="33">
        <v>27.07</v>
      </c>
      <c r="N29" s="33">
        <v>27.07</v>
      </c>
      <c r="O29" s="33">
        <v>27.07</v>
      </c>
      <c r="P29" s="33">
        <v>27.07</v>
      </c>
      <c r="Q29" s="33">
        <v>27.07</v>
      </c>
      <c r="R29" s="33">
        <v>27.07</v>
      </c>
      <c r="S29" s="33">
        <v>27.07</v>
      </c>
      <c r="T29" s="33">
        <v>27.07</v>
      </c>
      <c r="U29" s="33">
        <f>27.76+2.29</f>
        <v>30.05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251</v>
      </c>
      <c r="D30" s="50" t="s">
        <v>42</v>
      </c>
      <c r="E30" s="32" t="s">
        <v>3</v>
      </c>
      <c r="F30" s="32" t="s">
        <v>268</v>
      </c>
      <c r="G30" s="32"/>
      <c r="H30" s="32"/>
      <c r="I30" s="32"/>
      <c r="J30" s="33">
        <v>28.48</v>
      </c>
      <c r="K30" s="33">
        <v>131.48</v>
      </c>
      <c r="L30" s="33">
        <v>118.46</v>
      </c>
      <c r="M30" s="33">
        <v>92.26</v>
      </c>
      <c r="N30" s="33">
        <v>27.07</v>
      </c>
      <c r="O30" s="33">
        <v>27.07</v>
      </c>
      <c r="P30" s="33">
        <v>27.07</v>
      </c>
      <c r="Q30" s="33">
        <v>27.07</v>
      </c>
      <c r="R30" s="33">
        <v>27.07</v>
      </c>
      <c r="S30" s="33">
        <v>27.07</v>
      </c>
      <c r="T30" s="33">
        <f>27.07+5.41</f>
        <v>32.480000000000004</v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251</v>
      </c>
      <c r="D31" s="50" t="s">
        <v>42</v>
      </c>
      <c r="E31" s="32" t="s">
        <v>3</v>
      </c>
      <c r="F31" s="32" t="s">
        <v>269</v>
      </c>
      <c r="G31" s="32"/>
      <c r="H31" s="32"/>
      <c r="I31" s="32"/>
      <c r="J31" s="33">
        <v>31.52</v>
      </c>
      <c r="K31" s="33">
        <v>50.2</v>
      </c>
      <c r="L31" s="33">
        <v>51.81</v>
      </c>
      <c r="M31" s="33">
        <v>50.54</v>
      </c>
      <c r="N31" s="33">
        <v>27.88</v>
      </c>
      <c r="O31" s="33">
        <v>27.88</v>
      </c>
      <c r="P31" s="33">
        <v>27.88</v>
      </c>
      <c r="Q31" s="33">
        <v>27.77</v>
      </c>
      <c r="R31" s="33">
        <v>27.94</v>
      </c>
      <c r="S31" s="33">
        <v>27.8</v>
      </c>
      <c r="T31" s="33">
        <v>27.88</v>
      </c>
      <c r="U31" s="33">
        <v>30.22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251</v>
      </c>
      <c r="D32" s="50" t="s">
        <v>42</v>
      </c>
      <c r="E32" s="32" t="s">
        <v>3</v>
      </c>
      <c r="F32" s="32" t="s">
        <v>270</v>
      </c>
      <c r="G32" s="32"/>
      <c r="H32" s="32"/>
      <c r="I32" s="32"/>
      <c r="J32" s="33">
        <v>62.1</v>
      </c>
      <c r="K32" s="33">
        <v>78.72</v>
      </c>
      <c r="L32" s="33">
        <v>106.25</v>
      </c>
      <c r="M32" s="33">
        <v>101.96</v>
      </c>
      <c r="N32" s="33">
        <v>108.47</v>
      </c>
      <c r="O32" s="33">
        <v>107.81</v>
      </c>
      <c r="P32" s="33">
        <v>81</v>
      </c>
      <c r="Q32" s="33">
        <v>79.93</v>
      </c>
      <c r="R32" s="33">
        <v>100.87</v>
      </c>
      <c r="S32" s="33">
        <v>77.05</v>
      </c>
      <c r="T32" s="33">
        <v>75.61</v>
      </c>
      <c r="U32" s="33">
        <v>93.49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251</v>
      </c>
      <c r="D33" s="50" t="s">
        <v>42</v>
      </c>
      <c r="E33" s="32" t="s">
        <v>3</v>
      </c>
      <c r="F33" s="32" t="s">
        <v>271</v>
      </c>
      <c r="G33" s="32"/>
      <c r="H33" s="32"/>
      <c r="I33" s="32"/>
      <c r="J33" s="33">
        <v>302.81</v>
      </c>
      <c r="K33" s="33">
        <v>377.51</v>
      </c>
      <c r="L33" s="33">
        <v>385.6</v>
      </c>
      <c r="M33" s="33">
        <v>450.67</v>
      </c>
      <c r="N33" s="33">
        <v>320.64</v>
      </c>
      <c r="O33" s="33">
        <v>409.01</v>
      </c>
      <c r="P33" s="33">
        <v>382.07</v>
      </c>
      <c r="Q33" s="33">
        <v>376.26</v>
      </c>
      <c r="R33" s="33">
        <v>420.05</v>
      </c>
      <c r="S33" s="33">
        <v>372.72</v>
      </c>
      <c r="T33" s="33">
        <v>289.25</v>
      </c>
      <c r="U33" s="33">
        <v>325.64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251</v>
      </c>
      <c r="D34" s="50" t="s">
        <v>42</v>
      </c>
      <c r="E34" s="32" t="s">
        <v>3</v>
      </c>
      <c r="F34" s="32" t="s">
        <v>272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3">
        <f>0.00+0.00</f>
        <v>0</v>
      </c>
      <c r="R34" s="33">
        <v>27.07</v>
      </c>
      <c r="S34" s="33">
        <v>27.07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251</v>
      </c>
      <c r="D35" s="50" t="s">
        <v>42</v>
      </c>
      <c r="E35" s="32" t="s">
        <v>3</v>
      </c>
      <c r="F35" s="32" t="s">
        <v>273</v>
      </c>
      <c r="G35" s="33">
        <v>0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>
        <f>0.00+9.91</f>
        <v>9.91</v>
      </c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251</v>
      </c>
      <c r="D36" s="50" t="s">
        <v>42</v>
      </c>
      <c r="E36" s="32" t="s">
        <v>3</v>
      </c>
      <c r="F36" s="32" t="s">
        <v>274</v>
      </c>
      <c r="G36" s="33">
        <v>0</v>
      </c>
      <c r="H36" s="32"/>
      <c r="I36" s="32"/>
      <c r="J36" s="32"/>
      <c r="K36" s="32"/>
      <c r="L36" s="32"/>
      <c r="M36" s="32"/>
      <c r="N36" s="32"/>
      <c r="O36" s="32"/>
      <c r="P36" s="32"/>
      <c r="Q36" s="33">
        <f>0.00+27.07</f>
        <v>27.07</v>
      </c>
      <c r="R36" s="33">
        <v>27.07</v>
      </c>
      <c r="S36" s="33">
        <v>27.07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251</v>
      </c>
      <c r="D37" s="50" t="s">
        <v>42</v>
      </c>
      <c r="E37" s="32" t="s">
        <v>3</v>
      </c>
      <c r="F37" s="32" t="s">
        <v>275</v>
      </c>
      <c r="G37" s="33">
        <v>0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>
        <f>0.00+9.91</f>
        <v>9.91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251</v>
      </c>
      <c r="D38" s="50" t="s">
        <v>42</v>
      </c>
      <c r="E38" s="32" t="s">
        <v>3</v>
      </c>
      <c r="F38" s="32" t="s">
        <v>276</v>
      </c>
      <c r="G38" s="32"/>
      <c r="H38" s="32"/>
      <c r="I38" s="32"/>
      <c r="J38" s="33">
        <v>37.58</v>
      </c>
      <c r="K38" s="33">
        <v>82.07</v>
      </c>
      <c r="L38" s="33">
        <v>98.28</v>
      </c>
      <c r="M38" s="33">
        <v>27.07</v>
      </c>
      <c r="N38" s="33">
        <v>31.21</v>
      </c>
      <c r="O38" s="33">
        <v>27.07</v>
      </c>
      <c r="P38" s="33">
        <v>27.07</v>
      </c>
      <c r="Q38" s="33">
        <v>27.07</v>
      </c>
      <c r="R38" s="33">
        <v>27.07</v>
      </c>
      <c r="S38" s="33">
        <v>27.07</v>
      </c>
      <c r="T38" s="33">
        <v>18.96</v>
      </c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251</v>
      </c>
      <c r="D39" s="50" t="s">
        <v>42</v>
      </c>
      <c r="E39" s="32" t="s">
        <v>3</v>
      </c>
      <c r="F39" s="32" t="s">
        <v>277</v>
      </c>
      <c r="G39" s="32"/>
      <c r="H39" s="32"/>
      <c r="I39" s="32"/>
      <c r="J39" s="33">
        <v>27.07</v>
      </c>
      <c r="K39" s="33">
        <v>27.07</v>
      </c>
      <c r="L39" s="33">
        <v>27.07</v>
      </c>
      <c r="M39" s="33">
        <v>27.07</v>
      </c>
      <c r="N39" s="33">
        <v>27.07</v>
      </c>
      <c r="O39" s="33">
        <v>27.07</v>
      </c>
      <c r="P39" s="33">
        <v>27.07</v>
      </c>
      <c r="Q39" s="33">
        <v>27.07</v>
      </c>
      <c r="R39" s="33">
        <v>27.07</v>
      </c>
      <c r="S39" s="33">
        <v>27.07</v>
      </c>
      <c r="T39" s="33">
        <v>27.07</v>
      </c>
      <c r="U39" s="33">
        <v>27.07</v>
      </c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251</v>
      </c>
      <c r="D40" s="50" t="s">
        <v>42</v>
      </c>
      <c r="E40" s="32" t="s">
        <v>3</v>
      </c>
      <c r="F40" s="32" t="s">
        <v>278</v>
      </c>
      <c r="G40" s="32"/>
      <c r="H40" s="32"/>
      <c r="I40" s="32"/>
      <c r="J40" s="33">
        <v>27.07</v>
      </c>
      <c r="K40" s="33">
        <v>76.78</v>
      </c>
      <c r="L40" s="33">
        <v>177.94</v>
      </c>
      <c r="M40" s="33">
        <v>90.25</v>
      </c>
      <c r="N40" s="33">
        <v>27.07</v>
      </c>
      <c r="O40" s="33">
        <v>27.07</v>
      </c>
      <c r="P40" s="33">
        <v>27.07</v>
      </c>
      <c r="Q40" s="33">
        <v>27.07</v>
      </c>
      <c r="R40" s="33">
        <v>27.07</v>
      </c>
      <c r="S40" s="33">
        <v>27.07</v>
      </c>
      <c r="T40" s="33">
        <v>27.07</v>
      </c>
      <c r="U40" s="33">
        <v>27.07</v>
      </c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251</v>
      </c>
      <c r="D41" s="50" t="s">
        <v>42</v>
      </c>
      <c r="E41" s="32" t="s">
        <v>3</v>
      </c>
      <c r="F41" s="32" t="s">
        <v>279</v>
      </c>
      <c r="G41" s="32"/>
      <c r="H41" s="32"/>
      <c r="I41" s="33">
        <f>95.75+0.00+15.17</f>
        <v>110.92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251</v>
      </c>
      <c r="D42" s="50" t="s">
        <v>42</v>
      </c>
      <c r="E42" s="32" t="s">
        <v>3</v>
      </c>
      <c r="F42" s="32" t="s">
        <v>280</v>
      </c>
      <c r="G42" s="32"/>
      <c r="H42" s="32"/>
      <c r="I42" s="32"/>
      <c r="J42" s="33">
        <v>143.75</v>
      </c>
      <c r="K42" s="33">
        <v>123.24</v>
      </c>
      <c r="L42" s="33">
        <v>38</v>
      </c>
      <c r="M42" s="33">
        <v>28.2</v>
      </c>
      <c r="N42" s="33">
        <v>27.88</v>
      </c>
      <c r="O42" s="33">
        <v>27.94</v>
      </c>
      <c r="P42" s="33">
        <v>27.88</v>
      </c>
      <c r="Q42" s="33">
        <v>27.81</v>
      </c>
      <c r="R42" s="33">
        <v>27.94</v>
      </c>
      <c r="S42" s="33">
        <v>27.88</v>
      </c>
      <c r="T42" s="33">
        <v>55.83</v>
      </c>
      <c r="U42" s="33">
        <v>110.39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251</v>
      </c>
      <c r="D43" s="50" t="s">
        <v>42</v>
      </c>
      <c r="E43" s="32" t="s">
        <v>3</v>
      </c>
      <c r="F43" s="32" t="s">
        <v>281</v>
      </c>
      <c r="G43" s="32"/>
      <c r="H43" s="32"/>
      <c r="I43" s="32"/>
      <c r="J43" s="33">
        <v>108.49</v>
      </c>
      <c r="K43" s="33">
        <v>116.47</v>
      </c>
      <c r="L43" s="33">
        <v>97.77</v>
      </c>
      <c r="M43" s="33">
        <v>57.96</v>
      </c>
      <c r="N43" s="33">
        <v>27.07</v>
      </c>
      <c r="O43" s="33">
        <v>27.07</v>
      </c>
      <c r="P43" s="33">
        <v>27.07</v>
      </c>
      <c r="Q43" s="33">
        <v>27.07</v>
      </c>
      <c r="R43" s="33">
        <v>27.07</v>
      </c>
      <c r="S43" s="33">
        <v>27.07</v>
      </c>
      <c r="T43" s="33">
        <v>20.76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251</v>
      </c>
      <c r="D44" s="50" t="s">
        <v>42</v>
      </c>
      <c r="E44" s="32" t="s">
        <v>3</v>
      </c>
      <c r="F44" s="32" t="s">
        <v>282</v>
      </c>
      <c r="G44" s="33">
        <v>0</v>
      </c>
      <c r="H44" s="32"/>
      <c r="I44" s="32"/>
      <c r="J44" s="32"/>
      <c r="K44" s="33">
        <f>0.00+79.16</f>
        <v>79.16</v>
      </c>
      <c r="L44" s="33">
        <v>76.23</v>
      </c>
      <c r="M44" s="33">
        <v>79.45</v>
      </c>
      <c r="N44" s="33">
        <v>33.48</v>
      </c>
      <c r="O44" s="33">
        <v>27.07</v>
      </c>
      <c r="P44" s="33">
        <v>27.07</v>
      </c>
      <c r="Q44" s="33">
        <v>27.07</v>
      </c>
      <c r="R44" s="33">
        <v>27.07</v>
      </c>
      <c r="S44" s="33">
        <v>27.07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251</v>
      </c>
      <c r="D45" s="50" t="s">
        <v>42</v>
      </c>
      <c r="E45" s="32" t="s">
        <v>3</v>
      </c>
      <c r="F45" s="32" t="s">
        <v>283</v>
      </c>
      <c r="G45" s="32"/>
      <c r="H45" s="32"/>
      <c r="I45" s="32"/>
      <c r="J45" s="33">
        <f>0.00+0.00</f>
        <v>0</v>
      </c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251</v>
      </c>
      <c r="D46" s="50" t="s">
        <v>42</v>
      </c>
      <c r="E46" s="32" t="s">
        <v>3</v>
      </c>
      <c r="F46" s="32" t="s">
        <v>284</v>
      </c>
      <c r="G46" s="32"/>
      <c r="H46" s="32"/>
      <c r="I46" s="32"/>
      <c r="J46" s="33">
        <v>357.67</v>
      </c>
      <c r="K46" s="33">
        <v>379.74</v>
      </c>
      <c r="L46" s="33">
        <v>436.39</v>
      </c>
      <c r="M46" s="33">
        <v>453.07</v>
      </c>
      <c r="N46" s="33">
        <v>397.19</v>
      </c>
      <c r="O46" s="33">
        <v>314.09</v>
      </c>
      <c r="P46" s="33">
        <v>203.65</v>
      </c>
      <c r="Q46" s="33">
        <v>175.8</v>
      </c>
      <c r="R46" s="33">
        <v>169.46</v>
      </c>
      <c r="S46" s="33">
        <v>133.18</v>
      </c>
      <c r="T46" s="33">
        <v>221.14</v>
      </c>
      <c r="U46" s="33">
        <v>323.42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251</v>
      </c>
      <c r="D47" s="50" t="s">
        <v>42</v>
      </c>
      <c r="E47" s="32" t="s">
        <v>3</v>
      </c>
      <c r="F47" s="32" t="s">
        <v>285</v>
      </c>
      <c r="G47" s="32"/>
      <c r="H47" s="32"/>
      <c r="I47" s="32"/>
      <c r="J47" s="33">
        <v>68.54</v>
      </c>
      <c r="K47" s="33">
        <v>39.96</v>
      </c>
      <c r="L47" s="33">
        <v>35.29</v>
      </c>
      <c r="M47" s="33">
        <v>41.64</v>
      </c>
      <c r="N47" s="33">
        <v>27.07</v>
      </c>
      <c r="O47" s="33">
        <v>27.07</v>
      </c>
      <c r="P47" s="33">
        <v>27.07</v>
      </c>
      <c r="Q47" s="33">
        <v>27.07</v>
      </c>
      <c r="R47" s="33">
        <v>27.07</v>
      </c>
      <c r="S47" s="33">
        <v>27.07</v>
      </c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251</v>
      </c>
      <c r="D48" s="50" t="s">
        <v>42</v>
      </c>
      <c r="E48" s="32" t="s">
        <v>3</v>
      </c>
      <c r="F48" s="32" t="s">
        <v>286</v>
      </c>
      <c r="G48" s="33">
        <v>0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>
        <f>0.00+9.91</f>
        <v>9.91</v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251</v>
      </c>
      <c r="D49" s="50" t="s">
        <v>42</v>
      </c>
      <c r="E49" s="32" t="s">
        <v>3</v>
      </c>
      <c r="F49" s="32" t="s">
        <v>287</v>
      </c>
      <c r="G49" s="32"/>
      <c r="H49" s="32"/>
      <c r="I49" s="32"/>
      <c r="J49" s="33">
        <v>45.32</v>
      </c>
      <c r="K49" s="33">
        <v>32.54</v>
      </c>
      <c r="L49" s="33">
        <v>35.78</v>
      </c>
      <c r="M49" s="33">
        <v>51.05</v>
      </c>
      <c r="N49" s="33">
        <v>72.75</v>
      </c>
      <c r="O49" s="33">
        <v>141.52</v>
      </c>
      <c r="P49" s="33">
        <v>126.48</v>
      </c>
      <c r="Q49" s="33">
        <v>113.73</v>
      </c>
      <c r="R49" s="33">
        <v>67.58</v>
      </c>
      <c r="S49" s="33">
        <v>31.72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251</v>
      </c>
      <c r="D50" s="50" t="s">
        <v>42</v>
      </c>
      <c r="E50" s="32" t="s">
        <v>3</v>
      </c>
      <c r="F50" s="32" t="s">
        <v>288</v>
      </c>
      <c r="G50" s="32"/>
      <c r="H50" s="32"/>
      <c r="I50" s="32"/>
      <c r="J50" s="33">
        <v>132.82</v>
      </c>
      <c r="K50" s="33">
        <v>130.1</v>
      </c>
      <c r="L50" s="33">
        <v>132.32</v>
      </c>
      <c r="M50" s="33">
        <v>112.52</v>
      </c>
      <c r="N50" s="33">
        <v>84.81</v>
      </c>
      <c r="O50" s="33">
        <v>62.87</v>
      </c>
      <c r="P50" s="33">
        <v>40.26</v>
      </c>
      <c r="Q50" s="33">
        <v>42.74</v>
      </c>
      <c r="R50" s="33">
        <v>48.54</v>
      </c>
      <c r="S50" s="33">
        <v>48.14</v>
      </c>
      <c r="T50" s="33">
        <v>66.13</v>
      </c>
      <c r="U50" s="33">
        <v>90.61</v>
      </c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251</v>
      </c>
      <c r="D51" s="50" t="s">
        <v>42</v>
      </c>
      <c r="E51" s="32" t="s">
        <v>3</v>
      </c>
      <c r="F51" s="32" t="s">
        <v>289</v>
      </c>
      <c r="G51" s="33">
        <v>0</v>
      </c>
      <c r="H51" s="32"/>
      <c r="I51" s="32"/>
      <c r="J51" s="32"/>
      <c r="K51" s="33">
        <f>0.00+50.20</f>
        <v>50.2</v>
      </c>
      <c r="L51" s="33">
        <v>42.48</v>
      </c>
      <c r="M51" s="33">
        <v>147.63</v>
      </c>
      <c r="N51" s="33">
        <v>32.41</v>
      </c>
      <c r="O51" s="33">
        <v>27.07</v>
      </c>
      <c r="P51" s="33">
        <v>27.07</v>
      </c>
      <c r="Q51" s="33">
        <v>27.07</v>
      </c>
      <c r="R51" s="33">
        <v>27.07</v>
      </c>
      <c r="S51" s="33">
        <v>27.07</v>
      </c>
      <c r="T51" s="33">
        <v>31.36</v>
      </c>
      <c r="U51" s="33">
        <v>28.17</v>
      </c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251</v>
      </c>
      <c r="D52" s="50" t="s">
        <v>42</v>
      </c>
      <c r="E52" s="32" t="s">
        <v>3</v>
      </c>
      <c r="F52" s="32" t="s">
        <v>290</v>
      </c>
      <c r="G52" s="32"/>
      <c r="H52" s="32"/>
      <c r="I52" s="32"/>
      <c r="J52" s="33">
        <v>1663.97</v>
      </c>
      <c r="K52" s="33">
        <v>1755.27</v>
      </c>
      <c r="L52" s="33">
        <v>1791.3</v>
      </c>
      <c r="M52" s="33">
        <v>1335.25</v>
      </c>
      <c r="N52" s="33">
        <v>1298.62</v>
      </c>
      <c r="O52" s="33">
        <v>960.45</v>
      </c>
      <c r="P52" s="33">
        <v>734.64</v>
      </c>
      <c r="Q52" s="33">
        <v>808.66</v>
      </c>
      <c r="R52" s="33">
        <v>1291.48</v>
      </c>
      <c r="S52" s="33">
        <v>1347.89</v>
      </c>
      <c r="T52" s="33">
        <v>1497.92</v>
      </c>
      <c r="U52" s="33">
        <v>1674.26</v>
      </c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251</v>
      </c>
      <c r="D53" s="50" t="s">
        <v>42</v>
      </c>
      <c r="E53" s="32" t="s">
        <v>3</v>
      </c>
      <c r="F53" s="32" t="s">
        <v>291</v>
      </c>
      <c r="G53" s="33">
        <v>0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f>0.00+9.91</f>
        <v>9.91</v>
      </c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251</v>
      </c>
      <c r="D54" s="50" t="s">
        <v>42</v>
      </c>
      <c r="E54" s="32" t="s">
        <v>3</v>
      </c>
      <c r="F54" s="32" t="s">
        <v>292</v>
      </c>
      <c r="G54" s="32"/>
      <c r="H54" s="32"/>
      <c r="I54" s="32"/>
      <c r="J54" s="33">
        <v>36.13</v>
      </c>
      <c r="K54" s="33">
        <v>109.58</v>
      </c>
      <c r="L54" s="33">
        <v>119.54</v>
      </c>
      <c r="M54" s="33">
        <v>103.34</v>
      </c>
      <c r="N54" s="33">
        <v>27.07</v>
      </c>
      <c r="O54" s="33">
        <v>27.07</v>
      </c>
      <c r="P54" s="33">
        <v>27.07</v>
      </c>
      <c r="Q54" s="33">
        <v>27.07</v>
      </c>
      <c r="R54" s="33">
        <v>27.07</v>
      </c>
      <c r="S54" s="33">
        <v>27.07</v>
      </c>
      <c r="T54" s="33">
        <v>27.07</v>
      </c>
      <c r="U54" s="33">
        <v>27.07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251</v>
      </c>
      <c r="D55" s="50" t="s">
        <v>42</v>
      </c>
      <c r="E55" s="32" t="s">
        <v>3</v>
      </c>
      <c r="F55" s="32" t="s">
        <v>293</v>
      </c>
      <c r="G55" s="33">
        <v>0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>
        <f>0.00+9.91</f>
        <v>9.91</v>
      </c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251</v>
      </c>
      <c r="D56" s="50" t="s">
        <v>42</v>
      </c>
      <c r="E56" s="32" t="s">
        <v>3</v>
      </c>
      <c r="F56" s="32" t="s">
        <v>294</v>
      </c>
      <c r="G56" s="32"/>
      <c r="H56" s="32"/>
      <c r="I56" s="32"/>
      <c r="J56" s="33">
        <v>33.76</v>
      </c>
      <c r="K56" s="33">
        <v>32.65</v>
      </c>
      <c r="L56" s="33">
        <v>77.96</v>
      </c>
      <c r="M56" s="33">
        <v>73.92</v>
      </c>
      <c r="N56" s="33">
        <v>27.56</v>
      </c>
      <c r="O56" s="33">
        <v>28.04</v>
      </c>
      <c r="P56" s="33">
        <v>28</v>
      </c>
      <c r="Q56" s="33">
        <v>27.07</v>
      </c>
      <c r="R56" s="33">
        <v>27.07</v>
      </c>
      <c r="S56" s="33">
        <v>27.07</v>
      </c>
      <c r="T56" s="33">
        <v>27.07</v>
      </c>
      <c r="U56" s="33">
        <v>71.34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251</v>
      </c>
      <c r="D57" s="50" t="s">
        <v>42</v>
      </c>
      <c r="E57" s="32" t="s">
        <v>3</v>
      </c>
      <c r="F57" s="32" t="s">
        <v>295</v>
      </c>
      <c r="G57" s="32"/>
      <c r="H57" s="32"/>
      <c r="I57" s="32"/>
      <c r="J57" s="33">
        <v>27.07</v>
      </c>
      <c r="K57" s="33">
        <v>33.76</v>
      </c>
      <c r="L57" s="33">
        <v>41.69</v>
      </c>
      <c r="M57" s="33">
        <v>46.42</v>
      </c>
      <c r="N57" s="33">
        <v>38.78</v>
      </c>
      <c r="O57" s="33">
        <v>27.07</v>
      </c>
      <c r="P57" s="33">
        <v>27.07</v>
      </c>
      <c r="Q57" s="33">
        <v>27.07</v>
      </c>
      <c r="R57" s="33">
        <v>27.07</v>
      </c>
      <c r="S57" s="33">
        <v>27.07</v>
      </c>
      <c r="T57" s="33">
        <f>0.00+27.07</f>
        <v>27.07</v>
      </c>
      <c r="U57" s="33">
        <v>27.63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251</v>
      </c>
      <c r="D58" s="50" t="s">
        <v>42</v>
      </c>
      <c r="E58" s="32" t="s">
        <v>3</v>
      </c>
      <c r="F58" s="32" t="s">
        <v>296</v>
      </c>
      <c r="G58" s="33">
        <v>0</v>
      </c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>
        <f>0.00+9.91</f>
        <v>9.91</v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251</v>
      </c>
      <c r="D59" s="50" t="s">
        <v>42</v>
      </c>
      <c r="E59" s="32" t="s">
        <v>3</v>
      </c>
      <c r="F59" s="32" t="s">
        <v>297</v>
      </c>
      <c r="G59" s="32"/>
      <c r="H59" s="32"/>
      <c r="I59" s="32"/>
      <c r="J59" s="33">
        <v>34.49</v>
      </c>
      <c r="K59" s="33">
        <v>1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251</v>
      </c>
      <c r="D60" s="50" t="s">
        <v>42</v>
      </c>
      <c r="E60" s="32" t="s">
        <v>3</v>
      </c>
      <c r="F60" s="32" t="s">
        <v>298</v>
      </c>
      <c r="G60" s="33">
        <f>0.00+0.00+0.00</f>
        <v>0</v>
      </c>
      <c r="H60" s="32"/>
      <c r="I60" s="32"/>
      <c r="J60" s="32"/>
      <c r="K60" s="32"/>
      <c r="L60" s="32"/>
      <c r="M60" s="32"/>
      <c r="N60" s="33">
        <f>9.91+0.00</f>
        <v>9.91</v>
      </c>
      <c r="O60" s="33">
        <v>47.95</v>
      </c>
      <c r="P60" s="33">
        <v>27.07</v>
      </c>
      <c r="Q60" s="33">
        <v>27.07</v>
      </c>
      <c r="R60" s="33">
        <v>27.07</v>
      </c>
      <c r="S60" s="33">
        <v>27.07</v>
      </c>
      <c r="T60" s="33">
        <v>27.07</v>
      </c>
      <c r="U60" s="33">
        <v>27.07</v>
      </c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251</v>
      </c>
      <c r="D61" s="50" t="s">
        <v>42</v>
      </c>
      <c r="E61" s="32" t="s">
        <v>3</v>
      </c>
      <c r="F61" s="32" t="s">
        <v>299</v>
      </c>
      <c r="G61" s="33">
        <v>0</v>
      </c>
      <c r="H61" s="32"/>
      <c r="I61" s="32"/>
      <c r="J61" s="32"/>
      <c r="K61" s="32"/>
      <c r="L61" s="32"/>
      <c r="M61" s="32"/>
      <c r="N61" s="32"/>
      <c r="O61" s="32"/>
      <c r="P61" s="32"/>
      <c r="Q61" s="33">
        <f>0.00+27.07</f>
        <v>27.07</v>
      </c>
      <c r="R61" s="33">
        <v>27.07</v>
      </c>
      <c r="S61" s="33">
        <v>27.07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251</v>
      </c>
      <c r="D62" s="50" t="s">
        <v>42</v>
      </c>
      <c r="E62" s="32" t="s">
        <v>3</v>
      </c>
      <c r="F62" s="32" t="s">
        <v>300</v>
      </c>
      <c r="G62" s="32"/>
      <c r="H62" s="32"/>
      <c r="I62" s="32"/>
      <c r="J62" s="33">
        <v>101.94</v>
      </c>
      <c r="K62" s="33">
        <v>119.08</v>
      </c>
      <c r="L62" s="33">
        <v>144.1</v>
      </c>
      <c r="M62" s="33">
        <v>165.25</v>
      </c>
      <c r="N62" s="33">
        <v>160.68</v>
      </c>
      <c r="O62" s="33">
        <v>200.24</v>
      </c>
      <c r="P62" s="33">
        <v>191.43</v>
      </c>
      <c r="Q62" s="33">
        <v>187.22</v>
      </c>
      <c r="R62" s="33">
        <v>211.68</v>
      </c>
      <c r="S62" s="33">
        <v>191.43</v>
      </c>
      <c r="T62" s="33">
        <v>165.8</v>
      </c>
      <c r="U62" s="33">
        <v>153.42</v>
      </c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251</v>
      </c>
      <c r="D63" s="50" t="s">
        <v>42</v>
      </c>
      <c r="E63" s="32" t="s">
        <v>3</v>
      </c>
      <c r="F63" s="32" t="s">
        <v>301</v>
      </c>
      <c r="G63" s="32"/>
      <c r="H63" s="32"/>
      <c r="I63" s="32"/>
      <c r="J63" s="32"/>
      <c r="K63" s="32"/>
      <c r="L63" s="32"/>
      <c r="M63" s="32"/>
      <c r="N63" s="32"/>
      <c r="O63" s="32"/>
      <c r="P63" s="33">
        <v>75.5</v>
      </c>
      <c r="Q63" s="33">
        <f>71.25+0.00</f>
        <v>71.25</v>
      </c>
      <c r="R63" s="33">
        <v>65.1</v>
      </c>
      <c r="S63" s="33">
        <v>65.76</v>
      </c>
      <c r="T63" s="33">
        <v>53.8</v>
      </c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251</v>
      </c>
      <c r="D64" s="50" t="s">
        <v>42</v>
      </c>
      <c r="E64" s="32" t="s">
        <v>3</v>
      </c>
      <c r="F64" s="32" t="s">
        <v>302</v>
      </c>
      <c r="G64" s="32"/>
      <c r="H64" s="32"/>
      <c r="I64" s="32"/>
      <c r="J64" s="33">
        <v>27.07</v>
      </c>
      <c r="K64" s="33">
        <v>27.07</v>
      </c>
      <c r="L64" s="33">
        <v>27.07</v>
      </c>
      <c r="M64" s="33">
        <v>27.07</v>
      </c>
      <c r="N64" s="33">
        <v>27.07</v>
      </c>
      <c r="O64" s="33">
        <v>27.07</v>
      </c>
      <c r="P64" s="33">
        <v>27.07</v>
      </c>
      <c r="Q64" s="33">
        <v>27.07</v>
      </c>
      <c r="R64" s="33">
        <v>27.07</v>
      </c>
      <c r="S64" s="33">
        <v>27.07</v>
      </c>
      <c r="T64" s="33">
        <v>27.07</v>
      </c>
      <c r="U64" s="33">
        <f>27.07+1.80</f>
        <v>28.87</v>
      </c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251</v>
      </c>
      <c r="D65" s="50" t="s">
        <v>42</v>
      </c>
      <c r="E65" s="32" t="s">
        <v>3</v>
      </c>
      <c r="F65" s="32" t="s">
        <v>303</v>
      </c>
      <c r="G65" s="32"/>
      <c r="H65" s="32"/>
      <c r="I65" s="32"/>
      <c r="J65" s="33">
        <v>28.81</v>
      </c>
      <c r="K65" s="33">
        <v>125.66</v>
      </c>
      <c r="L65" s="33">
        <v>132.03</v>
      </c>
      <c r="M65" s="33">
        <v>127.32</v>
      </c>
      <c r="N65" s="33">
        <v>27.07</v>
      </c>
      <c r="O65" s="33">
        <v>27.07</v>
      </c>
      <c r="P65" s="33">
        <v>27.07</v>
      </c>
      <c r="Q65" s="33">
        <v>27.07</v>
      </c>
      <c r="R65" s="33">
        <v>27.07</v>
      </c>
      <c r="S65" s="33">
        <v>27.07</v>
      </c>
      <c r="T65" s="33">
        <v>37.72</v>
      </c>
      <c r="U65" s="33">
        <v>100.02</v>
      </c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251</v>
      </c>
      <c r="D66" s="50" t="s">
        <v>42</v>
      </c>
      <c r="E66" s="32" t="s">
        <v>3</v>
      </c>
      <c r="F66" s="32" t="s">
        <v>304</v>
      </c>
      <c r="G66" s="32"/>
      <c r="H66" s="32"/>
      <c r="I66" s="32"/>
      <c r="J66" s="33">
        <v>29.71</v>
      </c>
      <c r="K66" s="33">
        <v>56.98</v>
      </c>
      <c r="L66" s="33">
        <v>84.06</v>
      </c>
      <c r="M66" s="33">
        <v>88.89</v>
      </c>
      <c r="N66" s="33">
        <v>65.13</v>
      </c>
      <c r="O66" s="33">
        <v>27.94</v>
      </c>
      <c r="P66" s="33">
        <v>27.88</v>
      </c>
      <c r="Q66" s="33">
        <v>27.77</v>
      </c>
      <c r="R66" s="33">
        <v>27.94</v>
      </c>
      <c r="S66" s="33">
        <v>27.85</v>
      </c>
      <c r="T66" s="33">
        <v>27.85</v>
      </c>
      <c r="U66" s="33">
        <v>27.94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251</v>
      </c>
      <c r="D67" s="50" t="s">
        <v>42</v>
      </c>
      <c r="E67" s="32" t="s">
        <v>3</v>
      </c>
      <c r="F67" s="32" t="s">
        <v>305</v>
      </c>
      <c r="G67" s="33">
        <f>0.00+0.00</f>
        <v>0</v>
      </c>
      <c r="H67" s="32"/>
      <c r="I67" s="32"/>
      <c r="J67" s="32"/>
      <c r="K67" s="32"/>
      <c r="L67" s="33">
        <v>0</v>
      </c>
      <c r="M67" s="32"/>
      <c r="N67" s="33">
        <v>28.29</v>
      </c>
      <c r="O67" s="33">
        <v>28.36</v>
      </c>
      <c r="P67" s="33">
        <v>28.26</v>
      </c>
      <c r="Q67" s="33">
        <v>28.2</v>
      </c>
      <c r="R67" s="33">
        <v>28.36</v>
      </c>
      <c r="S67" s="33">
        <v>28.26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251</v>
      </c>
      <c r="D68" s="50" t="s">
        <v>42</v>
      </c>
      <c r="E68" s="32" t="s">
        <v>3</v>
      </c>
      <c r="F68" s="32" t="s">
        <v>306</v>
      </c>
      <c r="G68" s="32"/>
      <c r="H68" s="32"/>
      <c r="I68" s="32"/>
      <c r="J68" s="33">
        <v>62.82</v>
      </c>
      <c r="K68" s="33">
        <v>85.52</v>
      </c>
      <c r="L68" s="33">
        <v>68.79</v>
      </c>
      <c r="M68" s="33">
        <v>71.91</v>
      </c>
      <c r="N68" s="33">
        <v>27.07</v>
      </c>
      <c r="O68" s="33">
        <v>27.07</v>
      </c>
      <c r="P68" s="33">
        <v>27.07</v>
      </c>
      <c r="Q68" s="33">
        <v>27.07</v>
      </c>
      <c r="R68" s="33">
        <f>27.07+3.61</f>
        <v>30.68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251</v>
      </c>
      <c r="D69" s="50" t="s">
        <v>42</v>
      </c>
      <c r="E69" s="32" t="s">
        <v>3</v>
      </c>
      <c r="F69" s="32" t="s">
        <v>307</v>
      </c>
      <c r="G69" s="32"/>
      <c r="H69" s="32"/>
      <c r="I69" s="32"/>
      <c r="J69" s="33">
        <v>116.3</v>
      </c>
      <c r="K69" s="33">
        <v>127.91</v>
      </c>
      <c r="L69" s="33">
        <v>95.88</v>
      </c>
      <c r="M69" s="33">
        <v>37.32</v>
      </c>
      <c r="N69" s="33">
        <v>27.07</v>
      </c>
      <c r="O69" s="33">
        <v>27.07</v>
      </c>
      <c r="P69" s="33">
        <v>27.07</v>
      </c>
      <c r="Q69" s="33">
        <v>27.07</v>
      </c>
      <c r="R69" s="33">
        <v>27.07</v>
      </c>
      <c r="S69" s="33">
        <v>27.07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251</v>
      </c>
      <c r="D70" s="50" t="s">
        <v>42</v>
      </c>
      <c r="E70" s="32" t="s">
        <v>3</v>
      </c>
      <c r="F70" s="32" t="s">
        <v>308</v>
      </c>
      <c r="G70" s="32"/>
      <c r="H70" s="32"/>
      <c r="I70" s="32"/>
      <c r="J70" s="33">
        <v>118.85</v>
      </c>
      <c r="K70" s="33">
        <v>121.93</v>
      </c>
      <c r="L70" s="33">
        <v>124.99</v>
      </c>
      <c r="M70" s="33">
        <v>131.23</v>
      </c>
      <c r="N70" s="33">
        <v>109.88</v>
      </c>
      <c r="O70" s="33">
        <v>27.96</v>
      </c>
      <c r="P70" s="33">
        <v>27.94</v>
      </c>
      <c r="Q70" s="33">
        <v>27.85</v>
      </c>
      <c r="R70" s="33">
        <v>27.96</v>
      </c>
      <c r="S70" s="33">
        <v>27.85</v>
      </c>
      <c r="T70" s="33">
        <v>37.26</v>
      </c>
      <c r="U70" s="33">
        <v>128.59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251</v>
      </c>
      <c r="D71" s="50" t="s">
        <v>42</v>
      </c>
      <c r="E71" s="32" t="s">
        <v>3</v>
      </c>
      <c r="F71" s="32" t="s">
        <v>309</v>
      </c>
      <c r="G71" s="32"/>
      <c r="H71" s="32"/>
      <c r="I71" s="32"/>
      <c r="J71" s="33">
        <v>27.07</v>
      </c>
      <c r="K71" s="33">
        <v>32.81</v>
      </c>
      <c r="L71" s="33">
        <v>27.07</v>
      </c>
      <c r="M71" s="33">
        <v>27.07</v>
      </c>
      <c r="N71" s="33">
        <v>27.07</v>
      </c>
      <c r="O71" s="33">
        <v>27.07</v>
      </c>
      <c r="P71" s="33">
        <v>27.07</v>
      </c>
      <c r="Q71" s="33">
        <v>27.07</v>
      </c>
      <c r="R71" s="33">
        <v>27.07</v>
      </c>
      <c r="S71" s="33">
        <v>27.07</v>
      </c>
      <c r="T71" s="33">
        <v>27.07</v>
      </c>
      <c r="U71" s="33">
        <v>27.07</v>
      </c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251</v>
      </c>
      <c r="D72" s="50" t="s">
        <v>42</v>
      </c>
      <c r="E72" s="32" t="s">
        <v>3</v>
      </c>
      <c r="F72" s="32" t="s">
        <v>310</v>
      </c>
      <c r="G72" s="32"/>
      <c r="H72" s="32"/>
      <c r="I72" s="32"/>
      <c r="J72" s="32"/>
      <c r="K72" s="32"/>
      <c r="L72" s="32"/>
      <c r="M72" s="32"/>
      <c r="N72" s="33">
        <v>25.08</v>
      </c>
      <c r="O72" s="33">
        <v>282.26</v>
      </c>
      <c r="P72" s="33">
        <v>27.07</v>
      </c>
      <c r="Q72" s="33">
        <v>27.07</v>
      </c>
      <c r="R72" s="33">
        <v>27.07</v>
      </c>
      <c r="S72" s="33">
        <f>27.07+2.70</f>
        <v>29.77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251</v>
      </c>
      <c r="D73" s="50" t="s">
        <v>42</v>
      </c>
      <c r="E73" s="32" t="s">
        <v>3</v>
      </c>
      <c r="F73" s="32" t="s">
        <v>311</v>
      </c>
      <c r="G73" s="32"/>
      <c r="H73" s="32"/>
      <c r="I73" s="32"/>
      <c r="J73" s="33">
        <v>27.8</v>
      </c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251</v>
      </c>
      <c r="D74" s="50" t="s">
        <v>42</v>
      </c>
      <c r="E74" s="32" t="s">
        <v>3</v>
      </c>
      <c r="F74" s="32" t="s">
        <v>312</v>
      </c>
      <c r="G74" s="32"/>
      <c r="H74" s="32"/>
      <c r="I74" s="32"/>
      <c r="J74" s="33">
        <v>131.03</v>
      </c>
      <c r="K74" s="33">
        <v>142.64</v>
      </c>
      <c r="L74" s="33">
        <v>147.35</v>
      </c>
      <c r="M74" s="33">
        <v>131.98</v>
      </c>
      <c r="N74" s="33">
        <v>27.07</v>
      </c>
      <c r="O74" s="33">
        <v>27.07</v>
      </c>
      <c r="P74" s="33">
        <v>27.07</v>
      </c>
      <c r="Q74" s="33">
        <v>27.07</v>
      </c>
      <c r="R74" s="33">
        <v>27.07</v>
      </c>
      <c r="S74" s="33">
        <v>27.07</v>
      </c>
      <c r="T74" s="33">
        <v>27.07</v>
      </c>
      <c r="U74" s="33">
        <v>33.09</v>
      </c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251</v>
      </c>
      <c r="D75" s="50" t="s">
        <v>42</v>
      </c>
      <c r="E75" s="32" t="s">
        <v>3</v>
      </c>
      <c r="F75" s="32" t="s">
        <v>313</v>
      </c>
      <c r="G75" s="32"/>
      <c r="H75" s="32"/>
      <c r="I75" s="32"/>
      <c r="J75" s="33">
        <v>28.31</v>
      </c>
      <c r="K75" s="33">
        <v>35.89</v>
      </c>
      <c r="L75" s="33">
        <v>34.16</v>
      </c>
      <c r="M75" s="33">
        <v>31.12</v>
      </c>
      <c r="N75" s="33">
        <v>27.07</v>
      </c>
      <c r="O75" s="33">
        <v>27.07</v>
      </c>
      <c r="P75" s="33">
        <v>27.07</v>
      </c>
      <c r="Q75" s="33">
        <v>27.07</v>
      </c>
      <c r="R75" s="33">
        <v>27.07</v>
      </c>
      <c r="S75" s="33">
        <v>27.07</v>
      </c>
      <c r="T75" s="33">
        <f>34.13+6.94</f>
        <v>41.07</v>
      </c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251</v>
      </c>
      <c r="D76" s="50" t="s">
        <v>42</v>
      </c>
      <c r="E76" s="32" t="s">
        <v>3</v>
      </c>
      <c r="F76" s="32" t="s">
        <v>314</v>
      </c>
      <c r="G76" s="32"/>
      <c r="H76" s="32"/>
      <c r="I76" s="32"/>
      <c r="J76" s="32"/>
      <c r="K76" s="32"/>
      <c r="L76" s="32"/>
      <c r="M76" s="32"/>
      <c r="N76" s="33">
        <v>9.91</v>
      </c>
      <c r="O76" s="33">
        <f>0.00+28.29</f>
        <v>28.29</v>
      </c>
      <c r="P76" s="33">
        <v>28.29</v>
      </c>
      <c r="Q76" s="33">
        <v>28.13</v>
      </c>
      <c r="R76" s="33">
        <v>28.32</v>
      </c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251</v>
      </c>
      <c r="D77" s="50" t="s">
        <v>42</v>
      </c>
      <c r="E77" s="32" t="s">
        <v>3</v>
      </c>
      <c r="F77" s="32" t="s">
        <v>315</v>
      </c>
      <c r="G77" s="32"/>
      <c r="H77" s="32"/>
      <c r="I77" s="32"/>
      <c r="J77" s="33">
        <v>82.87</v>
      </c>
      <c r="K77" s="33">
        <v>91.4</v>
      </c>
      <c r="L77" s="33">
        <v>95.08</v>
      </c>
      <c r="M77" s="33">
        <v>85.86</v>
      </c>
      <c r="N77" s="33">
        <v>28.48</v>
      </c>
      <c r="O77" s="33">
        <v>27.07</v>
      </c>
      <c r="P77" s="33">
        <v>27.07</v>
      </c>
      <c r="Q77" s="33">
        <v>27.07</v>
      </c>
      <c r="R77" s="33">
        <v>27.07</v>
      </c>
      <c r="S77" s="33">
        <v>35.13</v>
      </c>
      <c r="T77" s="33">
        <v>34.62</v>
      </c>
      <c r="U77" s="33">
        <v>29.13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251</v>
      </c>
      <c r="D78" s="50" t="s">
        <v>42</v>
      </c>
      <c r="E78" s="32" t="s">
        <v>3</v>
      </c>
      <c r="F78" s="32" t="s">
        <v>316</v>
      </c>
      <c r="G78" s="32"/>
      <c r="H78" s="32"/>
      <c r="I78" s="32"/>
      <c r="J78" s="33">
        <v>33.36</v>
      </c>
      <c r="K78" s="33">
        <v>84.73</v>
      </c>
      <c r="L78" s="33">
        <v>64.93</v>
      </c>
      <c r="M78" s="33">
        <v>42.14</v>
      </c>
      <c r="N78" s="33">
        <v>32.22</v>
      </c>
      <c r="O78" s="33">
        <v>27.07</v>
      </c>
      <c r="P78" s="33">
        <v>27.07</v>
      </c>
      <c r="Q78" s="33">
        <v>27.07</v>
      </c>
      <c r="R78" s="33">
        <v>27.24</v>
      </c>
      <c r="S78" s="33">
        <v>27.07</v>
      </c>
      <c r="T78" s="33">
        <v>27.07</v>
      </c>
      <c r="U78" s="33">
        <v>27.07</v>
      </c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251</v>
      </c>
      <c r="D79" s="50" t="s">
        <v>42</v>
      </c>
      <c r="E79" s="32" t="s">
        <v>3</v>
      </c>
      <c r="F79" s="32" t="s">
        <v>317</v>
      </c>
      <c r="G79" s="32"/>
      <c r="H79" s="32"/>
      <c r="I79" s="32"/>
      <c r="J79" s="33">
        <v>27.07</v>
      </c>
      <c r="K79" s="33">
        <v>35.32</v>
      </c>
      <c r="L79" s="33">
        <v>94.81</v>
      </c>
      <c r="M79" s="33">
        <v>33.43</v>
      </c>
      <c r="N79" s="33">
        <v>27.07</v>
      </c>
      <c r="O79" s="33">
        <v>27.07</v>
      </c>
      <c r="P79" s="33">
        <v>27.07</v>
      </c>
      <c r="Q79" s="33">
        <v>27.07</v>
      </c>
      <c r="R79" s="33">
        <v>27.07</v>
      </c>
      <c r="S79" s="33">
        <v>27.07</v>
      </c>
      <c r="T79" s="33">
        <v>20.76</v>
      </c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251</v>
      </c>
      <c r="D80" s="50" t="s">
        <v>42</v>
      </c>
      <c r="E80" s="32" t="s">
        <v>3</v>
      </c>
      <c r="F80" s="32" t="s">
        <v>318</v>
      </c>
      <c r="G80" s="32"/>
      <c r="H80" s="32"/>
      <c r="I80" s="32"/>
      <c r="J80" s="33">
        <v>111.53</v>
      </c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251</v>
      </c>
      <c r="D81" s="50" t="s">
        <v>42</v>
      </c>
      <c r="E81" s="32" t="s">
        <v>3</v>
      </c>
      <c r="F81" s="32" t="s">
        <v>319</v>
      </c>
      <c r="G81" s="32"/>
      <c r="H81" s="32"/>
      <c r="I81" s="32"/>
      <c r="J81" s="33">
        <v>27.18</v>
      </c>
      <c r="K81" s="33">
        <v>122.6</v>
      </c>
      <c r="L81" s="33">
        <v>131.87</v>
      </c>
      <c r="M81" s="33">
        <v>156.6</v>
      </c>
      <c r="N81" s="33">
        <f>28.90+0.00</f>
        <v>28.9</v>
      </c>
      <c r="O81" s="33">
        <v>28.66</v>
      </c>
      <c r="P81" s="33">
        <v>27.07</v>
      </c>
      <c r="Q81" s="33">
        <v>28.13</v>
      </c>
      <c r="R81" s="33">
        <v>28.04</v>
      </c>
      <c r="S81" s="33">
        <v>27.49</v>
      </c>
      <c r="T81" s="33">
        <v>27.85</v>
      </c>
      <c r="U81" s="33">
        <v>31.31</v>
      </c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251</v>
      </c>
      <c r="D82" s="50" t="s">
        <v>42</v>
      </c>
      <c r="E82" s="32" t="s">
        <v>3</v>
      </c>
      <c r="F82" s="32" t="s">
        <v>320</v>
      </c>
      <c r="G82" s="33">
        <v>0</v>
      </c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>
        <f>0.00+9.91</f>
        <v>9.91</v>
      </c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251</v>
      </c>
      <c r="D83" s="50" t="s">
        <v>42</v>
      </c>
      <c r="E83" s="32" t="s">
        <v>3</v>
      </c>
      <c r="F83" s="32" t="s">
        <v>321</v>
      </c>
      <c r="G83" s="32"/>
      <c r="H83" s="32"/>
      <c r="I83" s="32"/>
      <c r="J83" s="33">
        <v>82.87</v>
      </c>
      <c r="K83" s="33">
        <v>132.16</v>
      </c>
      <c r="L83" s="33">
        <v>83.02</v>
      </c>
      <c r="M83" s="33">
        <v>35.18</v>
      </c>
      <c r="N83" s="33">
        <v>99.9</v>
      </c>
      <c r="O83" s="33">
        <v>101.68</v>
      </c>
      <c r="P83" s="33">
        <v>27.07</v>
      </c>
      <c r="Q83" s="33">
        <v>31.38</v>
      </c>
      <c r="R83" s="33">
        <v>27.07</v>
      </c>
      <c r="S83" s="33">
        <v>30.24</v>
      </c>
      <c r="T83" s="33">
        <v>29.02</v>
      </c>
      <c r="U83" s="33">
        <v>31.66</v>
      </c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251</v>
      </c>
      <c r="D84" s="50" t="s">
        <v>42</v>
      </c>
      <c r="E84" s="32" t="s">
        <v>3</v>
      </c>
      <c r="F84" s="32" t="s">
        <v>322</v>
      </c>
      <c r="G84" s="32"/>
      <c r="H84" s="32"/>
      <c r="I84" s="32"/>
      <c r="J84" s="33">
        <v>27.07</v>
      </c>
      <c r="K84" s="33">
        <v>47.26</v>
      </c>
      <c r="L84" s="33">
        <v>47.41</v>
      </c>
      <c r="M84" s="33">
        <v>32.91</v>
      </c>
      <c r="N84" s="33">
        <v>27.15</v>
      </c>
      <c r="O84" s="33">
        <v>27.07</v>
      </c>
      <c r="P84" s="33">
        <v>27.49</v>
      </c>
      <c r="Q84" s="33">
        <v>27.5</v>
      </c>
      <c r="R84" s="33">
        <v>27.44</v>
      </c>
      <c r="S84" s="33">
        <v>27.07</v>
      </c>
      <c r="T84" s="33">
        <v>27.73</v>
      </c>
      <c r="U84" s="33">
        <v>27.07</v>
      </c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251</v>
      </c>
      <c r="D85" s="50" t="s">
        <v>42</v>
      </c>
      <c r="E85" s="32" t="s">
        <v>3</v>
      </c>
      <c r="F85" s="32" t="s">
        <v>323</v>
      </c>
      <c r="G85" s="32"/>
      <c r="H85" s="32"/>
      <c r="I85" s="32"/>
      <c r="J85" s="32"/>
      <c r="K85" s="32"/>
      <c r="L85" s="32"/>
      <c r="M85" s="32"/>
      <c r="N85" s="32"/>
      <c r="O85" s="32"/>
      <c r="P85" s="33">
        <f>0.00+0.00</f>
        <v>0</v>
      </c>
      <c r="Q85" s="33">
        <v>27.07</v>
      </c>
      <c r="R85" s="33">
        <v>27.07</v>
      </c>
      <c r="S85" s="33">
        <v>27.07</v>
      </c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251</v>
      </c>
      <c r="D86" s="50" t="s">
        <v>42</v>
      </c>
      <c r="E86" s="32" t="s">
        <v>3</v>
      </c>
      <c r="F86" s="32" t="s">
        <v>324</v>
      </c>
      <c r="G86" s="32"/>
      <c r="H86" s="32"/>
      <c r="I86" s="32"/>
      <c r="J86" s="32"/>
      <c r="K86" s="32"/>
      <c r="L86" s="32"/>
      <c r="M86" s="32"/>
      <c r="N86" s="32"/>
      <c r="O86" s="32"/>
      <c r="P86" s="33">
        <f>0.00+30.34</f>
        <v>30.34</v>
      </c>
      <c r="Q86" s="33">
        <v>33.04</v>
      </c>
      <c r="R86" s="33">
        <v>27.88</v>
      </c>
      <c r="S86" s="33">
        <v>27.85</v>
      </c>
      <c r="T86" s="33">
        <v>27.85</v>
      </c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251</v>
      </c>
      <c r="D87" s="50" t="s">
        <v>42</v>
      </c>
      <c r="E87" s="32" t="s">
        <v>3</v>
      </c>
      <c r="F87" s="32" t="s">
        <v>325</v>
      </c>
      <c r="G87" s="33">
        <v>0</v>
      </c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>
        <f>9.91+0.00</f>
        <v>9.91</v>
      </c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251</v>
      </c>
      <c r="D88" s="50" t="s">
        <v>42</v>
      </c>
      <c r="E88" s="32" t="s">
        <v>3</v>
      </c>
      <c r="F88" s="32" t="s">
        <v>326</v>
      </c>
      <c r="G88" s="33">
        <v>0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>
        <f>0.00+9.91</f>
        <v>9.91</v>
      </c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251</v>
      </c>
      <c r="D89" s="50" t="s">
        <v>42</v>
      </c>
      <c r="E89" s="32" t="s">
        <v>3</v>
      </c>
      <c r="F89" s="32" t="s">
        <v>327</v>
      </c>
      <c r="G89" s="33">
        <v>0</v>
      </c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>
        <f>0.00+9.91</f>
        <v>9.91</v>
      </c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251</v>
      </c>
      <c r="D90" s="50" t="s">
        <v>42</v>
      </c>
      <c r="E90" s="32" t="s">
        <v>3</v>
      </c>
      <c r="F90" s="32" t="s">
        <v>328</v>
      </c>
      <c r="G90" s="32"/>
      <c r="H90" s="32"/>
      <c r="I90" s="32"/>
      <c r="J90" s="33">
        <v>53.43</v>
      </c>
      <c r="K90" s="33">
        <v>70.36</v>
      </c>
      <c r="L90" s="33">
        <v>61.08</v>
      </c>
      <c r="M90" s="33">
        <v>58.65</v>
      </c>
      <c r="N90" s="33">
        <v>38.54</v>
      </c>
      <c r="O90" s="33">
        <v>35.51</v>
      </c>
      <c r="P90" s="33">
        <v>36.45</v>
      </c>
      <c r="Q90" s="33">
        <v>55.95</v>
      </c>
      <c r="R90" s="33">
        <v>75.76</v>
      </c>
      <c r="S90" s="33">
        <v>69.85</v>
      </c>
      <c r="T90" s="33">
        <v>72.72</v>
      </c>
      <c r="U90" s="33">
        <v>59.58</v>
      </c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251</v>
      </c>
      <c r="D91" s="50" t="s">
        <v>42</v>
      </c>
      <c r="E91" s="32" t="s">
        <v>3</v>
      </c>
      <c r="F91" s="32" t="s">
        <v>329</v>
      </c>
      <c r="G91" s="33">
        <v>0</v>
      </c>
      <c r="H91" s="32"/>
      <c r="I91" s="32"/>
      <c r="J91" s="32"/>
      <c r="K91" s="32"/>
      <c r="L91" s="32"/>
      <c r="M91" s="32"/>
      <c r="N91" s="32"/>
      <c r="O91" s="32"/>
      <c r="P91" s="32"/>
      <c r="Q91" s="33">
        <f>0.00+27.81</f>
        <v>27.81</v>
      </c>
      <c r="R91" s="33">
        <v>27.94</v>
      </c>
      <c r="S91" s="33">
        <v>27.8</v>
      </c>
      <c r="T91" s="33">
        <v>27.88</v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251</v>
      </c>
      <c r="D92" s="50" t="s">
        <v>42</v>
      </c>
      <c r="E92" s="32" t="s">
        <v>3</v>
      </c>
      <c r="F92" s="32" t="s">
        <v>330</v>
      </c>
      <c r="G92" s="32"/>
      <c r="H92" s="32"/>
      <c r="I92" s="32"/>
      <c r="J92" s="33">
        <v>185.03</v>
      </c>
      <c r="K92" s="33">
        <v>210.17</v>
      </c>
      <c r="L92" s="33">
        <v>211.36</v>
      </c>
      <c r="M92" s="33">
        <v>206.63</v>
      </c>
      <c r="N92" s="33">
        <v>206.55</v>
      </c>
      <c r="O92" s="33">
        <v>338.02</v>
      </c>
      <c r="P92" s="33">
        <v>398.23</v>
      </c>
      <c r="Q92" s="33">
        <v>380.92</v>
      </c>
      <c r="R92" s="33">
        <v>457.12</v>
      </c>
      <c r="S92" s="33">
        <v>384.42</v>
      </c>
      <c r="T92" s="33">
        <v>265.32</v>
      </c>
      <c r="U92" s="33">
        <v>228.25</v>
      </c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251</v>
      </c>
      <c r="D93" s="50" t="s">
        <v>42</v>
      </c>
      <c r="E93" s="32" t="s">
        <v>3</v>
      </c>
      <c r="F93" s="32" t="s">
        <v>331</v>
      </c>
      <c r="G93" s="33">
        <v>0</v>
      </c>
      <c r="H93" s="32"/>
      <c r="I93" s="32"/>
      <c r="J93" s="33">
        <v>0</v>
      </c>
      <c r="K93" s="33">
        <v>65.16</v>
      </c>
      <c r="L93" s="33">
        <v>65.07</v>
      </c>
      <c r="M93" s="33">
        <v>57.96</v>
      </c>
      <c r="N93" s="33">
        <v>27.07</v>
      </c>
      <c r="O93" s="33">
        <v>27.07</v>
      </c>
      <c r="P93" s="33">
        <v>27.07</v>
      </c>
      <c r="Q93" s="33">
        <v>27.07</v>
      </c>
      <c r="R93" s="33">
        <v>27.07</v>
      </c>
      <c r="S93" s="33">
        <v>27.07</v>
      </c>
      <c r="T93" s="33">
        <v>27.07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251</v>
      </c>
      <c r="D94" s="50" t="s">
        <v>42</v>
      </c>
      <c r="E94" s="32" t="s">
        <v>3</v>
      </c>
      <c r="F94" s="32" t="s">
        <v>332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>
        <v>0</v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251</v>
      </c>
      <c r="D95" s="50" t="s">
        <v>42</v>
      </c>
      <c r="E95" s="32" t="s">
        <v>3</v>
      </c>
      <c r="F95" s="32" t="s">
        <v>333</v>
      </c>
      <c r="G95" s="32"/>
      <c r="H95" s="32"/>
      <c r="I95" s="32"/>
      <c r="J95" s="33">
        <v>752.92</v>
      </c>
      <c r="K95" s="33">
        <v>698.31</v>
      </c>
      <c r="L95" s="33">
        <v>674.69</v>
      </c>
      <c r="M95" s="33">
        <v>711.55</v>
      </c>
      <c r="N95" s="33">
        <v>628.14</v>
      </c>
      <c r="O95" s="33">
        <v>604.13</v>
      </c>
      <c r="P95" s="33">
        <v>571.22</v>
      </c>
      <c r="Q95" s="33">
        <v>778.93</v>
      </c>
      <c r="R95" s="33">
        <v>604.87</v>
      </c>
      <c r="S95" s="33">
        <v>569.8</v>
      </c>
      <c r="T95" s="33">
        <v>609.59</v>
      </c>
      <c r="U95" s="33">
        <v>734.97</v>
      </c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251</v>
      </c>
      <c r="D96" s="50" t="s">
        <v>42</v>
      </c>
      <c r="E96" s="32" t="s">
        <v>3</v>
      </c>
      <c r="F96" s="32" t="s">
        <v>334</v>
      </c>
      <c r="G96" s="33">
        <v>0</v>
      </c>
      <c r="H96" s="32"/>
      <c r="I96" s="32"/>
      <c r="J96" s="32"/>
      <c r="K96" s="32"/>
      <c r="L96" s="32"/>
      <c r="M96" s="32"/>
      <c r="N96" s="32"/>
      <c r="O96" s="32"/>
      <c r="P96" s="32"/>
      <c r="Q96" s="33">
        <f>0.00+27.91</f>
        <v>27.91</v>
      </c>
      <c r="R96" s="33">
        <v>28.04</v>
      </c>
      <c r="S96" s="33">
        <v>27.94</v>
      </c>
      <c r="T96" s="33">
        <v>27.96</v>
      </c>
      <c r="U96" s="33">
        <v>28</v>
      </c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251</v>
      </c>
      <c r="D97" s="50" t="s">
        <v>42</v>
      </c>
      <c r="E97" s="32" t="s">
        <v>3</v>
      </c>
      <c r="F97" s="32" t="s">
        <v>335</v>
      </c>
      <c r="G97" s="32"/>
      <c r="H97" s="32"/>
      <c r="I97" s="32"/>
      <c r="J97" s="33">
        <v>28.31</v>
      </c>
      <c r="K97" s="33">
        <v>98.94</v>
      </c>
      <c r="L97" s="33">
        <v>111.97</v>
      </c>
      <c r="M97" s="33">
        <v>125.56</v>
      </c>
      <c r="N97" s="33">
        <v>29.92</v>
      </c>
      <c r="O97" s="33">
        <v>27.96</v>
      </c>
      <c r="P97" s="33">
        <v>29.35</v>
      </c>
      <c r="Q97" s="33">
        <v>28.16</v>
      </c>
      <c r="R97" s="33">
        <v>28.09</v>
      </c>
      <c r="S97" s="33">
        <v>27.85</v>
      </c>
      <c r="T97" s="33">
        <v>28.29</v>
      </c>
      <c r="U97" s="33">
        <v>28.6</v>
      </c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251</v>
      </c>
      <c r="D98" s="50" t="s">
        <v>42</v>
      </c>
      <c r="E98" s="32" t="s">
        <v>3</v>
      </c>
      <c r="F98" s="32" t="s">
        <v>336</v>
      </c>
      <c r="G98" s="33">
        <v>0</v>
      </c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>
        <f>9.91+0.00+5.41</f>
        <v>15.32</v>
      </c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251</v>
      </c>
      <c r="D99" s="50" t="s">
        <v>42</v>
      </c>
      <c r="E99" s="32" t="s">
        <v>3</v>
      </c>
      <c r="F99" s="32" t="s">
        <v>337</v>
      </c>
      <c r="G99" s="32"/>
      <c r="H99" s="32"/>
      <c r="I99" s="32"/>
      <c r="J99" s="33">
        <v>64.16</v>
      </c>
      <c r="K99" s="33">
        <v>70.64</v>
      </c>
      <c r="L99" s="33">
        <v>64.28</v>
      </c>
      <c r="M99" s="33">
        <v>49.8</v>
      </c>
      <c r="N99" s="33">
        <v>27.07</v>
      </c>
      <c r="O99" s="33">
        <v>27.07</v>
      </c>
      <c r="P99" s="33">
        <v>27.07</v>
      </c>
      <c r="Q99" s="33">
        <v>27.07</v>
      </c>
      <c r="R99" s="33">
        <v>27.07</v>
      </c>
      <c r="S99" s="33">
        <v>27.07</v>
      </c>
      <c r="T99" s="33">
        <v>27.07</v>
      </c>
      <c r="U99" s="33">
        <v>27.07</v>
      </c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251</v>
      </c>
      <c r="D100" s="50" t="s">
        <v>42</v>
      </c>
      <c r="E100" s="32" t="s">
        <v>3</v>
      </c>
      <c r="F100" s="32" t="s">
        <v>338</v>
      </c>
      <c r="G100" s="32"/>
      <c r="H100" s="32"/>
      <c r="I100" s="32"/>
      <c r="J100" s="33">
        <v>33.47</v>
      </c>
      <c r="K100" s="33">
        <v>38.8</v>
      </c>
      <c r="L100" s="33">
        <v>50.73</v>
      </c>
      <c r="M100" s="33">
        <v>72.53</v>
      </c>
      <c r="N100" s="33">
        <v>27.85</v>
      </c>
      <c r="O100" s="33">
        <v>27.94</v>
      </c>
      <c r="P100" s="33">
        <v>42.22</v>
      </c>
      <c r="Q100" s="33">
        <v>27.81</v>
      </c>
      <c r="R100" s="33">
        <v>27.88</v>
      </c>
      <c r="S100" s="33">
        <v>27.85</v>
      </c>
      <c r="T100" s="33">
        <v>27.85</v>
      </c>
      <c r="U100" s="33">
        <v>27.88</v>
      </c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251</v>
      </c>
      <c r="D101" s="50" t="s">
        <v>42</v>
      </c>
      <c r="E101" s="32" t="s">
        <v>3</v>
      </c>
      <c r="F101" s="32" t="s">
        <v>339</v>
      </c>
      <c r="G101" s="32"/>
      <c r="H101" s="32"/>
      <c r="I101" s="32"/>
      <c r="J101" s="32"/>
      <c r="K101" s="33">
        <v>0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251</v>
      </c>
      <c r="D102" s="50" t="s">
        <v>42</v>
      </c>
      <c r="E102" s="32" t="s">
        <v>3</v>
      </c>
      <c r="F102" s="32" t="s">
        <v>340</v>
      </c>
      <c r="G102" s="32"/>
      <c r="H102" s="32"/>
      <c r="I102" s="32"/>
      <c r="J102" s="33">
        <v>28.28</v>
      </c>
      <c r="K102" s="33">
        <v>28.18</v>
      </c>
      <c r="L102" s="33">
        <v>28.14</v>
      </c>
      <c r="M102" s="33">
        <v>28.12</v>
      </c>
      <c r="N102" s="33">
        <v>27.85</v>
      </c>
      <c r="O102" s="33">
        <v>27.94</v>
      </c>
      <c r="P102" s="33">
        <v>27.88</v>
      </c>
      <c r="Q102" s="33">
        <v>27.81</v>
      </c>
      <c r="R102" s="33">
        <v>27.94</v>
      </c>
      <c r="S102" s="33">
        <v>27.85</v>
      </c>
      <c r="T102" s="33">
        <v>27.85</v>
      </c>
      <c r="U102" s="33">
        <v>27.94</v>
      </c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251</v>
      </c>
      <c r="D103" s="50" t="s">
        <v>42</v>
      </c>
      <c r="E103" s="32" t="s">
        <v>3</v>
      </c>
      <c r="F103" s="32" t="s">
        <v>341</v>
      </c>
      <c r="G103" s="32"/>
      <c r="H103" s="32"/>
      <c r="I103" s="32"/>
      <c r="J103" s="33">
        <v>27.07</v>
      </c>
      <c r="K103" s="33">
        <v>134.29</v>
      </c>
      <c r="L103" s="33">
        <v>148.58</v>
      </c>
      <c r="M103" s="33">
        <v>120.16</v>
      </c>
      <c r="N103" s="33">
        <v>29.11</v>
      </c>
      <c r="O103" s="33">
        <v>27.07</v>
      </c>
      <c r="P103" s="33">
        <v>27.07</v>
      </c>
      <c r="Q103" s="33">
        <v>27.07</v>
      </c>
      <c r="R103" s="33">
        <v>42.56</v>
      </c>
      <c r="S103" s="33">
        <v>27.07</v>
      </c>
      <c r="T103" s="33">
        <v>27.07</v>
      </c>
      <c r="U103" s="33">
        <v>27.07</v>
      </c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251</v>
      </c>
      <c r="D104" s="50" t="s">
        <v>42</v>
      </c>
      <c r="E104" s="32" t="s">
        <v>3</v>
      </c>
      <c r="F104" s="32" t="s">
        <v>342</v>
      </c>
      <c r="G104" s="32"/>
      <c r="H104" s="32"/>
      <c r="I104" s="32"/>
      <c r="J104" s="33">
        <v>27.07</v>
      </c>
      <c r="K104" s="33">
        <v>27.07</v>
      </c>
      <c r="L104" s="33">
        <v>27.07</v>
      </c>
      <c r="M104" s="33">
        <v>27.07</v>
      </c>
      <c r="N104" s="33">
        <v>27.07</v>
      </c>
      <c r="O104" s="33">
        <v>27.07</v>
      </c>
      <c r="P104" s="33">
        <v>27.07</v>
      </c>
      <c r="Q104" s="33">
        <v>27.07</v>
      </c>
      <c r="R104" s="33">
        <v>27.07</v>
      </c>
      <c r="S104" s="33">
        <v>27.07</v>
      </c>
      <c r="T104" s="33">
        <v>27.07</v>
      </c>
      <c r="U104" s="33">
        <f>27.07+1.80</f>
        <v>28.87</v>
      </c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251</v>
      </c>
      <c r="D105" s="50" t="s">
        <v>42</v>
      </c>
      <c r="E105" s="32" t="s">
        <v>3</v>
      </c>
      <c r="F105" s="32" t="s">
        <v>343</v>
      </c>
      <c r="G105" s="32"/>
      <c r="H105" s="32"/>
      <c r="I105" s="32"/>
      <c r="J105" s="33">
        <v>29.49</v>
      </c>
      <c r="K105" s="33">
        <v>29.54</v>
      </c>
      <c r="L105" s="33">
        <v>29.48</v>
      </c>
      <c r="M105" s="33">
        <v>29.47</v>
      </c>
      <c r="N105" s="33">
        <v>29.46</v>
      </c>
      <c r="O105" s="33">
        <v>29.49</v>
      </c>
      <c r="P105" s="33">
        <v>29.46</v>
      </c>
      <c r="Q105" s="33">
        <v>29.46</v>
      </c>
      <c r="R105" s="33">
        <v>29.46</v>
      </c>
      <c r="S105" s="33">
        <v>29.46</v>
      </c>
      <c r="T105" s="33">
        <v>29.46</v>
      </c>
      <c r="U105" s="33">
        <v>29.49</v>
      </c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251</v>
      </c>
      <c r="D106" s="50" t="s">
        <v>42</v>
      </c>
      <c r="E106" s="32" t="s">
        <v>3</v>
      </c>
      <c r="F106" s="32" t="s">
        <v>344</v>
      </c>
      <c r="G106" s="33">
        <v>0</v>
      </c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>
        <f>9.91+0.00</f>
        <v>9.91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251</v>
      </c>
      <c r="D107" s="50" t="s">
        <v>42</v>
      </c>
      <c r="E107" s="32" t="s">
        <v>3</v>
      </c>
      <c r="F107" s="32" t="s">
        <v>345</v>
      </c>
      <c r="G107" s="33">
        <v>0</v>
      </c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>
        <f>0.00+9.91</f>
        <v>9.91</v>
      </c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251</v>
      </c>
      <c r="D108" s="50" t="s">
        <v>42</v>
      </c>
      <c r="E108" s="32" t="s">
        <v>3</v>
      </c>
      <c r="F108" s="32" t="s">
        <v>346</v>
      </c>
      <c r="G108" s="33">
        <v>0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>
        <f>0.00+9.91</f>
        <v>9.91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251</v>
      </c>
      <c r="D109" s="50" t="s">
        <v>42</v>
      </c>
      <c r="E109" s="32" t="s">
        <v>3</v>
      </c>
      <c r="F109" s="32" t="s">
        <v>347</v>
      </c>
      <c r="G109" s="33">
        <v>0</v>
      </c>
      <c r="H109" s="32"/>
      <c r="I109" s="32"/>
      <c r="J109" s="32"/>
      <c r="K109" s="32"/>
      <c r="L109" s="32"/>
      <c r="M109" s="32"/>
      <c r="N109" s="32"/>
      <c r="O109" s="32"/>
      <c r="P109" s="32"/>
      <c r="Q109" s="33">
        <f>0.00+27.85</f>
        <v>27.85</v>
      </c>
      <c r="R109" s="33">
        <v>27.94</v>
      </c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251</v>
      </c>
      <c r="D110" s="50" t="s">
        <v>42</v>
      </c>
      <c r="E110" s="32" t="s">
        <v>3</v>
      </c>
      <c r="F110" s="32" t="s">
        <v>348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3">
        <v>28.08</v>
      </c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251</v>
      </c>
      <c r="D111" s="50" t="s">
        <v>42</v>
      </c>
      <c r="E111" s="32" t="s">
        <v>3</v>
      </c>
      <c r="F111" s="32" t="s">
        <v>349</v>
      </c>
      <c r="G111" s="33">
        <v>0</v>
      </c>
      <c r="H111" s="32"/>
      <c r="I111" s="32"/>
      <c r="J111" s="32"/>
      <c r="K111" s="32"/>
      <c r="L111" s="32"/>
      <c r="M111" s="32"/>
      <c r="N111" s="32"/>
      <c r="O111" s="32"/>
      <c r="P111" s="32"/>
      <c r="Q111" s="33">
        <f>0.00+27.23</f>
        <v>27.23</v>
      </c>
      <c r="R111" s="33">
        <v>27.94</v>
      </c>
      <c r="S111" s="33">
        <v>27.85</v>
      </c>
      <c r="T111" s="33">
        <v>27.85</v>
      </c>
      <c r="U111" s="33">
        <v>34.31</v>
      </c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251</v>
      </c>
      <c r="D112" s="50" t="s">
        <v>42</v>
      </c>
      <c r="E112" s="32" t="s">
        <v>3</v>
      </c>
      <c r="F112" s="32" t="s">
        <v>350</v>
      </c>
      <c r="G112" s="32"/>
      <c r="H112" s="32"/>
      <c r="I112" s="32"/>
      <c r="J112" s="33">
        <v>30.68</v>
      </c>
      <c r="K112" s="33">
        <v>69.46</v>
      </c>
      <c r="L112" s="33">
        <v>94.96</v>
      </c>
      <c r="M112" s="33">
        <v>74.56</v>
      </c>
      <c r="N112" s="33">
        <v>27.07</v>
      </c>
      <c r="O112" s="33">
        <v>27.07</v>
      </c>
      <c r="P112" s="33">
        <v>27.07</v>
      </c>
      <c r="Q112" s="33">
        <v>27.07</v>
      </c>
      <c r="R112" s="33">
        <v>27.07</v>
      </c>
      <c r="S112" s="33">
        <f>27.07+2.70</f>
        <v>29.77</v>
      </c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4">
        <f>SUM(G112:AK112)</f>
      </c>
      <c r="AM112" s="35"/>
    </row>
    <row r="113" ht="13.5" customHeight="1" spans="2:39" x14ac:dyDescent="0.25">
      <c r="B113" s="48" t="s">
        <v>3</v>
      </c>
      <c r="C113" s="49" t="s">
        <v>251</v>
      </c>
      <c r="D113" s="50" t="s">
        <v>42</v>
      </c>
      <c r="E113" s="32" t="s">
        <v>3</v>
      </c>
      <c r="F113" s="32" t="s">
        <v>351</v>
      </c>
      <c r="G113" s="32"/>
      <c r="H113" s="32"/>
      <c r="I113" s="32"/>
      <c r="J113" s="33">
        <v>36.61</v>
      </c>
      <c r="K113" s="33">
        <v>58.7</v>
      </c>
      <c r="L113" s="33">
        <v>46.66</v>
      </c>
      <c r="M113" s="33">
        <v>59.19</v>
      </c>
      <c r="N113" s="33">
        <v>62.62</v>
      </c>
      <c r="O113" s="33">
        <v>111.24</v>
      </c>
      <c r="P113" s="33">
        <v>105.45</v>
      </c>
      <c r="Q113" s="33">
        <v>91.97</v>
      </c>
      <c r="R113" s="33">
        <v>98.48</v>
      </c>
      <c r="S113" s="33">
        <v>89.42</v>
      </c>
      <c r="T113" s="33">
        <v>59.58</v>
      </c>
      <c r="U113" s="33">
        <v>45.52</v>
      </c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4">
        <f>SUM(G113:AK113)</f>
      </c>
      <c r="AM113" s="35"/>
    </row>
    <row r="114" ht="13.5" customHeight="1" spans="2:39" x14ac:dyDescent="0.25">
      <c r="B114" s="48" t="s">
        <v>3</v>
      </c>
      <c r="C114" s="49" t="s">
        <v>251</v>
      </c>
      <c r="D114" s="50" t="s">
        <v>42</v>
      </c>
      <c r="E114" s="32" t="s">
        <v>3</v>
      </c>
      <c r="F114" s="32" t="s">
        <v>352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3">
        <v>27.99</v>
      </c>
      <c r="R114" s="33">
        <v>28.17</v>
      </c>
      <c r="S114" s="33">
        <v>28.04</v>
      </c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4">
        <f>SUM(G114:AK114)</f>
      </c>
      <c r="AM114" s="35"/>
    </row>
    <row r="115" ht="13.5" customHeight="1" spans="2:39" x14ac:dyDescent="0.25">
      <c r="B115" s="48" t="s">
        <v>3</v>
      </c>
      <c r="C115" s="49" t="s">
        <v>251</v>
      </c>
      <c r="D115" s="50" t="s">
        <v>42</v>
      </c>
      <c r="E115" s="32" t="s">
        <v>3</v>
      </c>
      <c r="F115" s="32" t="s">
        <v>353</v>
      </c>
      <c r="G115" s="32"/>
      <c r="H115" s="32"/>
      <c r="I115" s="32"/>
      <c r="J115" s="33">
        <v>27.07</v>
      </c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4">
        <f>SUM(G115:AK115)</f>
      </c>
      <c r="AM115" s="35"/>
    </row>
    <row r="116" ht="13.5" customHeight="1" spans="2:39" x14ac:dyDescent="0.25">
      <c r="B116" s="48" t="s">
        <v>3</v>
      </c>
      <c r="C116" s="49" t="s">
        <v>251</v>
      </c>
      <c r="D116" s="50" t="s">
        <v>42</v>
      </c>
      <c r="E116" s="32" t="s">
        <v>3</v>
      </c>
      <c r="F116" s="32" t="s">
        <v>354</v>
      </c>
      <c r="G116" s="32"/>
      <c r="H116" s="32"/>
      <c r="I116" s="32"/>
      <c r="J116" s="33">
        <v>37.2</v>
      </c>
      <c r="K116" s="33">
        <v>115.26</v>
      </c>
      <c r="L116" s="33">
        <v>122.34</v>
      </c>
      <c r="M116" s="33">
        <v>122.03</v>
      </c>
      <c r="N116" s="33">
        <v>27.07</v>
      </c>
      <c r="O116" s="33">
        <v>27.07</v>
      </c>
      <c r="P116" s="33">
        <v>27.07</v>
      </c>
      <c r="Q116" s="33">
        <v>32.01</v>
      </c>
      <c r="R116" s="33">
        <v>27.07</v>
      </c>
      <c r="S116" s="33">
        <v>27.07</v>
      </c>
      <c r="T116" s="33">
        <f>0.00+59.69</f>
        <v>59.69</v>
      </c>
      <c r="U116" s="33">
        <v>117.89</v>
      </c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4">
        <f>SUM(G116:AK116)</f>
      </c>
      <c r="AM116" s="35"/>
    </row>
    <row r="117" ht="13.5" customHeight="1" spans="2:39" x14ac:dyDescent="0.25">
      <c r="B117" s="51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40"/>
    </row>
    <row r="118" ht="13.5" customHeight="1" spans="2:39" x14ac:dyDescent="0.25">
      <c r="B118" s="20"/>
      <c r="C118" s="21"/>
      <c r="D118" s="21" t="s">
        <v>85</v>
      </c>
      <c r="E118" s="21"/>
      <c r="F118" s="21"/>
      <c r="G118" s="22">
        <f>SUM(G14:G116)</f>
      </c>
      <c r="H118" s="22">
        <f>SUM(H14:H116)</f>
      </c>
      <c r="I118" s="22">
        <f>SUM(I14:I116)</f>
      </c>
      <c r="J118" s="22">
        <f>SUM(J14:J116)</f>
      </c>
      <c r="K118" s="22">
        <f>SUM(K14:K116)</f>
      </c>
      <c r="L118" s="22">
        <f>SUM(L14:L116)</f>
      </c>
      <c r="M118" s="22">
        <f>SUM(M14:M116)</f>
      </c>
      <c r="N118" s="22">
        <f>SUM(N14:N116)</f>
      </c>
      <c r="O118" s="22">
        <f>SUM(O14:O116)</f>
      </c>
      <c r="P118" s="22">
        <f>SUM(P14:P116)</f>
      </c>
      <c r="Q118" s="22">
        <f>SUM(Q14:Q116)</f>
      </c>
      <c r="R118" s="22">
        <f>SUM(R14:R116)</f>
      </c>
      <c r="S118" s="22">
        <f>SUM(S14:S116)</f>
      </c>
      <c r="T118" s="22">
        <f>SUM(T14:T116)</f>
      </c>
      <c r="U118" s="22">
        <f>SUM(U14:U116)</f>
      </c>
      <c r="V118" s="22">
        <f>SUM(V14:V116)</f>
      </c>
      <c r="W118" s="22">
        <f>SUM(W14:W116)</f>
      </c>
      <c r="X118" s="22">
        <f>SUM(X14:X116)</f>
      </c>
      <c r="Y118" s="22">
        <f>SUM(Y14:Y116)</f>
      </c>
      <c r="Z118" s="22">
        <f>SUM(Z14:Z116)</f>
      </c>
      <c r="AA118" s="22">
        <f>SUM(AA14:AA116)</f>
      </c>
      <c r="AB118" s="22">
        <f>SUM(AB14:AB116)</f>
      </c>
      <c r="AC118" s="22">
        <f>SUM(AC14:AC116)</f>
      </c>
      <c r="AD118" s="22">
        <f>SUM(AD14:AD116)</f>
      </c>
      <c r="AE118" s="22">
        <f>SUM(AE14:AE116)</f>
      </c>
      <c r="AF118" s="22">
        <f>SUM(AF14:AF116)</f>
      </c>
      <c r="AG118" s="22">
        <f>SUM(AG14:AG116)</f>
      </c>
      <c r="AH118" s="22">
        <f>SUM(AH14:AH116)</f>
      </c>
      <c r="AI118" s="22">
        <f>SUM(AI14:AI116)</f>
      </c>
      <c r="AJ118" s="22">
        <f>SUM(AJ14:AJ116)</f>
      </c>
      <c r="AK118" s="22">
        <f>SUM(AK14:AK116)</f>
      </c>
      <c r="AL118" s="22">
        <f>SUM(AL14:AL116)</f>
      </c>
      <c r="AM118" s="23"/>
    </row>
    <row r="120" ht="13.5" customHeight="1" spans="2:39" x14ac:dyDescent="0.25">
      <c r="B120" s="46"/>
      <c r="C120" s="28"/>
      <c r="D120" s="47" t="s">
        <v>43</v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9"/>
    </row>
    <row r="121" ht="13.5" customHeight="1" spans="2:39" x14ac:dyDescent="0.25">
      <c r="B121" s="51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40"/>
    </row>
    <row r="122" ht="13.5" customHeight="1" spans="2:39" x14ac:dyDescent="0.25">
      <c r="B122" s="20"/>
      <c r="C122" s="21"/>
      <c r="D122" s="21" t="s">
        <v>89</v>
      </c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3"/>
    </row>
    <row r="124" ht="13.5" customHeight="1" spans="2:39" x14ac:dyDescent="0.25">
      <c r="B124" s="46"/>
      <c r="C124" s="28"/>
      <c r="D124" s="47" t="s">
        <v>44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9"/>
    </row>
    <row r="125" ht="13.5" customHeight="1" spans="2:39" x14ac:dyDescent="0.25">
      <c r="B125" s="51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40"/>
    </row>
    <row r="126" ht="13.5" customHeight="1" spans="2:39" x14ac:dyDescent="0.25">
      <c r="B126" s="20"/>
      <c r="C126" s="21"/>
      <c r="D126" s="21" t="s">
        <v>90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3"/>
    </row>
    <row r="129" ht="12.75" customHeight="1" spans="2:39" x14ac:dyDescent="0.25">
      <c r="B129" s="11" t="s">
        <v>40</v>
      </c>
      <c r="C129" s="12"/>
      <c r="D129" s="12"/>
      <c r="E129" s="12"/>
      <c r="F129" s="12"/>
      <c r="G129" s="52" t="s">
        <v>7</v>
      </c>
      <c r="H129" s="52" t="s">
        <v>8</v>
      </c>
      <c r="I129" s="52" t="s">
        <v>9</v>
      </c>
      <c r="J129" s="52" t="s">
        <v>10</v>
      </c>
      <c r="K129" s="52" t="s">
        <v>11</v>
      </c>
      <c r="L129" s="52" t="s">
        <v>12</v>
      </c>
      <c r="M129" s="52" t="s">
        <v>13</v>
      </c>
      <c r="N129" s="52" t="s">
        <v>14</v>
      </c>
      <c r="O129" s="52" t="s">
        <v>15</v>
      </c>
      <c r="P129" s="52" t="s">
        <v>16</v>
      </c>
      <c r="Q129" s="52" t="s">
        <v>17</v>
      </c>
      <c r="R129" s="52" t="s">
        <v>18</v>
      </c>
      <c r="S129" s="52" t="s">
        <v>19</v>
      </c>
      <c r="T129" s="52" t="s">
        <v>20</v>
      </c>
      <c r="U129" s="52" t="s">
        <v>21</v>
      </c>
      <c r="V129" s="52" t="s">
        <v>22</v>
      </c>
      <c r="W129" s="52" t="s">
        <v>23</v>
      </c>
      <c r="X129" s="52" t="s">
        <v>24</v>
      </c>
      <c r="Y129" s="52" t="s">
        <v>25</v>
      </c>
      <c r="Z129" s="52" t="s">
        <v>26</v>
      </c>
      <c r="AA129" s="52" t="s">
        <v>27</v>
      </c>
      <c r="AB129" s="52" t="s">
        <v>28</v>
      </c>
      <c r="AC129" s="52" t="s">
        <v>29</v>
      </c>
      <c r="AD129" s="52" t="s">
        <v>30</v>
      </c>
      <c r="AE129" s="52" t="s">
        <v>31</v>
      </c>
      <c r="AF129" s="52" t="s">
        <v>32</v>
      </c>
      <c r="AG129" s="52" t="s">
        <v>33</v>
      </c>
      <c r="AH129" s="52" t="s">
        <v>34</v>
      </c>
      <c r="AI129" s="52" t="s">
        <v>35</v>
      </c>
      <c r="AJ129" s="52" t="s">
        <v>36</v>
      </c>
      <c r="AK129" s="52" t="s">
        <v>37</v>
      </c>
      <c r="AL129" s="52" t="s">
        <v>38</v>
      </c>
      <c r="AM129" s="15"/>
    </row>
    <row r="130" ht="12.75" customHeight="1" spans="2:39" x14ac:dyDescent="0.25">
      <c r="B130" s="16"/>
      <c r="C130" s="17"/>
      <c r="D130" s="17" t="s">
        <v>41</v>
      </c>
      <c r="E130" s="17"/>
      <c r="F130" s="17"/>
      <c r="G130" s="18">
        <f>G11</f>
      </c>
      <c r="H130" s="18">
        <f>H11</f>
      </c>
      <c r="I130" s="18">
        <f>I11</f>
      </c>
      <c r="J130" s="18">
        <f>J11</f>
      </c>
      <c r="K130" s="18">
        <f>K11</f>
      </c>
      <c r="L130" s="18">
        <f>L11</f>
      </c>
      <c r="M130" s="18">
        <f>M11</f>
      </c>
      <c r="N130" s="18">
        <f>N11</f>
      </c>
      <c r="O130" s="18">
        <f>O11</f>
      </c>
      <c r="P130" s="18">
        <f>P11</f>
      </c>
      <c r="Q130" s="18">
        <f>Q11</f>
      </c>
      <c r="R130" s="18">
        <f>R11</f>
      </c>
      <c r="S130" s="18">
        <f>S11</f>
      </c>
      <c r="T130" s="18">
        <f>T11</f>
      </c>
      <c r="U130" s="18">
        <f>U11</f>
      </c>
      <c r="V130" s="18">
        <f>V11</f>
      </c>
      <c r="W130" s="18">
        <f>W11</f>
      </c>
      <c r="X130" s="18">
        <f>X11</f>
      </c>
      <c r="Y130" s="18">
        <f>Y11</f>
      </c>
      <c r="Z130" s="18">
        <f>Z11</f>
      </c>
      <c r="AA130" s="18">
        <f>AA11</f>
      </c>
      <c r="AB130" s="18">
        <f>AB11</f>
      </c>
      <c r="AC130" s="18">
        <f>AC11</f>
      </c>
      <c r="AD130" s="18">
        <f>AD11</f>
      </c>
      <c r="AE130" s="18">
        <f>AE11</f>
      </c>
      <c r="AF130" s="18">
        <f>AF11</f>
      </c>
      <c r="AG130" s="18">
        <f>AG11</f>
      </c>
      <c r="AH130" s="18">
        <f>AH11</f>
      </c>
      <c r="AI130" s="18">
        <f>AI11</f>
      </c>
      <c r="AJ130" s="18">
        <f>AJ11</f>
      </c>
      <c r="AK130" s="18">
        <f>AK11</f>
      </c>
      <c r="AL130" s="18">
        <f>AL11</f>
      </c>
      <c r="AM130" s="19"/>
    </row>
    <row r="131" ht="12.75" customHeight="1" spans="2:39" x14ac:dyDescent="0.25">
      <c r="B131" s="16"/>
      <c r="C131" s="17"/>
      <c r="D131" s="17" t="s">
        <v>42</v>
      </c>
      <c r="E131" s="17"/>
      <c r="F131" s="17"/>
      <c r="G131" s="18">
        <f>G118</f>
      </c>
      <c r="H131" s="18">
        <f>H118</f>
      </c>
      <c r="I131" s="18">
        <f>I118</f>
      </c>
      <c r="J131" s="18">
        <f>J118</f>
      </c>
      <c r="K131" s="18">
        <f>K118</f>
      </c>
      <c r="L131" s="18">
        <f>L118</f>
      </c>
      <c r="M131" s="18">
        <f>M118</f>
      </c>
      <c r="N131" s="18">
        <f>N118</f>
      </c>
      <c r="O131" s="18">
        <f>O118</f>
      </c>
      <c r="P131" s="18">
        <f>P118</f>
      </c>
      <c r="Q131" s="18">
        <f>Q118</f>
      </c>
      <c r="R131" s="18">
        <f>R118</f>
      </c>
      <c r="S131" s="18">
        <f>S118</f>
      </c>
      <c r="T131" s="18">
        <f>T118</f>
      </c>
      <c r="U131" s="18">
        <f>U118</f>
      </c>
      <c r="V131" s="18">
        <f>V118</f>
      </c>
      <c r="W131" s="18">
        <f>W118</f>
      </c>
      <c r="X131" s="18">
        <f>X118</f>
      </c>
      <c r="Y131" s="18">
        <f>Y118</f>
      </c>
      <c r="Z131" s="18">
        <f>Z118</f>
      </c>
      <c r="AA131" s="18">
        <f>AA118</f>
      </c>
      <c r="AB131" s="18">
        <f>AB118</f>
      </c>
      <c r="AC131" s="18">
        <f>AC118</f>
      </c>
      <c r="AD131" s="18">
        <f>AD118</f>
      </c>
      <c r="AE131" s="18">
        <f>AE118</f>
      </c>
      <c r="AF131" s="18">
        <f>AF118</f>
      </c>
      <c r="AG131" s="18">
        <f>AG118</f>
      </c>
      <c r="AH131" s="18">
        <f>AH118</f>
      </c>
      <c r="AI131" s="18">
        <f>AI118</f>
      </c>
      <c r="AJ131" s="18">
        <f>AJ118</f>
      </c>
      <c r="AK131" s="18">
        <f>AK118</f>
      </c>
      <c r="AL131" s="18">
        <f>AL118</f>
      </c>
      <c r="AM131" s="19"/>
    </row>
    <row r="132" ht="12.75" customHeight="1" spans="2:39" x14ac:dyDescent="0.25">
      <c r="B132" s="16"/>
      <c r="C132" s="17"/>
      <c r="D132" s="17" t="s">
        <v>43</v>
      </c>
      <c r="E132" s="17"/>
      <c r="F132" s="17"/>
      <c r="G132" s="18">
        <f>G122</f>
      </c>
      <c r="H132" s="18">
        <f>H122</f>
      </c>
      <c r="I132" s="18">
        <f>I122</f>
      </c>
      <c r="J132" s="18">
        <f>J122</f>
      </c>
      <c r="K132" s="18">
        <f>K122</f>
      </c>
      <c r="L132" s="18">
        <f>L122</f>
      </c>
      <c r="M132" s="18">
        <f>M122</f>
      </c>
      <c r="N132" s="18">
        <f>N122</f>
      </c>
      <c r="O132" s="18">
        <f>O122</f>
      </c>
      <c r="P132" s="18">
        <f>P122</f>
      </c>
      <c r="Q132" s="18">
        <f>Q122</f>
      </c>
      <c r="R132" s="18">
        <f>R122</f>
      </c>
      <c r="S132" s="18">
        <f>S122</f>
      </c>
      <c r="T132" s="18">
        <f>T122</f>
      </c>
      <c r="U132" s="18">
        <f>U122</f>
      </c>
      <c r="V132" s="18">
        <f>V122</f>
      </c>
      <c r="W132" s="18">
        <f>W122</f>
      </c>
      <c r="X132" s="18">
        <f>X122</f>
      </c>
      <c r="Y132" s="18">
        <f>Y122</f>
      </c>
      <c r="Z132" s="18">
        <f>Z122</f>
      </c>
      <c r="AA132" s="18">
        <f>AA122</f>
      </c>
      <c r="AB132" s="18">
        <f>AB122</f>
      </c>
      <c r="AC132" s="18">
        <f>AC122</f>
      </c>
      <c r="AD132" s="18">
        <f>AD122</f>
      </c>
      <c r="AE132" s="18">
        <f>AE122</f>
      </c>
      <c r="AF132" s="18">
        <f>AF122</f>
      </c>
      <c r="AG132" s="18">
        <f>AG122</f>
      </c>
      <c r="AH132" s="18">
        <f>AH122</f>
      </c>
      <c r="AI132" s="18">
        <f>AI122</f>
      </c>
      <c r="AJ132" s="18">
        <f>AJ122</f>
      </c>
      <c r="AK132" s="18">
        <f>AK122</f>
      </c>
      <c r="AL132" s="18">
        <f>AL122</f>
      </c>
      <c r="AM132" s="19"/>
    </row>
    <row r="133" ht="12.75" customHeight="1" spans="2:39" x14ac:dyDescent="0.25">
      <c r="B133" s="16"/>
      <c r="C133" s="17"/>
      <c r="D133" s="17" t="s">
        <v>44</v>
      </c>
      <c r="E133" s="17"/>
      <c r="F133" s="17"/>
      <c r="G133" s="18">
        <f>G126</f>
      </c>
      <c r="H133" s="18">
        <f>H126</f>
      </c>
      <c r="I133" s="18">
        <f>I126</f>
      </c>
      <c r="J133" s="18">
        <f>J126</f>
      </c>
      <c r="K133" s="18">
        <f>K126</f>
      </c>
      <c r="L133" s="18">
        <f>L126</f>
      </c>
      <c r="M133" s="18">
        <f>M126</f>
      </c>
      <c r="N133" s="18">
        <f>N126</f>
      </c>
      <c r="O133" s="18">
        <f>O126</f>
      </c>
      <c r="P133" s="18">
        <f>P126</f>
      </c>
      <c r="Q133" s="18">
        <f>Q126</f>
      </c>
      <c r="R133" s="18">
        <f>R126</f>
      </c>
      <c r="S133" s="18">
        <f>S126</f>
      </c>
      <c r="T133" s="18">
        <f>T126</f>
      </c>
      <c r="U133" s="18">
        <f>U126</f>
      </c>
      <c r="V133" s="18">
        <f>V126</f>
      </c>
      <c r="W133" s="18">
        <f>W126</f>
      </c>
      <c r="X133" s="18">
        <f>X126</f>
      </c>
      <c r="Y133" s="18">
        <f>Y126</f>
      </c>
      <c r="Z133" s="18">
        <f>Z126</f>
      </c>
      <c r="AA133" s="18">
        <f>AA126</f>
      </c>
      <c r="AB133" s="18">
        <f>AB126</f>
      </c>
      <c r="AC133" s="18">
        <f>AC126</f>
      </c>
      <c r="AD133" s="18">
        <f>AD126</f>
      </c>
      <c r="AE133" s="18">
        <f>AE126</f>
      </c>
      <c r="AF133" s="18">
        <f>AF126</f>
      </c>
      <c r="AG133" s="18">
        <f>AG126</f>
      </c>
      <c r="AH133" s="18">
        <f>AH126</f>
      </c>
      <c r="AI133" s="18">
        <f>AI126</f>
      </c>
      <c r="AJ133" s="18">
        <f>AJ126</f>
      </c>
      <c r="AK133" s="18">
        <f>AK126</f>
      </c>
      <c r="AL133" s="18">
        <f>AL126</f>
      </c>
      <c r="AM133" s="19"/>
    </row>
    <row r="134" ht="12.75" customHeight="1" spans="2:39" x14ac:dyDescent="0.25">
      <c r="B134" s="20"/>
      <c r="C134" s="21"/>
      <c r="D134" s="21" t="s">
        <v>45</v>
      </c>
      <c r="E134" s="21"/>
      <c r="F134" s="21"/>
      <c r="G134" s="22">
        <f>G130+G131+G132+G133</f>
      </c>
      <c r="H134" s="22">
        <f>H130+H131+H132+H133</f>
      </c>
      <c r="I134" s="22">
        <f>I130+I131+I132+I133</f>
      </c>
      <c r="J134" s="22">
        <f>J130+J131+J132+J133</f>
      </c>
      <c r="K134" s="22">
        <f>K130+K131+K132+K133</f>
      </c>
      <c r="L134" s="22">
        <f>L130+L131+L132+L133</f>
      </c>
      <c r="M134" s="22">
        <f>M130+M131+M132+M133</f>
      </c>
      <c r="N134" s="22">
        <f>N130+N131+N132+N133</f>
      </c>
      <c r="O134" s="22">
        <f>O130+O131+O132+O133</f>
      </c>
      <c r="P134" s="22">
        <f>P130+P131+P132+P133</f>
      </c>
      <c r="Q134" s="22">
        <f>Q130+Q131+Q132+Q133</f>
      </c>
      <c r="R134" s="22">
        <f>R130+R131+R132+R133</f>
      </c>
      <c r="S134" s="22">
        <f>S130+S131+S132+S133</f>
      </c>
      <c r="T134" s="22">
        <f>T130+T131+T132+T133</f>
      </c>
      <c r="U134" s="22">
        <f>U130+U131+U132+U133</f>
      </c>
      <c r="V134" s="22">
        <f>V130+V131+V132+V133</f>
      </c>
      <c r="W134" s="22">
        <f>W130+W131+W132+W133</f>
      </c>
      <c r="X134" s="22">
        <f>X130+X131+X132+X133</f>
      </c>
      <c r="Y134" s="22">
        <f>Y130+Y131+Y132+Y133</f>
      </c>
      <c r="Z134" s="22">
        <f>Z130+Z131+Z132+Z133</f>
      </c>
      <c r="AA134" s="22">
        <f>AA130+AA131+AA132+AA133</f>
      </c>
      <c r="AB134" s="22">
        <f>AB130+AB131+AB132+AB133</f>
      </c>
      <c r="AC134" s="22">
        <f>AC130+AC131+AC132+AC133</f>
      </c>
      <c r="AD134" s="22">
        <f>AD130+AD131+AD132+AD133</f>
      </c>
      <c r="AE134" s="22">
        <f>AE130+AE131+AE132+AE133</f>
      </c>
      <c r="AF134" s="22">
        <f>AF130+AF131+AF132+AF133</f>
      </c>
      <c r="AG134" s="22">
        <f>AG130+AG131+AG132+AG133</f>
      </c>
      <c r="AH134" s="22">
        <f>AH130+AH131+AH132+AH133</f>
      </c>
      <c r="AI134" s="22">
        <f>AI130+AI131+AI132+AI133</f>
      </c>
      <c r="AJ134" s="22">
        <f>AJ130+AJ131+AJ132+AJ133</f>
      </c>
      <c r="AK134" s="22">
        <f>AK130+AK131+AK132+AK133</f>
      </c>
      <c r="AL134" s="22">
        <f>AL130+AL131+AL132+AL133</f>
      </c>
      <c r="AM134" s="23"/>
    </row>
    <row r="136" ht="12.75" customHeight="1" spans="2:39" x14ac:dyDescent="0.25">
      <c r="B136" s="11" t="s">
        <v>46</v>
      </c>
      <c r="C136" s="12"/>
      <c r="D136" s="12"/>
      <c r="E136" s="12"/>
      <c r="F136" s="12"/>
      <c r="G136" s="52" t="s">
        <v>7</v>
      </c>
      <c r="H136" s="52" t="s">
        <v>8</v>
      </c>
      <c r="I136" s="52" t="s">
        <v>9</v>
      </c>
      <c r="J136" s="52" t="s">
        <v>10</v>
      </c>
      <c r="K136" s="52" t="s">
        <v>11</v>
      </c>
      <c r="L136" s="52" t="s">
        <v>12</v>
      </c>
      <c r="M136" s="52" t="s">
        <v>13</v>
      </c>
      <c r="N136" s="52" t="s">
        <v>14</v>
      </c>
      <c r="O136" s="52" t="s">
        <v>15</v>
      </c>
      <c r="P136" s="52" t="s">
        <v>16</v>
      </c>
      <c r="Q136" s="52" t="s">
        <v>17</v>
      </c>
      <c r="R136" s="52" t="s">
        <v>18</v>
      </c>
      <c r="S136" s="52" t="s">
        <v>19</v>
      </c>
      <c r="T136" s="52" t="s">
        <v>20</v>
      </c>
      <c r="U136" s="52" t="s">
        <v>21</v>
      </c>
      <c r="V136" s="52" t="s">
        <v>22</v>
      </c>
      <c r="W136" s="52" t="s">
        <v>23</v>
      </c>
      <c r="X136" s="52" t="s">
        <v>24</v>
      </c>
      <c r="Y136" s="52" t="s">
        <v>25</v>
      </c>
      <c r="Z136" s="52" t="s">
        <v>26</v>
      </c>
      <c r="AA136" s="52" t="s">
        <v>27</v>
      </c>
      <c r="AB136" s="52" t="s">
        <v>28</v>
      </c>
      <c r="AC136" s="52" t="s">
        <v>29</v>
      </c>
      <c r="AD136" s="52" t="s">
        <v>30</v>
      </c>
      <c r="AE136" s="52" t="s">
        <v>31</v>
      </c>
      <c r="AF136" s="52" t="s">
        <v>32</v>
      </c>
      <c r="AG136" s="52" t="s">
        <v>33</v>
      </c>
      <c r="AH136" s="52" t="s">
        <v>34</v>
      </c>
      <c r="AI136" s="52" t="s">
        <v>35</v>
      </c>
      <c r="AJ136" s="52" t="s">
        <v>36</v>
      </c>
      <c r="AK136" s="52" t="s">
        <v>37</v>
      </c>
      <c r="AL136" s="52" t="s">
        <v>38</v>
      </c>
      <c r="AM136" s="15"/>
    </row>
    <row r="137" ht="12.75" customHeight="1" spans="2:39" x14ac:dyDescent="0.25">
      <c r="B137" s="16"/>
      <c r="C137" s="17"/>
      <c r="D137" s="17" t="s">
        <v>41</v>
      </c>
      <c r="E137" s="17"/>
      <c r="F137" s="1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9"/>
    </row>
    <row r="138" ht="12.75" customHeight="1" spans="2:39" x14ac:dyDescent="0.25">
      <c r="B138" s="16"/>
      <c r="C138" s="17"/>
      <c r="D138" s="17" t="s">
        <v>42</v>
      </c>
      <c r="E138" s="17"/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9"/>
    </row>
    <row r="139" ht="12.75" customHeight="1" spans="2:39" x14ac:dyDescent="0.25">
      <c r="B139" s="16"/>
      <c r="C139" s="17"/>
      <c r="D139" s="17" t="s">
        <v>43</v>
      </c>
      <c r="E139" s="17"/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9"/>
    </row>
    <row r="140" ht="12.75" customHeight="1" spans="2:39" x14ac:dyDescent="0.25">
      <c r="B140" s="16"/>
      <c r="C140" s="17"/>
      <c r="D140" s="17" t="s">
        <v>44</v>
      </c>
      <c r="E140" s="17"/>
      <c r="F140" s="1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9"/>
    </row>
    <row r="141" ht="12.75" customHeight="1" spans="2:39" x14ac:dyDescent="0.25">
      <c r="B141" s="20"/>
      <c r="C141" s="21"/>
      <c r="D141" s="21" t="s">
        <v>45</v>
      </c>
      <c r="E141" s="21"/>
      <c r="F141" s="21"/>
      <c r="G141" s="22">
        <f>G137+G138+G139+G140</f>
      </c>
      <c r="H141" s="22">
        <f>H137+H138+H139+H140</f>
      </c>
      <c r="I141" s="22">
        <f>I137+I138+I139+I140</f>
      </c>
      <c r="J141" s="22">
        <f>J137+J138+J139+J140</f>
      </c>
      <c r="K141" s="22">
        <f>K137+K138+K139+K140</f>
      </c>
      <c r="L141" s="22">
        <f>L137+L138+L139+L140</f>
      </c>
      <c r="M141" s="22">
        <f>M137+M138+M139+M140</f>
      </c>
      <c r="N141" s="22">
        <f>N137+N138+N139+N140</f>
      </c>
      <c r="O141" s="22">
        <f>O137+O138+O139+O140</f>
      </c>
      <c r="P141" s="22">
        <f>P137+P138+P139+P140</f>
      </c>
      <c r="Q141" s="22">
        <f>Q137+Q138+Q139+Q140</f>
      </c>
      <c r="R141" s="22">
        <f>R137+R138+R139+R140</f>
      </c>
      <c r="S141" s="22">
        <f>S137+S138+S139+S140</f>
      </c>
      <c r="T141" s="22">
        <f>T137+T138+T139+T140</f>
      </c>
      <c r="U141" s="22">
        <f>U137+U138+U139+U140</f>
      </c>
      <c r="V141" s="22">
        <f>V137+V138+V139+V140</f>
      </c>
      <c r="W141" s="22">
        <f>W137+W138+W139+W140</f>
      </c>
      <c r="X141" s="22">
        <f>X137+X138+X139+X140</f>
      </c>
      <c r="Y141" s="22">
        <f>Y137+Y138+Y139+Y140</f>
      </c>
      <c r="Z141" s="22">
        <f>Z137+Z138+Z139+Z140</f>
      </c>
      <c r="AA141" s="22">
        <f>AA137+AA138+AA139+AA140</f>
      </c>
      <c r="AB141" s="22">
        <f>AB137+AB138+AB139+AB140</f>
      </c>
      <c r="AC141" s="22">
        <f>AC137+AC138+AC139+AC140</f>
      </c>
      <c r="AD141" s="22">
        <f>AD137+AD138+AD139+AD140</f>
      </c>
      <c r="AE141" s="22">
        <f>AE137+AE138+AE139+AE140</f>
      </c>
      <c r="AF141" s="22">
        <f>AF137+AF138+AF139+AF140</f>
      </c>
      <c r="AG141" s="22">
        <f>AG137+AG138+AG139+AG140</f>
      </c>
      <c r="AH141" s="22">
        <f>AH137+AH138+AH139+AH140</f>
      </c>
      <c r="AI141" s="22">
        <f>AI137+AI138+AI139+AI140</f>
      </c>
      <c r="AJ141" s="22">
        <f>AJ137+AJ138+AJ139+AJ140</f>
      </c>
      <c r="AK141" s="22">
        <f>AK137+AK138+AK139+AK140</f>
      </c>
      <c r="AL141" s="22">
        <f>AL137+AL138+AL139+AL140</f>
      </c>
      <c r="AM141" s="23"/>
    </row>
    <row r="143" ht="12.75" customHeight="1" spans="2:39" x14ac:dyDescent="0.25">
      <c r="B143" s="11" t="s">
        <v>47</v>
      </c>
      <c r="C143" s="12"/>
      <c r="D143" s="12"/>
      <c r="E143" s="12"/>
      <c r="F143" s="12"/>
      <c r="G143" s="52" t="s">
        <v>7</v>
      </c>
      <c r="H143" s="52" t="s">
        <v>8</v>
      </c>
      <c r="I143" s="52" t="s">
        <v>9</v>
      </c>
      <c r="J143" s="52" t="s">
        <v>10</v>
      </c>
      <c r="K143" s="52" t="s">
        <v>11</v>
      </c>
      <c r="L143" s="52" t="s">
        <v>12</v>
      </c>
      <c r="M143" s="52" t="s">
        <v>13</v>
      </c>
      <c r="N143" s="52" t="s">
        <v>14</v>
      </c>
      <c r="O143" s="52" t="s">
        <v>15</v>
      </c>
      <c r="P143" s="52" t="s">
        <v>16</v>
      </c>
      <c r="Q143" s="52" t="s">
        <v>17</v>
      </c>
      <c r="R143" s="52" t="s">
        <v>18</v>
      </c>
      <c r="S143" s="52" t="s">
        <v>19</v>
      </c>
      <c r="T143" s="52" t="s">
        <v>20</v>
      </c>
      <c r="U143" s="52" t="s">
        <v>21</v>
      </c>
      <c r="V143" s="52" t="s">
        <v>22</v>
      </c>
      <c r="W143" s="52" t="s">
        <v>23</v>
      </c>
      <c r="X143" s="52" t="s">
        <v>24</v>
      </c>
      <c r="Y143" s="52" t="s">
        <v>25</v>
      </c>
      <c r="Z143" s="52" t="s">
        <v>26</v>
      </c>
      <c r="AA143" s="52" t="s">
        <v>27</v>
      </c>
      <c r="AB143" s="52" t="s">
        <v>28</v>
      </c>
      <c r="AC143" s="52" t="s">
        <v>29</v>
      </c>
      <c r="AD143" s="52" t="s">
        <v>30</v>
      </c>
      <c r="AE143" s="52" t="s">
        <v>31</v>
      </c>
      <c r="AF143" s="52" t="s">
        <v>32</v>
      </c>
      <c r="AG143" s="52" t="s">
        <v>33</v>
      </c>
      <c r="AH143" s="52" t="s">
        <v>34</v>
      </c>
      <c r="AI143" s="52" t="s">
        <v>35</v>
      </c>
      <c r="AJ143" s="52" t="s">
        <v>36</v>
      </c>
      <c r="AK143" s="52" t="s">
        <v>37</v>
      </c>
      <c r="AL143" s="52" t="s">
        <v>38</v>
      </c>
      <c r="AM143" s="15"/>
    </row>
    <row r="144" ht="12.75" customHeight="1" spans="2:39" x14ac:dyDescent="0.25">
      <c r="B144" s="16"/>
      <c r="C144" s="17"/>
      <c r="D144" s="17" t="s">
        <v>41</v>
      </c>
      <c r="E144" s="17"/>
      <c r="F144" s="17"/>
      <c r="G144" s="24">
        <f>G137-G130</f>
      </c>
      <c r="H144" s="24">
        <f>H137-H130</f>
      </c>
      <c r="I144" s="24">
        <f>I137-I130</f>
      </c>
      <c r="J144" s="24">
        <f>J137-J130</f>
      </c>
      <c r="K144" s="24">
        <f>K137-K130</f>
      </c>
      <c r="L144" s="24">
        <f>L137-L130</f>
      </c>
      <c r="M144" s="24">
        <f>M137-M130</f>
      </c>
      <c r="N144" s="24">
        <f>N137-N130</f>
      </c>
      <c r="O144" s="24">
        <f>O137-O130</f>
      </c>
      <c r="P144" s="24">
        <f>P137-P130</f>
      </c>
      <c r="Q144" s="24">
        <f>Q137-Q130</f>
      </c>
      <c r="R144" s="24">
        <f>R137-R130</f>
      </c>
      <c r="S144" s="24">
        <f>S137-S130</f>
      </c>
      <c r="T144" s="24">
        <f>T137-T130</f>
      </c>
      <c r="U144" s="24">
        <f>U137-U130</f>
      </c>
      <c r="V144" s="24">
        <f>V137-V130</f>
      </c>
      <c r="W144" s="24">
        <f>W137-W130</f>
      </c>
      <c r="X144" s="24">
        <f>X137-X130</f>
      </c>
      <c r="Y144" s="24">
        <f>Y137-Y130</f>
      </c>
      <c r="Z144" s="24">
        <f>Z137-Z130</f>
      </c>
      <c r="AA144" s="24">
        <f>AA137-AA130</f>
      </c>
      <c r="AB144" s="24">
        <f>AB137-AB130</f>
      </c>
      <c r="AC144" s="24">
        <f>AC137-AC130</f>
      </c>
      <c r="AD144" s="24">
        <f>AD137-AD130</f>
      </c>
      <c r="AE144" s="24">
        <f>AE137-AE130</f>
      </c>
      <c r="AF144" s="24">
        <f>AF137-AF130</f>
      </c>
      <c r="AG144" s="24">
        <f>AG137-AG130</f>
      </c>
      <c r="AH144" s="24">
        <f>AH137-AH130</f>
      </c>
      <c r="AI144" s="24">
        <f>AI137-AI130</f>
      </c>
      <c r="AJ144" s="24">
        <f>AJ137-AJ130</f>
      </c>
      <c r="AK144" s="24">
        <f>AK137-AK130</f>
      </c>
      <c r="AL144" s="24">
        <f>AL137-AL130</f>
      </c>
      <c r="AM144" s="19"/>
    </row>
    <row r="145" ht="12.75" customHeight="1" spans="2:39" x14ac:dyDescent="0.25">
      <c r="B145" s="16"/>
      <c r="C145" s="17"/>
      <c r="D145" s="17" t="s">
        <v>42</v>
      </c>
      <c r="E145" s="17"/>
      <c r="F145" s="17"/>
      <c r="G145" s="24">
        <f>G138-G131</f>
      </c>
      <c r="H145" s="24">
        <f>H138-H131</f>
      </c>
      <c r="I145" s="24">
        <f>I138-I131</f>
      </c>
      <c r="J145" s="24">
        <f>J138-J131</f>
      </c>
      <c r="K145" s="24">
        <f>K138-K131</f>
      </c>
      <c r="L145" s="24">
        <f>L138-L131</f>
      </c>
      <c r="M145" s="24">
        <f>M138-M131</f>
      </c>
      <c r="N145" s="24">
        <f>N138-N131</f>
      </c>
      <c r="O145" s="24">
        <f>O138-O131</f>
      </c>
      <c r="P145" s="24">
        <f>P138-P131</f>
      </c>
      <c r="Q145" s="24">
        <f>Q138-Q131</f>
      </c>
      <c r="R145" s="24">
        <f>R138-R131</f>
      </c>
      <c r="S145" s="24">
        <f>S138-S131</f>
      </c>
      <c r="T145" s="24">
        <f>T138-T131</f>
      </c>
      <c r="U145" s="24">
        <f>U138-U131</f>
      </c>
      <c r="V145" s="24">
        <f>V138-V131</f>
      </c>
      <c r="W145" s="24">
        <f>W138-W131</f>
      </c>
      <c r="X145" s="24">
        <f>X138-X131</f>
      </c>
      <c r="Y145" s="24">
        <f>Y138-Y131</f>
      </c>
      <c r="Z145" s="24">
        <f>Z138-Z131</f>
      </c>
      <c r="AA145" s="24">
        <f>AA138-AA131</f>
      </c>
      <c r="AB145" s="24">
        <f>AB138-AB131</f>
      </c>
      <c r="AC145" s="24">
        <f>AC138-AC131</f>
      </c>
      <c r="AD145" s="24">
        <f>AD138-AD131</f>
      </c>
      <c r="AE145" s="24">
        <f>AE138-AE131</f>
      </c>
      <c r="AF145" s="24">
        <f>AF138-AF131</f>
      </c>
      <c r="AG145" s="24">
        <f>AG138-AG131</f>
      </c>
      <c r="AH145" s="24">
        <f>AH138-AH131</f>
      </c>
      <c r="AI145" s="24">
        <f>AI138-AI131</f>
      </c>
      <c r="AJ145" s="24">
        <f>AJ138-AJ131</f>
      </c>
      <c r="AK145" s="24">
        <f>AK138-AK131</f>
      </c>
      <c r="AL145" s="24">
        <f>AL138-AL131</f>
      </c>
      <c r="AM145" s="19"/>
    </row>
    <row r="146" ht="12.75" customHeight="1" spans="2:39" x14ac:dyDescent="0.25">
      <c r="B146" s="16"/>
      <c r="C146" s="17"/>
      <c r="D146" s="17" t="s">
        <v>43</v>
      </c>
      <c r="E146" s="17"/>
      <c r="F146" s="17"/>
      <c r="G146" s="24">
        <f>G139-G132</f>
      </c>
      <c r="H146" s="24">
        <f>H139-H132</f>
      </c>
      <c r="I146" s="24">
        <f>I139-I132</f>
      </c>
      <c r="J146" s="24">
        <f>J139-J132</f>
      </c>
      <c r="K146" s="24">
        <f>K139-K132</f>
      </c>
      <c r="L146" s="24">
        <f>L139-L132</f>
      </c>
      <c r="M146" s="24">
        <f>M139-M132</f>
      </c>
      <c r="N146" s="24">
        <f>N139-N132</f>
      </c>
      <c r="O146" s="24">
        <f>O139-O132</f>
      </c>
      <c r="P146" s="24">
        <f>P139-P132</f>
      </c>
      <c r="Q146" s="24">
        <f>Q139-Q132</f>
      </c>
      <c r="R146" s="24">
        <f>R139-R132</f>
      </c>
      <c r="S146" s="24">
        <f>S139-S132</f>
      </c>
      <c r="T146" s="24">
        <f>T139-T132</f>
      </c>
      <c r="U146" s="24">
        <f>U139-U132</f>
      </c>
      <c r="V146" s="24">
        <f>V139-V132</f>
      </c>
      <c r="W146" s="24">
        <f>W139-W132</f>
      </c>
      <c r="X146" s="24">
        <f>X139-X132</f>
      </c>
      <c r="Y146" s="24">
        <f>Y139-Y132</f>
      </c>
      <c r="Z146" s="24">
        <f>Z139-Z132</f>
      </c>
      <c r="AA146" s="24">
        <f>AA139-AA132</f>
      </c>
      <c r="AB146" s="24">
        <f>AB139-AB132</f>
      </c>
      <c r="AC146" s="24">
        <f>AC139-AC132</f>
      </c>
      <c r="AD146" s="24">
        <f>AD139-AD132</f>
      </c>
      <c r="AE146" s="24">
        <f>AE139-AE132</f>
      </c>
      <c r="AF146" s="24">
        <f>AF139-AF132</f>
      </c>
      <c r="AG146" s="24">
        <f>AG139-AG132</f>
      </c>
      <c r="AH146" s="24">
        <f>AH139-AH132</f>
      </c>
      <c r="AI146" s="24">
        <f>AI139-AI132</f>
      </c>
      <c r="AJ146" s="24">
        <f>AJ139-AJ132</f>
      </c>
      <c r="AK146" s="24">
        <f>AK139-AK132</f>
      </c>
      <c r="AL146" s="24">
        <f>AL139-AL132</f>
      </c>
      <c r="AM146" s="19"/>
    </row>
    <row r="147" ht="12.75" customHeight="1" spans="2:39" x14ac:dyDescent="0.25">
      <c r="B147" s="16"/>
      <c r="C147" s="17"/>
      <c r="D147" s="17" t="s">
        <v>44</v>
      </c>
      <c r="E147" s="17"/>
      <c r="F147" s="17"/>
      <c r="G147" s="24">
        <f>G140-G133</f>
      </c>
      <c r="H147" s="24">
        <f>H140-H133</f>
      </c>
      <c r="I147" s="24">
        <f>I140-I133</f>
      </c>
      <c r="J147" s="24">
        <f>J140-J133</f>
      </c>
      <c r="K147" s="24">
        <f>K140-K133</f>
      </c>
      <c r="L147" s="24">
        <f>L140-L133</f>
      </c>
      <c r="M147" s="24">
        <f>M140-M133</f>
      </c>
      <c r="N147" s="24">
        <f>N140-N133</f>
      </c>
      <c r="O147" s="24">
        <f>O140-O133</f>
      </c>
      <c r="P147" s="24">
        <f>P140-P133</f>
      </c>
      <c r="Q147" s="24">
        <f>Q140-Q133</f>
      </c>
      <c r="R147" s="24">
        <f>R140-R133</f>
      </c>
      <c r="S147" s="24">
        <f>S140-S133</f>
      </c>
      <c r="T147" s="24">
        <f>T140-T133</f>
      </c>
      <c r="U147" s="24">
        <f>U140-U133</f>
      </c>
      <c r="V147" s="24">
        <f>V140-V133</f>
      </c>
      <c r="W147" s="24">
        <f>W140-W133</f>
      </c>
      <c r="X147" s="24">
        <f>X140-X133</f>
      </c>
      <c r="Y147" s="24">
        <f>Y140-Y133</f>
      </c>
      <c r="Z147" s="24">
        <f>Z140-Z133</f>
      </c>
      <c r="AA147" s="24">
        <f>AA140-AA133</f>
      </c>
      <c r="AB147" s="24">
        <f>AB140-AB133</f>
      </c>
      <c r="AC147" s="24">
        <f>AC140-AC133</f>
      </c>
      <c r="AD147" s="24">
        <f>AD140-AD133</f>
      </c>
      <c r="AE147" s="24">
        <f>AE140-AE133</f>
      </c>
      <c r="AF147" s="24">
        <f>AF140-AF133</f>
      </c>
      <c r="AG147" s="24">
        <f>AG140-AG133</f>
      </c>
      <c r="AH147" s="24">
        <f>AH140-AH133</f>
      </c>
      <c r="AI147" s="24">
        <f>AI140-AI133</f>
      </c>
      <c r="AJ147" s="24">
        <f>AJ140-AJ133</f>
      </c>
      <c r="AK147" s="24">
        <f>AK140-AK133</f>
      </c>
      <c r="AL147" s="24">
        <f>AL140-AL133</f>
      </c>
      <c r="AM147" s="19"/>
    </row>
    <row r="148" ht="12.75" customHeight="1" spans="2:39" x14ac:dyDescent="0.25">
      <c r="B148" s="20"/>
      <c r="C148" s="21"/>
      <c r="D148" s="21" t="s">
        <v>45</v>
      </c>
      <c r="E148" s="21"/>
      <c r="F148" s="21"/>
      <c r="G148" s="25">
        <f>G144+G145+G146+G147</f>
      </c>
      <c r="H148" s="25">
        <f>H144+H145+H146+H147</f>
      </c>
      <c r="I148" s="25">
        <f>I144+I145+I146+I147</f>
      </c>
      <c r="J148" s="25">
        <f>J144+J145+J146+J147</f>
      </c>
      <c r="K148" s="25">
        <f>K144+K145+K146+K147</f>
      </c>
      <c r="L148" s="25">
        <f>L144+L145+L146+L147</f>
      </c>
      <c r="M148" s="25">
        <f>M144+M145+M146+M147</f>
      </c>
      <c r="N148" s="25">
        <f>N144+N145+N146+N147</f>
      </c>
      <c r="O148" s="25">
        <f>O144+O145+O146+O147</f>
      </c>
      <c r="P148" s="25">
        <f>P144+P145+P146+P147</f>
      </c>
      <c r="Q148" s="25">
        <f>Q144+Q145+Q146+Q147</f>
      </c>
      <c r="R148" s="25">
        <f>R144+R145+R146+R147</f>
      </c>
      <c r="S148" s="25">
        <f>S144+S145+S146+S147</f>
      </c>
      <c r="T148" s="25">
        <f>T144+T145+T146+T147</f>
      </c>
      <c r="U148" s="25">
        <f>U144+U145+U146+U147</f>
      </c>
      <c r="V148" s="25">
        <f>V144+V145+V146+V147</f>
      </c>
      <c r="W148" s="25">
        <f>W144+W145+W146+W147</f>
      </c>
      <c r="X148" s="25">
        <f>X144+X145+X146+X147</f>
      </c>
      <c r="Y148" s="25">
        <f>Y144+Y145+Y146+Y147</f>
      </c>
      <c r="Z148" s="25">
        <f>Z144+Z145+Z146+Z147</f>
      </c>
      <c r="AA148" s="25">
        <f>AA144+AA145+AA146+AA147</f>
      </c>
      <c r="AB148" s="25">
        <f>AB144+AB145+AB146+AB147</f>
      </c>
      <c r="AC148" s="25">
        <f>AC144+AC145+AC146+AC147</f>
      </c>
      <c r="AD148" s="25">
        <f>AD144+AD145+AD146+AD147</f>
      </c>
      <c r="AE148" s="25">
        <f>AE144+AE145+AE146+AE147</f>
      </c>
      <c r="AF148" s="25">
        <f>AF144+AF145+AF146+AF147</f>
      </c>
      <c r="AG148" s="25">
        <f>AG144+AG145+AG146+AG147</f>
      </c>
      <c r="AH148" s="25">
        <f>AH144+AH145+AH146+AH147</f>
      </c>
      <c r="AI148" s="25">
        <f>AI144+AI145+AI146+AI147</f>
      </c>
      <c r="AJ148" s="25">
        <f>AJ144+AJ145+AJ146+AJ147</f>
      </c>
      <c r="AK148" s="25">
        <f>AK144+AK145+AK146+AK147</f>
      </c>
      <c r="AL148" s="25">
        <f>AL144+AL145+AL146+AL147</f>
      </c>
      <c r="AM14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369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370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>
        <v>107.32</v>
      </c>
      <c r="U13" s="33">
        <v>137.49</v>
      </c>
      <c r="V13" s="33">
        <v>139.24</v>
      </c>
      <c r="W13" s="33">
        <v>128.22</v>
      </c>
      <c r="X13" s="33">
        <v>105.48</v>
      </c>
      <c r="Y13" s="33">
        <v>56.24</v>
      </c>
      <c r="Z13" s="33">
        <v>49.44</v>
      </c>
      <c r="AA13" s="33">
        <v>51.46</v>
      </c>
      <c r="AB13" s="33">
        <v>50.87</v>
      </c>
      <c r="AC13" s="33">
        <v>54.37</v>
      </c>
      <c r="AD13" s="33">
        <v>64.35</v>
      </c>
      <c r="AE13" s="33">
        <v>104.77</v>
      </c>
      <c r="AF13" s="33">
        <v>131.37</v>
      </c>
      <c r="AG13" s="33">
        <v>157.84</v>
      </c>
      <c r="AH13" s="33">
        <v>149.98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371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49.72</v>
      </c>
      <c r="AC14" s="33">
        <v>33.1</v>
      </c>
      <c r="AD14" s="33">
        <v>28.1</v>
      </c>
      <c r="AE14" s="33">
        <v>28.2</v>
      </c>
      <c r="AF14" s="33">
        <v>33.35</v>
      </c>
      <c r="AG14" s="33">
        <v>43.49</v>
      </c>
      <c r="AH14" s="33">
        <v>33.31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372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50.39</v>
      </c>
      <c r="AC15" s="36">
        <f>33.68+0.94</f>
        <v>34.62</v>
      </c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373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>
        <v>48.79</v>
      </c>
      <c r="U16" s="33">
        <v>48.73</v>
      </c>
      <c r="V16" s="33">
        <v>48.73</v>
      </c>
      <c r="W16" s="33">
        <v>48.73</v>
      </c>
      <c r="X16" s="33">
        <v>48.73</v>
      </c>
      <c r="Y16" s="33">
        <v>48.73</v>
      </c>
      <c r="Z16" s="33">
        <v>48.73</v>
      </c>
      <c r="AA16" s="33">
        <v>48.73</v>
      </c>
      <c r="AB16" s="33">
        <v>48.73</v>
      </c>
      <c r="AC16" s="33">
        <v>48.73</v>
      </c>
      <c r="AD16" s="33">
        <v>48.73</v>
      </c>
      <c r="AE16" s="33">
        <v>48.73</v>
      </c>
      <c r="AF16" s="33">
        <v>41.54</v>
      </c>
      <c r="AG16" s="33">
        <v>41.54</v>
      </c>
      <c r="AH16" s="33">
        <v>41.54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374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35.05</v>
      </c>
      <c r="U17" s="33">
        <v>71.91</v>
      </c>
      <c r="V17" s="33">
        <v>53.29</v>
      </c>
      <c r="W17" s="33">
        <v>61.7</v>
      </c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375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1979.1</v>
      </c>
      <c r="U18" s="33">
        <v>2004.71</v>
      </c>
      <c r="V18" s="33">
        <v>1809.43</v>
      </c>
      <c r="W18" s="33">
        <v>1711.9</v>
      </c>
      <c r="X18" s="33">
        <v>1478.68</v>
      </c>
      <c r="Y18" s="33">
        <v>1059.1</v>
      </c>
      <c r="Z18" s="33">
        <v>792.39</v>
      </c>
      <c r="AA18" s="33">
        <v>774.5</v>
      </c>
      <c r="AB18" s="33">
        <v>835.17</v>
      </c>
      <c r="AC18" s="33">
        <v>1074.74</v>
      </c>
      <c r="AD18" s="33">
        <v>1515.52</v>
      </c>
      <c r="AE18" s="33">
        <v>1759.03</v>
      </c>
      <c r="AF18" s="33">
        <v>2061.6</v>
      </c>
      <c r="AG18" s="33">
        <v>1982.03</v>
      </c>
      <c r="AH18" s="33">
        <v>1808.97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376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6">
        <f>74.45+0.00+100.00</f>
        <v>174.45</v>
      </c>
      <c r="AH19" s="33">
        <v>96.89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377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56.53</v>
      </c>
      <c r="U20" s="33">
        <v>-2.93</v>
      </c>
      <c r="V20" s="33">
        <v>132.1</v>
      </c>
      <c r="W20" s="33">
        <v>99.98</v>
      </c>
      <c r="X20" s="33">
        <v>74.49</v>
      </c>
      <c r="Y20" s="33">
        <v>75.08</v>
      </c>
      <c r="Z20" s="33">
        <v>65.51</v>
      </c>
      <c r="AA20" s="33">
        <v>69</v>
      </c>
      <c r="AB20" s="33">
        <v>72.63</v>
      </c>
      <c r="AC20" s="33">
        <v>71.45</v>
      </c>
      <c r="AD20" s="33">
        <v>64.5</v>
      </c>
      <c r="AE20" s="33">
        <v>75.96</v>
      </c>
      <c r="AF20" s="33">
        <v>94.17</v>
      </c>
      <c r="AG20" s="33">
        <v>87.03</v>
      </c>
      <c r="AH20" s="33">
        <v>90.17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378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>
        <v>294.29</v>
      </c>
      <c r="U21" s="33">
        <v>433.37</v>
      </c>
      <c r="V21" s="33">
        <v>419.74</v>
      </c>
      <c r="W21" s="33">
        <v>429.74</v>
      </c>
      <c r="X21" s="33">
        <v>343.27</v>
      </c>
      <c r="Y21" s="33">
        <v>438.28</v>
      </c>
      <c r="Z21" s="33">
        <v>443.78</v>
      </c>
      <c r="AA21" s="33">
        <v>515.87</v>
      </c>
      <c r="AB21" s="33">
        <v>423.5</v>
      </c>
      <c r="AC21" s="33">
        <v>391.37</v>
      </c>
      <c r="AD21" s="33">
        <v>329.67</v>
      </c>
      <c r="AE21" s="33">
        <v>333.15</v>
      </c>
      <c r="AF21" s="33">
        <v>320.86</v>
      </c>
      <c r="AG21" s="33">
        <v>429.73</v>
      </c>
      <c r="AH21" s="33">
        <v>353.59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227</v>
      </c>
      <c r="D22" s="32" t="s">
        <v>379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>
        <v>37.32</v>
      </c>
      <c r="U22" s="33">
        <v>135.39</v>
      </c>
      <c r="V22" s="33">
        <v>114.81</v>
      </c>
      <c r="W22" s="33">
        <v>84.9</v>
      </c>
      <c r="X22" s="33">
        <v>-92.77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227</v>
      </c>
      <c r="D23" s="32" t="s">
        <v>380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>
        <v>33.72</v>
      </c>
      <c r="U23" s="33">
        <v>75.44</v>
      </c>
      <c r="V23" s="33">
        <v>92.38</v>
      </c>
      <c r="W23" s="33">
        <v>29.54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227</v>
      </c>
      <c r="D24" s="32" t="s">
        <v>381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>
        <v>25.39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227</v>
      </c>
      <c r="D25" s="32" t="s">
        <v>382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v>28.48</v>
      </c>
      <c r="U25" s="33">
        <v>55.38</v>
      </c>
      <c r="V25" s="33">
        <v>52.87</v>
      </c>
      <c r="W25" s="33">
        <v>96.16</v>
      </c>
      <c r="X25" s="33">
        <v>60.37</v>
      </c>
      <c r="Y25" s="33">
        <v>27.07</v>
      </c>
      <c r="Z25" s="33">
        <v>27.07</v>
      </c>
      <c r="AA25" s="33">
        <v>27.07</v>
      </c>
      <c r="AB25" s="33">
        <v>27.07</v>
      </c>
      <c r="AC25" s="33">
        <v>27.07</v>
      </c>
      <c r="AD25" s="33">
        <v>27.82</v>
      </c>
      <c r="AE25" s="33">
        <v>30.33</v>
      </c>
      <c r="AF25" s="33">
        <v>32.5</v>
      </c>
      <c r="AG25" s="33">
        <v>32.5</v>
      </c>
      <c r="AH25" s="33">
        <v>32.5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227</v>
      </c>
      <c r="D26" s="32" t="s">
        <v>383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v>-3.13</v>
      </c>
      <c r="U26" s="33">
        <v>61.97</v>
      </c>
      <c r="V26" s="33">
        <v>61.93</v>
      </c>
      <c r="W26" s="36">
        <f>0.90+53.29</f>
        <v>54.19</v>
      </c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227</v>
      </c>
      <c r="D27" s="32" t="s">
        <v>384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3">
        <v>115.33</v>
      </c>
      <c r="AF27" s="33">
        <v>74.57</v>
      </c>
      <c r="AG27" s="33">
        <v>32.5</v>
      </c>
      <c r="AH27" s="33">
        <v>38.29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227</v>
      </c>
      <c r="D28" s="32" t="s">
        <v>385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>
        <v>46.41</v>
      </c>
      <c r="U28" s="33">
        <v>133.82</v>
      </c>
      <c r="V28" s="33">
        <v>92.49</v>
      </c>
      <c r="W28" s="33">
        <v>37.43</v>
      </c>
      <c r="X28" s="33">
        <v>27.07</v>
      </c>
      <c r="Y28" s="33">
        <v>27.07</v>
      </c>
      <c r="Z28" s="33">
        <v>27.07</v>
      </c>
      <c r="AA28" s="33">
        <v>27.07</v>
      </c>
      <c r="AB28" s="33">
        <v>27.07</v>
      </c>
      <c r="AC28" s="33">
        <v>27.07</v>
      </c>
      <c r="AD28" s="33">
        <v>27.07</v>
      </c>
      <c r="AE28" s="33">
        <v>27.07</v>
      </c>
      <c r="AF28" s="33">
        <v>44.99</v>
      </c>
      <c r="AG28" s="33">
        <v>114.69</v>
      </c>
      <c r="AH28" s="33">
        <v>93.19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227</v>
      </c>
      <c r="D29" s="32" t="s">
        <v>386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3">
        <v>10.81</v>
      </c>
      <c r="AE29" s="36">
        <f>49.10+100.00+0.00</f>
        <v>149.1</v>
      </c>
      <c r="AF29" s="33">
        <v>55.82</v>
      </c>
      <c r="AG29" s="33">
        <v>104.03</v>
      </c>
      <c r="AH29" s="33">
        <v>108.72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227</v>
      </c>
      <c r="D30" s="32" t="s">
        <v>387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>
        <v>38.56</v>
      </c>
      <c r="U30" s="33">
        <v>25.22</v>
      </c>
      <c r="V30" s="33">
        <v>83.98</v>
      </c>
      <c r="W30" s="33">
        <v>74.14</v>
      </c>
      <c r="X30" s="33">
        <v>27.07</v>
      </c>
      <c r="Y30" s="33">
        <v>26.07</v>
      </c>
      <c r="Z30" s="33">
        <v>27.07</v>
      </c>
      <c r="AA30" s="33">
        <v>29.21</v>
      </c>
      <c r="AB30" s="33">
        <v>27.07</v>
      </c>
      <c r="AC30" s="33">
        <v>27.07</v>
      </c>
      <c r="AD30" s="33">
        <v>27.07</v>
      </c>
      <c r="AE30" s="33">
        <v>10.06</v>
      </c>
      <c r="AF30" s="33">
        <v>32.5</v>
      </c>
      <c r="AG30" s="33">
        <v>32.5</v>
      </c>
      <c r="AH30" s="33">
        <v>32.5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227</v>
      </c>
      <c r="D31" s="32" t="s">
        <v>388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>
        <v>64.72</v>
      </c>
      <c r="U31" s="33">
        <v>155.15</v>
      </c>
      <c r="V31" s="33">
        <v>132.49</v>
      </c>
      <c r="W31" s="33">
        <v>69.54</v>
      </c>
      <c r="X31" s="33">
        <v>27.07</v>
      </c>
      <c r="Y31" s="33">
        <v>27.07</v>
      </c>
      <c r="Z31" s="33">
        <v>32.96</v>
      </c>
      <c r="AA31" s="33">
        <v>29.47</v>
      </c>
      <c r="AB31" s="33">
        <v>27.07</v>
      </c>
      <c r="AC31" s="33">
        <v>27.07</v>
      </c>
      <c r="AD31" s="33">
        <v>27.07</v>
      </c>
      <c r="AE31" s="33">
        <v>27.07</v>
      </c>
      <c r="AF31" s="36">
        <f>9.74+72.99</f>
        <v>82.72999999999999</v>
      </c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227</v>
      </c>
      <c r="D32" s="32" t="s">
        <v>389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>
        <v>194.44</v>
      </c>
      <c r="AG32" s="33">
        <v>61.94</v>
      </c>
      <c r="AH32" s="33">
        <v>-161.24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227</v>
      </c>
      <c r="D33" s="32" t="s">
        <v>390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3">
        <v>60.06</v>
      </c>
      <c r="AA33" s="36">
        <f>4.73+33.14</f>
        <v>37.870000000000005</v>
      </c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227</v>
      </c>
      <c r="D34" s="32" t="s">
        <v>391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>
        <v>404.4</v>
      </c>
      <c r="U34" s="33">
        <v>542.55</v>
      </c>
      <c r="V34" s="33">
        <v>387.59</v>
      </c>
      <c r="W34" s="33">
        <v>392.68</v>
      </c>
      <c r="X34" s="33">
        <v>391.06</v>
      </c>
      <c r="Y34" s="33">
        <v>494.46</v>
      </c>
      <c r="Z34" s="33">
        <v>429.88</v>
      </c>
      <c r="AA34" s="33">
        <v>511.56</v>
      </c>
      <c r="AB34" s="33">
        <v>400.19</v>
      </c>
      <c r="AC34" s="33">
        <v>356.58</v>
      </c>
      <c r="AD34" s="33">
        <v>282.01</v>
      </c>
      <c r="AE34" s="33">
        <v>295.91</v>
      </c>
      <c r="AF34" s="33">
        <v>384.37</v>
      </c>
      <c r="AG34" s="33">
        <v>798.02</v>
      </c>
      <c r="AH34" s="33">
        <v>436.72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227</v>
      </c>
      <c r="D35" s="32" t="s">
        <v>392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6">
        <f>100.00+14.42</f>
        <v>114.42</v>
      </c>
      <c r="AF35" s="33">
        <v>46.1</v>
      </c>
      <c r="AG35" s="33">
        <v>109.36</v>
      </c>
      <c r="AH35" s="33">
        <v>110.29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227</v>
      </c>
      <c r="D36" s="32" t="s">
        <v>393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3">
        <v>81.26</v>
      </c>
      <c r="AH36" s="33">
        <v>57.74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227</v>
      </c>
      <c r="D37" s="32" t="s">
        <v>394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>
        <v>-12.58</v>
      </c>
      <c r="U37" s="33">
        <v>15.82</v>
      </c>
      <c r="V37" s="33">
        <v>32.65</v>
      </c>
      <c r="W37" s="33">
        <v>31.32</v>
      </c>
      <c r="X37" s="33">
        <v>27.78</v>
      </c>
      <c r="Y37" s="33">
        <v>27.07</v>
      </c>
      <c r="Z37" s="33">
        <v>27.07</v>
      </c>
      <c r="AA37" s="33">
        <v>27.07</v>
      </c>
      <c r="AB37" s="33">
        <v>29.27</v>
      </c>
      <c r="AC37" s="33">
        <v>28.84</v>
      </c>
      <c r="AD37" s="33">
        <v>27.07</v>
      </c>
      <c r="AE37" s="33">
        <v>148.9</v>
      </c>
      <c r="AF37" s="33">
        <v>68.9</v>
      </c>
      <c r="AG37" s="33">
        <v>70.35</v>
      </c>
      <c r="AH37" s="33">
        <v>133.18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227</v>
      </c>
      <c r="D38" s="32" t="s">
        <v>395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27.07</v>
      </c>
      <c r="U38" s="33">
        <v>106.4</v>
      </c>
      <c r="V38" s="33">
        <v>127.4</v>
      </c>
      <c r="W38" s="33">
        <v>166.77</v>
      </c>
      <c r="X38" s="33">
        <v>36.18</v>
      </c>
      <c r="Y38" s="33">
        <v>27.07</v>
      </c>
      <c r="Z38" s="33">
        <v>27.07</v>
      </c>
      <c r="AA38" s="33">
        <v>27.07</v>
      </c>
      <c r="AB38" s="33">
        <v>27.07</v>
      </c>
      <c r="AC38" s="33">
        <v>27.07</v>
      </c>
      <c r="AD38" s="33">
        <v>27.07</v>
      </c>
      <c r="AE38" s="33">
        <v>29.71</v>
      </c>
      <c r="AF38" s="33">
        <v>40.62</v>
      </c>
      <c r="AG38" s="33">
        <v>87.07</v>
      </c>
      <c r="AH38" s="33">
        <v>44.06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227</v>
      </c>
      <c r="D39" s="32" t="s">
        <v>396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6">
        <f>100.00+18.57</f>
        <v>118.57</v>
      </c>
      <c r="AF39" s="33">
        <v>71.93</v>
      </c>
      <c r="AG39" s="33">
        <v>52.68</v>
      </c>
      <c r="AH39" s="33">
        <v>32.5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227</v>
      </c>
      <c r="D40" s="32" t="s">
        <v>397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>
        <v>71.94</v>
      </c>
      <c r="U40" s="33">
        <v>72.15</v>
      </c>
      <c r="V40" s="33">
        <v>72.15</v>
      </c>
      <c r="W40" s="33">
        <v>72.15</v>
      </c>
      <c r="X40" s="33">
        <v>72.15</v>
      </c>
      <c r="Y40" s="33">
        <v>72.15</v>
      </c>
      <c r="Z40" s="33">
        <v>72.15</v>
      </c>
      <c r="AA40" s="33">
        <v>72.15</v>
      </c>
      <c r="AB40" s="33">
        <v>72.15</v>
      </c>
      <c r="AC40" s="33">
        <v>72.15</v>
      </c>
      <c r="AD40" s="33">
        <v>72.15</v>
      </c>
      <c r="AE40" s="33">
        <v>72.15</v>
      </c>
      <c r="AF40" s="33">
        <v>64.62</v>
      </c>
      <c r="AG40" s="33">
        <v>64.62</v>
      </c>
      <c r="AH40" s="33">
        <v>64.62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227</v>
      </c>
      <c r="D41" s="32" t="s">
        <v>398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>
        <v>31.72</v>
      </c>
      <c r="U41" s="33">
        <v>56.3</v>
      </c>
      <c r="V41" s="33">
        <v>52.63</v>
      </c>
      <c r="W41" s="33">
        <v>52.11</v>
      </c>
      <c r="X41" s="33">
        <v>28.14</v>
      </c>
      <c r="Y41" s="33">
        <v>28.2</v>
      </c>
      <c r="Z41" s="33">
        <v>28.1</v>
      </c>
      <c r="AA41" s="33">
        <v>28.14</v>
      </c>
      <c r="AB41" s="33">
        <v>28.2</v>
      </c>
      <c r="AC41" s="33">
        <v>28.14</v>
      </c>
      <c r="AD41" s="33">
        <v>28.1</v>
      </c>
      <c r="AE41" s="33">
        <v>28.14</v>
      </c>
      <c r="AF41" s="33">
        <v>36.66</v>
      </c>
      <c r="AG41" s="33">
        <v>57.6</v>
      </c>
      <c r="AH41" s="33">
        <v>62.24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227</v>
      </c>
      <c r="D42" s="32" t="s">
        <v>399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>
        <v>106.95</v>
      </c>
      <c r="U42" s="33">
        <v>50.26</v>
      </c>
      <c r="V42" s="33">
        <v>98.41</v>
      </c>
      <c r="W42" s="33">
        <v>94.09</v>
      </c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227</v>
      </c>
      <c r="D43" s="32" t="s">
        <v>400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>
        <v>100</v>
      </c>
      <c r="V43" s="33">
        <v>62.77</v>
      </c>
      <c r="W43" s="33">
        <v>27.07</v>
      </c>
      <c r="X43" s="33">
        <v>27.07</v>
      </c>
      <c r="Y43" s="33">
        <v>27.07</v>
      </c>
      <c r="Z43" s="33">
        <v>27.07</v>
      </c>
      <c r="AA43" s="33">
        <v>27.07</v>
      </c>
      <c r="AB43" s="33">
        <v>27.07</v>
      </c>
      <c r="AC43" s="33">
        <v>27.07</v>
      </c>
      <c r="AD43" s="33">
        <v>27.07</v>
      </c>
      <c r="AE43" s="33">
        <v>27.07</v>
      </c>
      <c r="AF43" s="33">
        <v>32.5</v>
      </c>
      <c r="AG43" s="33">
        <v>50.96</v>
      </c>
      <c r="AH43" s="33">
        <v>30.29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227</v>
      </c>
      <c r="D44" s="32" t="s">
        <v>401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>
        <v>70.39</v>
      </c>
      <c r="U44" s="33">
        <v>114.58</v>
      </c>
      <c r="V44" s="33">
        <v>147.53</v>
      </c>
      <c r="W44" s="33">
        <v>169.23</v>
      </c>
      <c r="X44" s="33">
        <v>28.73</v>
      </c>
      <c r="Y44" s="33">
        <v>27.25</v>
      </c>
      <c r="Z44" s="33">
        <v>28.14</v>
      </c>
      <c r="AA44" s="33">
        <v>28.14</v>
      </c>
      <c r="AB44" s="33">
        <v>28.25</v>
      </c>
      <c r="AC44" s="33">
        <v>29.4</v>
      </c>
      <c r="AD44" s="36">
        <f>29.21+-94.28</f>
        <v>-65.07</v>
      </c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227</v>
      </c>
      <c r="D45" s="32" t="s">
        <v>402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3">
        <v>29.62</v>
      </c>
      <c r="Y45" s="33">
        <v>33.2</v>
      </c>
      <c r="Z45" s="33">
        <v>33.1</v>
      </c>
      <c r="AA45" s="33">
        <v>32.98</v>
      </c>
      <c r="AB45" s="33">
        <v>28.2</v>
      </c>
      <c r="AC45" s="33">
        <v>28.1</v>
      </c>
      <c r="AD45" s="33">
        <v>28.1</v>
      </c>
      <c r="AE45" s="33">
        <v>103.78</v>
      </c>
      <c r="AF45" s="33">
        <v>72.34</v>
      </c>
      <c r="AG45" s="33">
        <v>117.75</v>
      </c>
      <c r="AH45" s="33">
        <v>104.87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227</v>
      </c>
      <c r="D46" s="32" t="s">
        <v>403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>
        <v>27.07</v>
      </c>
      <c r="U46" s="33">
        <v>27.07</v>
      </c>
      <c r="V46" s="33">
        <v>27.07</v>
      </c>
      <c r="W46" s="33">
        <v>27.07</v>
      </c>
      <c r="X46" s="33">
        <v>27.07</v>
      </c>
      <c r="Y46" s="33">
        <v>27.07</v>
      </c>
      <c r="Z46" s="33">
        <v>27.07</v>
      </c>
      <c r="AA46" s="33">
        <v>27.07</v>
      </c>
      <c r="AB46" s="33">
        <v>27.07</v>
      </c>
      <c r="AC46" s="33">
        <v>27.07</v>
      </c>
      <c r="AD46" s="33">
        <v>27.07</v>
      </c>
      <c r="AE46" s="33">
        <v>27.07</v>
      </c>
      <c r="AF46" s="33">
        <v>32.5</v>
      </c>
      <c r="AG46" s="33">
        <v>32.5</v>
      </c>
      <c r="AH46" s="33">
        <v>32.5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227</v>
      </c>
      <c r="D47" s="32" t="s">
        <v>404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>
        <v>36.47</v>
      </c>
      <c r="U47" s="33">
        <v>95.8</v>
      </c>
      <c r="V47" s="33">
        <v>63.12</v>
      </c>
      <c r="W47" s="33">
        <v>38.32</v>
      </c>
      <c r="X47" s="33">
        <v>27.07</v>
      </c>
      <c r="Y47" s="33">
        <v>27.07</v>
      </c>
      <c r="Z47" s="33">
        <v>27.07</v>
      </c>
      <c r="AA47" s="33">
        <v>27.07</v>
      </c>
      <c r="AB47" s="33">
        <v>27.07</v>
      </c>
      <c r="AC47" s="33">
        <v>27.07</v>
      </c>
      <c r="AD47" s="33">
        <v>27.07</v>
      </c>
      <c r="AE47" s="33">
        <v>27.07</v>
      </c>
      <c r="AF47" s="33">
        <v>40.66</v>
      </c>
      <c r="AG47" s="33">
        <v>156.37</v>
      </c>
      <c r="AH47" s="33">
        <v>138.74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227</v>
      </c>
      <c r="D48" s="32" t="s">
        <v>405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>
        <v>123.06</v>
      </c>
      <c r="U48" s="33">
        <v>135.39</v>
      </c>
      <c r="V48" s="33">
        <v>103.67</v>
      </c>
      <c r="W48" s="33">
        <v>-62.8</v>
      </c>
      <c r="X48" s="33">
        <v>-34.7</v>
      </c>
      <c r="Y48" s="33">
        <v>-6.45</v>
      </c>
      <c r="Z48" s="33">
        <v>21.65</v>
      </c>
      <c r="AA48" s="33">
        <v>28.14</v>
      </c>
      <c r="AB48" s="33">
        <v>28.25</v>
      </c>
      <c r="AC48" s="33">
        <v>28.1</v>
      </c>
      <c r="AD48" s="33">
        <v>35.75</v>
      </c>
      <c r="AE48" s="33">
        <v>84.61</v>
      </c>
      <c r="AF48" s="33">
        <v>106.57</v>
      </c>
      <c r="AG48" s="33">
        <v>149.13</v>
      </c>
      <c r="AH48" s="33">
        <v>84.82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227</v>
      </c>
      <c r="D49" s="32" t="s">
        <v>406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3">
        <v>49.66</v>
      </c>
      <c r="AC49" s="33">
        <v>33.14</v>
      </c>
      <c r="AD49" s="33">
        <v>28.04</v>
      </c>
      <c r="AE49" s="33">
        <v>28.2</v>
      </c>
      <c r="AF49" s="33">
        <v>58.12</v>
      </c>
      <c r="AG49" s="33">
        <v>113.5</v>
      </c>
      <c r="AH49" s="33">
        <v>38.53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227</v>
      </c>
      <c r="D50" s="32" t="s">
        <v>407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6">
        <f>107.67+100.00</f>
        <v>207.67000000000002</v>
      </c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227</v>
      </c>
      <c r="D51" s="32" t="s">
        <v>408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6">
        <f>55.18+117.68</f>
        <v>172.86</v>
      </c>
      <c r="AH51" s="33">
        <v>18.82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227</v>
      </c>
      <c r="D52" s="32" t="s">
        <v>409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3">
        <v>49.66</v>
      </c>
      <c r="AC52" s="33">
        <v>33.14</v>
      </c>
      <c r="AD52" s="33">
        <v>28.1</v>
      </c>
      <c r="AE52" s="33">
        <v>28.14</v>
      </c>
      <c r="AF52" s="33">
        <v>136.61</v>
      </c>
      <c r="AG52" s="33">
        <v>169.96</v>
      </c>
      <c r="AH52" s="33">
        <v>122.92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227</v>
      </c>
      <c r="D53" s="32" t="s">
        <v>410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v>387.63</v>
      </c>
      <c r="U53" s="33">
        <v>466.65</v>
      </c>
      <c r="V53" s="33">
        <v>462.03</v>
      </c>
      <c r="W53" s="33">
        <v>449.85</v>
      </c>
      <c r="X53" s="33">
        <v>426.69</v>
      </c>
      <c r="Y53" s="33">
        <v>335.6</v>
      </c>
      <c r="Z53" s="33">
        <v>264.06</v>
      </c>
      <c r="AA53" s="33">
        <v>263.06</v>
      </c>
      <c r="AB53" s="33">
        <v>231.92</v>
      </c>
      <c r="AC53" s="33">
        <v>278.82</v>
      </c>
      <c r="AD53" s="33">
        <v>317.64</v>
      </c>
      <c r="AE53" s="33">
        <v>457.39</v>
      </c>
      <c r="AF53" s="33">
        <v>475.1</v>
      </c>
      <c r="AG53" s="33">
        <v>552.75</v>
      </c>
      <c r="AH53" s="33">
        <v>547.68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227</v>
      </c>
      <c r="D54" s="32" t="s">
        <v>411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3">
        <v>33.38</v>
      </c>
      <c r="Y54" s="33">
        <v>32.07</v>
      </c>
      <c r="Z54" s="33">
        <v>32.07</v>
      </c>
      <c r="AA54" s="33">
        <v>32.07</v>
      </c>
      <c r="AB54" s="33">
        <v>27.07</v>
      </c>
      <c r="AC54" s="33">
        <v>27.07</v>
      </c>
      <c r="AD54" s="33">
        <v>12.64</v>
      </c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227</v>
      </c>
      <c r="D55" s="32" t="s">
        <v>412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6">
        <f>138.29+100.00</f>
        <v>238.29</v>
      </c>
      <c r="AH55" s="33">
        <v>-2.69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227</v>
      </c>
      <c r="D56" s="32" t="s">
        <v>413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>
        <v>27.07</v>
      </c>
      <c r="U56" s="33">
        <v>12.14</v>
      </c>
      <c r="V56" s="33">
        <v>27.07</v>
      </c>
      <c r="W56" s="33">
        <v>27.07</v>
      </c>
      <c r="X56" s="33">
        <v>27.07</v>
      </c>
      <c r="Y56" s="33">
        <v>-69.45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227</v>
      </c>
      <c r="D57" s="32" t="s">
        <v>414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>
        <v>1570.58</v>
      </c>
      <c r="U57" s="33">
        <v>1673.32</v>
      </c>
      <c r="V57" s="33">
        <v>1885.24</v>
      </c>
      <c r="W57" s="33">
        <v>1648.82</v>
      </c>
      <c r="X57" s="33">
        <v>1421.67</v>
      </c>
      <c r="Y57" s="33">
        <v>1347.72</v>
      </c>
      <c r="Z57" s="33">
        <v>1115.34</v>
      </c>
      <c r="AA57" s="33">
        <v>1229.03</v>
      </c>
      <c r="AB57" s="33">
        <v>1238.26</v>
      </c>
      <c r="AC57" s="33">
        <v>1214.85</v>
      </c>
      <c r="AD57" s="33">
        <v>1321.51</v>
      </c>
      <c r="AE57" s="33">
        <v>1560.27</v>
      </c>
      <c r="AF57" s="33">
        <v>1648.8</v>
      </c>
      <c r="AG57" s="33">
        <v>1722.29</v>
      </c>
      <c r="AH57" s="33">
        <v>1702.26</v>
      </c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227</v>
      </c>
      <c r="D58" s="32" t="s">
        <v>415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3">
        <v>49.77</v>
      </c>
      <c r="AC58" s="33">
        <v>33.14</v>
      </c>
      <c r="AD58" s="36">
        <f>3.76+28.10</f>
        <v>31.86</v>
      </c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227</v>
      </c>
      <c r="D59" s="32" t="s">
        <v>416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>
        <v>29.17</v>
      </c>
      <c r="U59" s="33">
        <v>73.75</v>
      </c>
      <c r="V59" s="33">
        <v>62.99</v>
      </c>
      <c r="W59" s="36">
        <f>0.90+32.65</f>
        <v>33.55</v>
      </c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227</v>
      </c>
      <c r="D60" s="32" t="s">
        <v>417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3">
        <v>52.97</v>
      </c>
      <c r="AH60" s="36">
        <f>78.12+0.00</f>
        <v>78.12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227</v>
      </c>
      <c r="D61" s="32" t="s">
        <v>418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>
        <v>40.87</v>
      </c>
      <c r="U61" s="33">
        <v>116.78</v>
      </c>
      <c r="V61" s="33">
        <v>115.06</v>
      </c>
      <c r="W61" s="36">
        <f>-99.10+119.78</f>
        <v>20.680000000000007</v>
      </c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227</v>
      </c>
      <c r="D62" s="32" t="s">
        <v>419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>
        <v>37.73</v>
      </c>
      <c r="U62" s="33">
        <v>75.32</v>
      </c>
      <c r="V62" s="33">
        <v>72.3</v>
      </c>
      <c r="W62" s="33">
        <v>84.37</v>
      </c>
      <c r="X62" s="33">
        <v>45.56</v>
      </c>
      <c r="Y62" s="33">
        <v>27.07</v>
      </c>
      <c r="Z62" s="33">
        <v>27.07</v>
      </c>
      <c r="AA62" s="33">
        <v>27.07</v>
      </c>
      <c r="AB62" s="33">
        <v>27.07</v>
      </c>
      <c r="AC62" s="33">
        <v>27.07</v>
      </c>
      <c r="AD62" s="33">
        <v>27.07</v>
      </c>
      <c r="AE62" s="33">
        <v>27.23</v>
      </c>
      <c r="AF62" s="33">
        <v>33.08</v>
      </c>
      <c r="AG62" s="33">
        <v>76.46</v>
      </c>
      <c r="AH62" s="33">
        <v>81.9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227</v>
      </c>
      <c r="D63" s="32" t="s">
        <v>420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6">
        <f>100.00+17.62+134.20</f>
        <v>251.82</v>
      </c>
      <c r="X63" s="33">
        <v>-78.44</v>
      </c>
      <c r="Y63" s="33">
        <v>33.63</v>
      </c>
      <c r="Z63" s="33">
        <v>53.96</v>
      </c>
      <c r="AA63" s="33">
        <v>27.55</v>
      </c>
      <c r="AB63" s="33">
        <v>28.68</v>
      </c>
      <c r="AC63" s="33">
        <v>28.58</v>
      </c>
      <c r="AD63" s="36">
        <f>28.47+-100.09</f>
        <v>-71.62</v>
      </c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227</v>
      </c>
      <c r="D64" s="32" t="s">
        <v>421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>
        <v>21.69</v>
      </c>
      <c r="U64" s="33">
        <v>37.66</v>
      </c>
      <c r="V64" s="33">
        <v>36.18</v>
      </c>
      <c r="W64" s="33">
        <v>61.03</v>
      </c>
      <c r="X64" s="33">
        <v>33.72</v>
      </c>
      <c r="Y64" s="33">
        <v>27.07</v>
      </c>
      <c r="Z64" s="33">
        <v>27.07</v>
      </c>
      <c r="AA64" s="33">
        <v>27.07</v>
      </c>
      <c r="AB64" s="33">
        <v>27.07</v>
      </c>
      <c r="AC64" s="33">
        <v>27.07</v>
      </c>
      <c r="AD64" s="33">
        <v>29.4</v>
      </c>
      <c r="AE64" s="33">
        <v>53.55</v>
      </c>
      <c r="AF64" s="33">
        <v>48.85</v>
      </c>
      <c r="AG64" s="33">
        <v>63.3</v>
      </c>
      <c r="AH64" s="33">
        <v>50.96</v>
      </c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227</v>
      </c>
      <c r="D65" s="32" t="s">
        <v>422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3">
        <v>135.73</v>
      </c>
      <c r="Y65" s="33">
        <v>-76.83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227</v>
      </c>
      <c r="D66" s="32" t="s">
        <v>423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>
        <v>32.07</v>
      </c>
      <c r="U66" s="33">
        <v>37.18</v>
      </c>
      <c r="V66" s="33">
        <v>144.3</v>
      </c>
      <c r="W66" s="33">
        <v>144.6</v>
      </c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227</v>
      </c>
      <c r="D67" s="32" t="s">
        <v>424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6">
        <f>100.00+17.96</f>
        <v>117.96000000000001</v>
      </c>
      <c r="AF67" s="33">
        <v>52.42</v>
      </c>
      <c r="AG67" s="33">
        <v>91.57</v>
      </c>
      <c r="AH67" s="33">
        <v>64.92</v>
      </c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227</v>
      </c>
      <c r="D68" s="32" t="s">
        <v>425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>
        <v>116.74</v>
      </c>
      <c r="U68" s="33">
        <v>31.43</v>
      </c>
      <c r="V68" s="33">
        <v>103.74</v>
      </c>
      <c r="W68" s="33">
        <v>129.09</v>
      </c>
      <c r="X68" s="33">
        <v>137.35</v>
      </c>
      <c r="Y68" s="33">
        <v>186.44</v>
      </c>
      <c r="Z68" s="33">
        <v>171.08</v>
      </c>
      <c r="AA68" s="33">
        <v>202.38</v>
      </c>
      <c r="AB68" s="33">
        <v>194.1</v>
      </c>
      <c r="AC68" s="33">
        <v>172.67</v>
      </c>
      <c r="AD68" s="33">
        <v>141.27</v>
      </c>
      <c r="AE68" s="33">
        <v>135.17</v>
      </c>
      <c r="AF68" s="33">
        <v>130.76</v>
      </c>
      <c r="AG68" s="33">
        <v>224.94</v>
      </c>
      <c r="AH68" s="33">
        <v>148.33</v>
      </c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227</v>
      </c>
      <c r="D69" s="32" t="s">
        <v>426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>
        <v>65.59</v>
      </c>
      <c r="U69" s="33">
        <v>63.05</v>
      </c>
      <c r="V69" s="33">
        <v>55.23</v>
      </c>
      <c r="W69" s="33">
        <v>67.4</v>
      </c>
      <c r="X69" s="33">
        <v>62.62</v>
      </c>
      <c r="Y69" s="33">
        <v>56.75</v>
      </c>
      <c r="Z69" s="33">
        <v>60.77</v>
      </c>
      <c r="AA69" s="33">
        <v>53.76</v>
      </c>
      <c r="AB69" s="33">
        <v>66.83</v>
      </c>
      <c r="AC69" s="33">
        <v>60.16</v>
      </c>
      <c r="AD69" s="33">
        <v>59.43</v>
      </c>
      <c r="AE69" s="33">
        <v>55.5</v>
      </c>
      <c r="AF69" s="33">
        <v>61.31</v>
      </c>
      <c r="AG69" s="33">
        <v>-56.66</v>
      </c>
      <c r="AH69" s="33">
        <v>2.71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227</v>
      </c>
      <c r="D70" s="32" t="s">
        <v>427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>
        <v>118.03</v>
      </c>
      <c r="Z70" s="33">
        <v>32.07</v>
      </c>
      <c r="AA70" s="33">
        <v>-94.59</v>
      </c>
      <c r="AB70" s="32"/>
      <c r="AC70" s="32"/>
      <c r="AD70" s="32"/>
      <c r="AE70" s="32"/>
      <c r="AF70" s="32"/>
      <c r="AG70" s="32"/>
      <c r="AH70" s="32"/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227</v>
      </c>
      <c r="D71" s="32" t="s">
        <v>428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6">
        <f>66.94+117.68</f>
        <v>184.62</v>
      </c>
      <c r="AH71" s="33">
        <v>-130.99</v>
      </c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227</v>
      </c>
      <c r="D72" s="32" t="s">
        <v>429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>
        <v>42.63</v>
      </c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227</v>
      </c>
      <c r="D73" s="32" t="s">
        <v>430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6">
        <f>100.00+36.24</f>
        <v>136.24</v>
      </c>
      <c r="V73" s="33">
        <v>34.71</v>
      </c>
      <c r="W73" s="33">
        <v>29.4</v>
      </c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227</v>
      </c>
      <c r="D74" s="32" t="s">
        <v>431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>
        <v>55.71</v>
      </c>
      <c r="Z74" s="33">
        <v>33.63</v>
      </c>
      <c r="AA74" s="33">
        <v>7.65</v>
      </c>
      <c r="AB74" s="32"/>
      <c r="AC74" s="32"/>
      <c r="AD74" s="32"/>
      <c r="AE74" s="32"/>
      <c r="AF74" s="32"/>
      <c r="AG74" s="32"/>
      <c r="AH74" s="32"/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227</v>
      </c>
      <c r="D75" s="32" t="s">
        <v>432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>
        <v>128.41</v>
      </c>
      <c r="U75" s="33">
        <v>9.42</v>
      </c>
      <c r="V75" s="33">
        <v>116.38</v>
      </c>
      <c r="W75" s="33">
        <v>135.11</v>
      </c>
      <c r="X75" s="33">
        <v>103.91</v>
      </c>
      <c r="Y75" s="33">
        <v>28.2</v>
      </c>
      <c r="Z75" s="33">
        <v>28.14</v>
      </c>
      <c r="AA75" s="33">
        <v>28.2</v>
      </c>
      <c r="AB75" s="33">
        <v>28.25</v>
      </c>
      <c r="AC75" s="33">
        <v>28.14</v>
      </c>
      <c r="AD75" s="33">
        <v>67.2</v>
      </c>
      <c r="AE75" s="33">
        <v>137.75</v>
      </c>
      <c r="AF75" s="33">
        <v>136.2</v>
      </c>
      <c r="AG75" s="33">
        <v>157.76</v>
      </c>
      <c r="AH75" s="33">
        <v>136.46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227</v>
      </c>
      <c r="D76" s="32" t="s">
        <v>433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>
        <v>27.07</v>
      </c>
      <c r="U76" s="33">
        <v>7.88</v>
      </c>
      <c r="V76" s="33">
        <v>27.07</v>
      </c>
      <c r="W76" s="33">
        <v>42.29</v>
      </c>
      <c r="X76" s="33">
        <v>27.07</v>
      </c>
      <c r="Y76" s="33">
        <v>30.33</v>
      </c>
      <c r="Z76" s="33">
        <v>27.07</v>
      </c>
      <c r="AA76" s="33">
        <v>27.07</v>
      </c>
      <c r="AB76" s="33">
        <v>27.07</v>
      </c>
      <c r="AC76" s="33">
        <v>27.07</v>
      </c>
      <c r="AD76" s="33">
        <v>27.07</v>
      </c>
      <c r="AE76" s="33">
        <v>27.07</v>
      </c>
      <c r="AF76" s="33">
        <v>32.5</v>
      </c>
      <c r="AG76" s="33">
        <v>32.5</v>
      </c>
      <c r="AH76" s="33">
        <v>32.5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227</v>
      </c>
      <c r="D77" s="32" t="s">
        <v>434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3">
        <v>33.4</v>
      </c>
      <c r="Z77" s="33">
        <v>28.35</v>
      </c>
      <c r="AA77" s="33">
        <v>28.4</v>
      </c>
      <c r="AB77" s="33">
        <v>28.53</v>
      </c>
      <c r="AC77" s="33">
        <v>28.4</v>
      </c>
      <c r="AD77" s="33">
        <v>-76.27</v>
      </c>
      <c r="AE77" s="32"/>
      <c r="AF77" s="32"/>
      <c r="AG77" s="32"/>
      <c r="AH77" s="32"/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227</v>
      </c>
      <c r="D78" s="32" t="s">
        <v>435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3">
        <v>100</v>
      </c>
      <c r="Z78" s="33">
        <v>34.78</v>
      </c>
      <c r="AA78" s="33">
        <v>28.68</v>
      </c>
      <c r="AB78" s="33">
        <v>28.84</v>
      </c>
      <c r="AC78" s="33">
        <v>28.68</v>
      </c>
      <c r="AD78" s="33">
        <v>29.21</v>
      </c>
      <c r="AE78" s="32"/>
      <c r="AF78" s="32"/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227</v>
      </c>
      <c r="D79" s="32" t="s">
        <v>436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>
        <v>33.06</v>
      </c>
      <c r="U79" s="33">
        <v>51.72</v>
      </c>
      <c r="V79" s="33">
        <v>51.98</v>
      </c>
      <c r="W79" s="33">
        <v>32.96</v>
      </c>
      <c r="X79" s="33">
        <v>27.07</v>
      </c>
      <c r="Y79" s="33">
        <v>27.07</v>
      </c>
      <c r="Z79" s="33">
        <v>27.07</v>
      </c>
      <c r="AA79" s="33">
        <v>30.79</v>
      </c>
      <c r="AB79" s="33">
        <v>27.07</v>
      </c>
      <c r="AC79" s="33">
        <v>27.07</v>
      </c>
      <c r="AD79" s="33">
        <v>32.12</v>
      </c>
      <c r="AE79" s="33">
        <v>57.24</v>
      </c>
      <c r="AF79" s="33">
        <v>38.29</v>
      </c>
      <c r="AG79" s="33">
        <v>117.34</v>
      </c>
      <c r="AH79" s="33">
        <v>80.7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227</v>
      </c>
      <c r="D80" s="32" t="s">
        <v>437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>
        <v>27.07</v>
      </c>
      <c r="U80" s="33">
        <v>35.06</v>
      </c>
      <c r="V80" s="33">
        <v>66.66</v>
      </c>
      <c r="W80" s="33">
        <v>27.07</v>
      </c>
      <c r="X80" s="33">
        <v>27.07</v>
      </c>
      <c r="Y80" s="33">
        <v>27.07</v>
      </c>
      <c r="Z80" s="33">
        <v>27.07</v>
      </c>
      <c r="AA80" s="33">
        <v>27.07</v>
      </c>
      <c r="AB80" s="33">
        <v>27.07</v>
      </c>
      <c r="AC80" s="33">
        <v>27.07</v>
      </c>
      <c r="AD80" s="33">
        <v>27.07</v>
      </c>
      <c r="AE80" s="33">
        <v>27.07</v>
      </c>
      <c r="AF80" s="33">
        <v>37.96</v>
      </c>
      <c r="AG80" s="33">
        <v>103.01</v>
      </c>
      <c r="AH80" s="33">
        <v>71.93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227</v>
      </c>
      <c r="D81" s="32" t="s">
        <v>438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3">
        <v>123.14</v>
      </c>
      <c r="Z81" s="32"/>
      <c r="AA81" s="33">
        <v>70.27</v>
      </c>
      <c r="AB81" s="33">
        <v>27.07</v>
      </c>
      <c r="AC81" s="33">
        <v>27.07</v>
      </c>
      <c r="AD81" s="33">
        <v>27.07</v>
      </c>
      <c r="AE81" s="33">
        <v>27.07</v>
      </c>
      <c r="AF81" s="33">
        <v>42.54</v>
      </c>
      <c r="AG81" s="33">
        <v>152.68</v>
      </c>
      <c r="AH81" s="33">
        <v>82.17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227</v>
      </c>
      <c r="D82" s="32" t="s">
        <v>439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6">
        <f>134.34+110.81</f>
        <v>245.15</v>
      </c>
      <c r="AF82" s="33">
        <v>147.69</v>
      </c>
      <c r="AG82" s="33">
        <v>44.1</v>
      </c>
      <c r="AH82" s="33">
        <v>32.5</v>
      </c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227</v>
      </c>
      <c r="D83" s="32" t="s">
        <v>440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>
        <v>33.94</v>
      </c>
      <c r="U83" s="33">
        <v>146.76</v>
      </c>
      <c r="V83" s="33">
        <v>138.94</v>
      </c>
      <c r="W83" s="33">
        <v>150.57</v>
      </c>
      <c r="X83" s="33">
        <v>38</v>
      </c>
      <c r="Y83" s="33">
        <v>28.47</v>
      </c>
      <c r="Z83" s="33">
        <v>29.31</v>
      </c>
      <c r="AA83" s="33">
        <v>41.88</v>
      </c>
      <c r="AB83" s="33">
        <v>52.87</v>
      </c>
      <c r="AC83" s="33">
        <v>50.54</v>
      </c>
      <c r="AD83" s="33">
        <v>38.32</v>
      </c>
      <c r="AE83" s="33">
        <v>28.68</v>
      </c>
      <c r="AF83" s="33">
        <v>33.88</v>
      </c>
      <c r="AG83" s="33">
        <v>104.08</v>
      </c>
      <c r="AH83" s="33">
        <v>140.46</v>
      </c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227</v>
      </c>
      <c r="D84" s="32" t="s">
        <v>441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>
        <v>0</v>
      </c>
      <c r="U84" s="33">
        <v>159</v>
      </c>
      <c r="V84" s="33">
        <v>77.3</v>
      </c>
      <c r="W84" s="33">
        <v>34.25</v>
      </c>
      <c r="X84" s="33">
        <v>27.07</v>
      </c>
      <c r="Y84" s="33">
        <v>26.07</v>
      </c>
      <c r="Z84" s="33">
        <v>27.07</v>
      </c>
      <c r="AA84" s="33">
        <v>27.07</v>
      </c>
      <c r="AB84" s="33">
        <v>27.07</v>
      </c>
      <c r="AC84" s="33">
        <v>27.07</v>
      </c>
      <c r="AD84" s="33">
        <v>27.07</v>
      </c>
      <c r="AE84" s="33">
        <v>5.06</v>
      </c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227</v>
      </c>
      <c r="D85" s="32" t="s">
        <v>442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>
        <v>42.86</v>
      </c>
      <c r="U85" s="33">
        <v>107.44</v>
      </c>
      <c r="V85" s="33">
        <v>88.45</v>
      </c>
      <c r="W85" s="33">
        <v>82.66</v>
      </c>
      <c r="X85" s="33">
        <v>27.07</v>
      </c>
      <c r="Y85" s="33">
        <v>27.07</v>
      </c>
      <c r="Z85" s="33">
        <v>27.07</v>
      </c>
      <c r="AA85" s="33">
        <v>27.07</v>
      </c>
      <c r="AB85" s="33">
        <v>36.13</v>
      </c>
      <c r="AC85" s="33">
        <v>27.07</v>
      </c>
      <c r="AD85" s="33">
        <v>35.97</v>
      </c>
      <c r="AE85" s="33">
        <v>109.43</v>
      </c>
      <c r="AF85" s="33">
        <v>66.1</v>
      </c>
      <c r="AG85" s="33">
        <v>100.48</v>
      </c>
      <c r="AH85" s="33">
        <v>33.54</v>
      </c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227</v>
      </c>
      <c r="D86" s="32" t="s">
        <v>443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>
        <v>27.07</v>
      </c>
      <c r="U86" s="33">
        <v>36.13</v>
      </c>
      <c r="V86" s="33">
        <v>68.11</v>
      </c>
      <c r="W86" s="33">
        <v>62.99</v>
      </c>
      <c r="X86" s="33">
        <v>27.07</v>
      </c>
      <c r="Y86" s="33">
        <v>27.07</v>
      </c>
      <c r="Z86" s="33">
        <v>31.53</v>
      </c>
      <c r="AA86" s="33">
        <v>27.07</v>
      </c>
      <c r="AB86" s="33">
        <v>35.44</v>
      </c>
      <c r="AC86" s="33">
        <v>27.07</v>
      </c>
      <c r="AD86" s="33">
        <v>28.95</v>
      </c>
      <c r="AE86" s="33">
        <v>57.24</v>
      </c>
      <c r="AF86" s="33">
        <v>59.58</v>
      </c>
      <c r="AG86" s="33">
        <v>39.82</v>
      </c>
      <c r="AH86" s="33">
        <v>33.6</v>
      </c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227</v>
      </c>
      <c r="D87" s="32" t="s">
        <v>444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>
        <v>35.22</v>
      </c>
      <c r="U87" s="33">
        <v>71.26</v>
      </c>
      <c r="V87" s="33">
        <v>63.24</v>
      </c>
      <c r="W87" s="33">
        <v>75.98</v>
      </c>
      <c r="X87" s="33">
        <v>31.11</v>
      </c>
      <c r="Y87" s="33">
        <v>26.07</v>
      </c>
      <c r="Z87" s="33">
        <v>27.07</v>
      </c>
      <c r="AA87" s="33">
        <v>27.07</v>
      </c>
      <c r="AB87" s="33">
        <v>27.07</v>
      </c>
      <c r="AC87" s="33">
        <v>27.07</v>
      </c>
      <c r="AD87" s="36">
        <f>27.07+-96.83</f>
        <v>-69.75999999999999</v>
      </c>
      <c r="AE87" s="32"/>
      <c r="AF87" s="32"/>
      <c r="AG87" s="32"/>
      <c r="AH87" s="32"/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227</v>
      </c>
      <c r="D88" s="32" t="s">
        <v>445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>
        <v>61.73</v>
      </c>
      <c r="U88" s="33">
        <v>108.1</v>
      </c>
      <c r="V88" s="33">
        <v>84.25</v>
      </c>
      <c r="W88" s="33">
        <v>35.1</v>
      </c>
      <c r="X88" s="33">
        <v>27.07</v>
      </c>
      <c r="Y88" s="33">
        <v>26.07</v>
      </c>
      <c r="Z88" s="33">
        <v>27.07</v>
      </c>
      <c r="AA88" s="33">
        <v>27.07</v>
      </c>
      <c r="AB88" s="33">
        <v>27.07</v>
      </c>
      <c r="AC88" s="33">
        <v>27.07</v>
      </c>
      <c r="AD88" s="32"/>
      <c r="AE88" s="32"/>
      <c r="AF88" s="32"/>
      <c r="AG88" s="32"/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227</v>
      </c>
      <c r="D89" s="32" t="s">
        <v>446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>
        <v>32.07</v>
      </c>
      <c r="U89" s="33">
        <v>156.06</v>
      </c>
      <c r="V89" s="33">
        <v>138.01</v>
      </c>
      <c r="W89" s="33">
        <v>135.77</v>
      </c>
      <c r="X89" s="33">
        <v>27.07</v>
      </c>
      <c r="Y89" s="33">
        <v>26.07</v>
      </c>
      <c r="Z89" s="33">
        <v>27.07</v>
      </c>
      <c r="AA89" s="33">
        <v>27.07</v>
      </c>
      <c r="AB89" s="33">
        <v>27.07</v>
      </c>
      <c r="AC89" s="33">
        <v>27.07</v>
      </c>
      <c r="AD89" s="33">
        <v>27.07</v>
      </c>
      <c r="AE89" s="33">
        <v>27.07</v>
      </c>
      <c r="AF89" s="36">
        <f>32.50+-66.20</f>
        <v>-33.7</v>
      </c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227</v>
      </c>
      <c r="D90" s="32" t="s">
        <v>447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>
        <v>60.02</v>
      </c>
      <c r="U90" s="33">
        <v>67.25</v>
      </c>
      <c r="V90" s="33">
        <v>67.1</v>
      </c>
      <c r="W90" s="33">
        <v>60.59</v>
      </c>
      <c r="X90" s="33">
        <v>43.09</v>
      </c>
      <c r="Y90" s="33">
        <v>40.03</v>
      </c>
      <c r="Z90" s="33">
        <v>35.65</v>
      </c>
      <c r="AA90" s="33">
        <v>36.72</v>
      </c>
      <c r="AB90" s="33">
        <v>42.06</v>
      </c>
      <c r="AC90" s="33">
        <v>38.61</v>
      </c>
      <c r="AD90" s="33">
        <v>38.02</v>
      </c>
      <c r="AE90" s="33">
        <v>46.25</v>
      </c>
      <c r="AF90" s="33">
        <v>55.49</v>
      </c>
      <c r="AG90" s="33">
        <v>84.08</v>
      </c>
      <c r="AH90" s="33">
        <v>67.84</v>
      </c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227</v>
      </c>
      <c r="D91" s="32" t="s">
        <v>448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>
        <v>227.02</v>
      </c>
      <c r="U91" s="33">
        <v>355.59</v>
      </c>
      <c r="V91" s="33">
        <v>195.57</v>
      </c>
      <c r="W91" s="33">
        <v>214.68</v>
      </c>
      <c r="X91" s="33">
        <v>213.23</v>
      </c>
      <c r="Y91" s="33">
        <v>363.11</v>
      </c>
      <c r="Z91" s="33">
        <v>382.51</v>
      </c>
      <c r="AA91" s="33">
        <v>468.99</v>
      </c>
      <c r="AB91" s="33">
        <v>453.93</v>
      </c>
      <c r="AC91" s="33">
        <v>345.88</v>
      </c>
      <c r="AD91" s="33">
        <v>300.85</v>
      </c>
      <c r="AE91" s="33">
        <v>202.65</v>
      </c>
      <c r="AF91" s="33">
        <v>177.17</v>
      </c>
      <c r="AG91" s="33">
        <v>427.21</v>
      </c>
      <c r="AH91" s="33">
        <v>265.97</v>
      </c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227</v>
      </c>
      <c r="D92" s="32" t="s">
        <v>449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6">
        <f>29.03+0.00+100.00</f>
        <v>129.03</v>
      </c>
      <c r="AC92" s="33">
        <v>28.53</v>
      </c>
      <c r="AD92" s="33">
        <v>28.53</v>
      </c>
      <c r="AE92" s="33">
        <v>29.4</v>
      </c>
      <c r="AF92" s="33">
        <v>34.84</v>
      </c>
      <c r="AG92" s="33">
        <v>34.49</v>
      </c>
      <c r="AH92" s="33">
        <v>34.34</v>
      </c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227</v>
      </c>
      <c r="D93" s="32" t="s">
        <v>450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6">
        <f>67.07+100.00</f>
        <v>167.07</v>
      </c>
      <c r="AH93" s="32"/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227</v>
      </c>
      <c r="D94" s="32" t="s">
        <v>451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6">
        <f>100.00+26.79</f>
        <v>126.78999999999999</v>
      </c>
      <c r="AF94" s="33">
        <v>98.89</v>
      </c>
      <c r="AG94" s="33">
        <v>130.23</v>
      </c>
      <c r="AH94" s="33">
        <v>108.72</v>
      </c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227</v>
      </c>
      <c r="D95" s="32" t="s">
        <v>452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3">
        <v>79.21</v>
      </c>
      <c r="AA95" s="33">
        <v>32.94</v>
      </c>
      <c r="AB95" s="33">
        <v>33.07</v>
      </c>
      <c r="AC95" s="33">
        <v>33.07</v>
      </c>
      <c r="AD95" s="33">
        <v>136.82</v>
      </c>
      <c r="AE95" s="33">
        <v>1050.74</v>
      </c>
      <c r="AF95" s="33">
        <v>1585.37</v>
      </c>
      <c r="AG95" s="33">
        <v>2179.81</v>
      </c>
      <c r="AH95" s="33">
        <v>1029.01</v>
      </c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227</v>
      </c>
      <c r="D96" s="32" t="s">
        <v>453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6">
        <f>100.00+14.51</f>
        <v>114.51</v>
      </c>
      <c r="AG96" s="33">
        <v>95.53</v>
      </c>
      <c r="AH96" s="33">
        <v>-65.05</v>
      </c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227</v>
      </c>
      <c r="D97" s="32" t="s">
        <v>454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>
        <v>791.77</v>
      </c>
      <c r="U97" s="33">
        <v>798.54</v>
      </c>
      <c r="V97" s="33">
        <v>765.88</v>
      </c>
      <c r="W97" s="33">
        <v>813.55</v>
      </c>
      <c r="X97" s="33">
        <v>703.69</v>
      </c>
      <c r="Y97" s="33">
        <v>654.3</v>
      </c>
      <c r="Z97" s="33">
        <v>517.37</v>
      </c>
      <c r="AA97" s="33">
        <v>582.22</v>
      </c>
      <c r="AB97" s="33">
        <v>568.03</v>
      </c>
      <c r="AC97" s="33">
        <v>650.14</v>
      </c>
      <c r="AD97" s="33">
        <v>655.65</v>
      </c>
      <c r="AE97" s="33">
        <v>736.9</v>
      </c>
      <c r="AF97" s="33">
        <v>861.97</v>
      </c>
      <c r="AG97" s="33">
        <v>844.13</v>
      </c>
      <c r="AH97" s="33">
        <v>851.74</v>
      </c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227</v>
      </c>
      <c r="D98" s="32" t="s">
        <v>455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6">
        <f>100.00+24.02</f>
        <v>124.02</v>
      </c>
      <c r="AF98" s="33">
        <v>84.56</v>
      </c>
      <c r="AG98" s="33">
        <v>106.98</v>
      </c>
      <c r="AH98" s="33">
        <v>101.03</v>
      </c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227</v>
      </c>
      <c r="D99" s="32" t="s">
        <v>456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>
        <v>33.34</v>
      </c>
      <c r="U99" s="33">
        <v>117.93</v>
      </c>
      <c r="V99" s="33">
        <v>97.87</v>
      </c>
      <c r="W99" s="33">
        <v>82.13</v>
      </c>
      <c r="X99" s="33">
        <v>29.05</v>
      </c>
      <c r="Y99" s="33">
        <v>28.2</v>
      </c>
      <c r="Z99" s="33">
        <v>28.1</v>
      </c>
      <c r="AA99" s="33">
        <v>28.14</v>
      </c>
      <c r="AB99" s="33">
        <v>28.2</v>
      </c>
      <c r="AC99" s="33">
        <v>28.14</v>
      </c>
      <c r="AD99" s="33">
        <v>28.53</v>
      </c>
      <c r="AE99" s="33">
        <v>28.95</v>
      </c>
      <c r="AF99" s="33">
        <v>37.91</v>
      </c>
      <c r="AG99" s="33">
        <v>101.96</v>
      </c>
      <c r="AH99" s="33">
        <v>107.77</v>
      </c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227</v>
      </c>
      <c r="D100" s="32" t="s">
        <v>457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6">
        <f>32.83+100.00</f>
        <v>132.82999999999998</v>
      </c>
      <c r="AG100" s="33">
        <v>33.04</v>
      </c>
      <c r="AH100" s="33">
        <v>32.5</v>
      </c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227</v>
      </c>
      <c r="D101" s="32" t="s">
        <v>458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>
        <v>88.06</v>
      </c>
      <c r="V101" s="33">
        <v>64.47</v>
      </c>
      <c r="W101" s="33">
        <v>47.91</v>
      </c>
      <c r="X101" s="33">
        <v>27.07</v>
      </c>
      <c r="Y101" s="33">
        <v>27.07</v>
      </c>
      <c r="Z101" s="33">
        <v>27.07</v>
      </c>
      <c r="AA101" s="33">
        <v>27.07</v>
      </c>
      <c r="AB101" s="33">
        <v>27.07</v>
      </c>
      <c r="AC101" s="33">
        <v>27.07</v>
      </c>
      <c r="AD101" s="33">
        <v>27.07</v>
      </c>
      <c r="AE101" s="33">
        <v>27.07</v>
      </c>
      <c r="AF101" s="33">
        <v>32.5</v>
      </c>
      <c r="AG101" s="33">
        <v>40.58</v>
      </c>
      <c r="AH101" s="33">
        <v>90.62</v>
      </c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227</v>
      </c>
      <c r="D102" s="32" t="s">
        <v>459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>
        <v>32.11</v>
      </c>
      <c r="U102" s="33">
        <v>58.4</v>
      </c>
      <c r="V102" s="33">
        <v>57.36</v>
      </c>
      <c r="W102" s="33">
        <v>40.29</v>
      </c>
      <c r="X102" s="33">
        <v>27.07</v>
      </c>
      <c r="Y102" s="33">
        <v>27.07</v>
      </c>
      <c r="Z102" s="33">
        <v>27.72</v>
      </c>
      <c r="AA102" s="33">
        <v>27.18</v>
      </c>
      <c r="AB102" s="33">
        <v>27.36</v>
      </c>
      <c r="AC102" s="33">
        <v>27.18</v>
      </c>
      <c r="AD102" s="33">
        <v>28.25</v>
      </c>
      <c r="AE102" s="33">
        <v>27.07</v>
      </c>
      <c r="AF102" s="33">
        <v>32.5</v>
      </c>
      <c r="AG102" s="33">
        <v>65.71</v>
      </c>
      <c r="AH102" s="33">
        <v>32.5</v>
      </c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227</v>
      </c>
      <c r="D103" s="32" t="s">
        <v>460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>
        <v>28.15</v>
      </c>
      <c r="U103" s="33">
        <v>68.65</v>
      </c>
      <c r="V103" s="33">
        <v>62.59</v>
      </c>
      <c r="W103" s="33">
        <v>58.81</v>
      </c>
      <c r="X103" s="33">
        <v>22.53</v>
      </c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227</v>
      </c>
      <c r="D104" s="32" t="s">
        <v>461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>
        <v>32.26</v>
      </c>
      <c r="U104" s="33">
        <v>66.66</v>
      </c>
      <c r="V104" s="33">
        <v>65.37</v>
      </c>
      <c r="W104" s="33">
        <v>37.29</v>
      </c>
      <c r="X104" s="33">
        <v>81.7</v>
      </c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4">
        <f>SUM(E104:AI104)</f>
      </c>
      <c r="AK104" s="35"/>
    </row>
    <row r="105" ht="12.75" customHeight="1" spans="2:37" x14ac:dyDescent="0.25">
      <c r="B105" s="30" t="s">
        <v>42</v>
      </c>
      <c r="C105" s="31" t="s">
        <v>227</v>
      </c>
      <c r="D105" s="32" t="s">
        <v>462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>
        <v>30.43</v>
      </c>
      <c r="U105" s="33">
        <v>164.48</v>
      </c>
      <c r="V105" s="33">
        <v>122.41</v>
      </c>
      <c r="W105" s="33">
        <v>118.89</v>
      </c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4">
        <f>SUM(E105:AI105)</f>
      </c>
      <c r="AK105" s="35"/>
    </row>
    <row r="106" ht="12.75" customHeight="1" spans="2:37" x14ac:dyDescent="0.25">
      <c r="B106" s="30" t="s">
        <v>42</v>
      </c>
      <c r="C106" s="31" t="s">
        <v>227</v>
      </c>
      <c r="D106" s="32" t="s">
        <v>463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6">
        <f>18.12+0.00+100.00</f>
        <v>118.12</v>
      </c>
      <c r="AF106" s="33">
        <v>60.88</v>
      </c>
      <c r="AG106" s="33">
        <v>71.42</v>
      </c>
      <c r="AH106" s="33">
        <v>50.17</v>
      </c>
      <c r="AI106" s="32"/>
      <c r="AJ106" s="34">
        <f>SUM(E106:AI106)</f>
      </c>
      <c r="AK106" s="35"/>
    </row>
    <row r="107" ht="12.75" customHeight="1" spans="2:37" x14ac:dyDescent="0.25">
      <c r="B107" s="30" t="s">
        <v>42</v>
      </c>
      <c r="C107" s="31" t="s">
        <v>227</v>
      </c>
      <c r="D107" s="32" t="s">
        <v>464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>
        <v>29.48</v>
      </c>
      <c r="U107" s="33">
        <v>29.47</v>
      </c>
      <c r="V107" s="33">
        <v>29.47</v>
      </c>
      <c r="W107" s="33">
        <v>29.47</v>
      </c>
      <c r="X107" s="33">
        <v>29.53</v>
      </c>
      <c r="Y107" s="33">
        <v>29.47</v>
      </c>
      <c r="Z107" s="33">
        <v>29.47</v>
      </c>
      <c r="AA107" s="33">
        <v>29.47</v>
      </c>
      <c r="AB107" s="33">
        <v>29.47</v>
      </c>
      <c r="AC107" s="33">
        <v>29.47</v>
      </c>
      <c r="AD107" s="33">
        <v>29.47</v>
      </c>
      <c r="AE107" s="33">
        <v>29.53</v>
      </c>
      <c r="AF107" s="33">
        <v>35.34</v>
      </c>
      <c r="AG107" s="33">
        <v>35.34</v>
      </c>
      <c r="AH107" s="33">
        <v>35.34</v>
      </c>
      <c r="AI107" s="32"/>
      <c r="AJ107" s="34">
        <f>SUM(E107:AI107)</f>
      </c>
      <c r="AK107" s="35"/>
    </row>
    <row r="108" ht="12.75" customHeight="1" spans="2:37" x14ac:dyDescent="0.25">
      <c r="B108" s="30" t="s">
        <v>42</v>
      </c>
      <c r="C108" s="31" t="s">
        <v>227</v>
      </c>
      <c r="D108" s="32" t="s">
        <v>465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6">
        <f>67.03+100.00</f>
        <v>167.03</v>
      </c>
      <c r="AH108" s="33">
        <v>-38.68</v>
      </c>
      <c r="AI108" s="32"/>
      <c r="AJ108" s="34">
        <f>SUM(E108:AI108)</f>
      </c>
      <c r="AK108" s="35"/>
    </row>
    <row r="109" ht="12.75" customHeight="1" spans="2:37" x14ac:dyDescent="0.25">
      <c r="B109" s="30" t="s">
        <v>42</v>
      </c>
      <c r="C109" s="31" t="s">
        <v>227</v>
      </c>
      <c r="D109" s="32" t="s">
        <v>466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>
        <v>84.28</v>
      </c>
      <c r="U109" s="33">
        <v>102.35</v>
      </c>
      <c r="V109" s="33">
        <v>75.06</v>
      </c>
      <c r="W109" s="33">
        <v>56.44</v>
      </c>
      <c r="X109" s="33">
        <v>27.07</v>
      </c>
      <c r="Y109" s="33">
        <v>26.07</v>
      </c>
      <c r="Z109" s="33">
        <v>27.07</v>
      </c>
      <c r="AA109" s="33">
        <v>27.07</v>
      </c>
      <c r="AB109" s="33">
        <v>27.07</v>
      </c>
      <c r="AC109" s="33">
        <v>27.07</v>
      </c>
      <c r="AD109" s="33">
        <v>27.07</v>
      </c>
      <c r="AE109" s="33">
        <v>26.21</v>
      </c>
      <c r="AF109" s="33">
        <v>119.08</v>
      </c>
      <c r="AG109" s="33">
        <v>147.11</v>
      </c>
      <c r="AH109" s="33">
        <v>125.33</v>
      </c>
      <c r="AI109" s="32"/>
      <c r="AJ109" s="34">
        <f>SUM(E109:AI109)</f>
      </c>
      <c r="AK109" s="35"/>
    </row>
    <row r="110" ht="12.75" customHeight="1" spans="2:37" x14ac:dyDescent="0.25">
      <c r="B110" s="30" t="s">
        <v>42</v>
      </c>
      <c r="C110" s="31" t="s">
        <v>227</v>
      </c>
      <c r="D110" s="32" t="s">
        <v>467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>
        <v>32.07</v>
      </c>
      <c r="U110" s="33">
        <v>95.12</v>
      </c>
      <c r="V110" s="33">
        <v>99.97</v>
      </c>
      <c r="W110" s="33">
        <v>94.46</v>
      </c>
      <c r="X110" s="33">
        <v>27.07</v>
      </c>
      <c r="Y110" s="33">
        <v>26.07</v>
      </c>
      <c r="Z110" s="33">
        <v>27.07</v>
      </c>
      <c r="AA110" s="33">
        <v>27.07</v>
      </c>
      <c r="AB110" s="33">
        <v>27.07</v>
      </c>
      <c r="AC110" s="33">
        <v>27.07</v>
      </c>
      <c r="AD110" s="33">
        <v>27.07</v>
      </c>
      <c r="AE110" s="33">
        <v>14.06</v>
      </c>
      <c r="AF110" s="33">
        <v>32.5</v>
      </c>
      <c r="AG110" s="33">
        <v>32.5</v>
      </c>
      <c r="AH110" s="33">
        <v>32.5</v>
      </c>
      <c r="AI110" s="32"/>
      <c r="AJ110" s="34">
        <f>SUM(E110:AI110)</f>
      </c>
      <c r="AK110" s="35"/>
    </row>
    <row r="111" ht="12.75" customHeight="1" spans="2:37" x14ac:dyDescent="0.25">
      <c r="B111" s="30" t="s">
        <v>42</v>
      </c>
      <c r="C111" s="31" t="s">
        <v>227</v>
      </c>
      <c r="D111" s="32" t="s">
        <v>468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>
        <v>40.71</v>
      </c>
      <c r="U111" s="33">
        <v>151.35</v>
      </c>
      <c r="V111" s="33">
        <v>120.43</v>
      </c>
      <c r="W111" s="33">
        <v>108.89</v>
      </c>
      <c r="X111" s="33">
        <v>27.07</v>
      </c>
      <c r="Y111" s="33">
        <v>27.04</v>
      </c>
      <c r="Z111" s="33">
        <v>28.1</v>
      </c>
      <c r="AA111" s="33">
        <v>28.14</v>
      </c>
      <c r="AB111" s="33">
        <v>28.25</v>
      </c>
      <c r="AC111" s="33">
        <v>28.1</v>
      </c>
      <c r="AD111" s="33">
        <v>28.1</v>
      </c>
      <c r="AE111" s="33">
        <v>28.2</v>
      </c>
      <c r="AF111" s="33">
        <v>86.53</v>
      </c>
      <c r="AG111" s="33">
        <v>151.43</v>
      </c>
      <c r="AH111" s="33">
        <v>134.33</v>
      </c>
      <c r="AI111" s="32"/>
      <c r="AJ111" s="34">
        <f>SUM(E111:AI111)</f>
      </c>
      <c r="AK111" s="35"/>
    </row>
    <row r="112" ht="12.75" customHeight="1" spans="2:37" x14ac:dyDescent="0.25">
      <c r="B112" s="30" t="s">
        <v>42</v>
      </c>
      <c r="C112" s="31" t="s">
        <v>227</v>
      </c>
      <c r="D112" s="32" t="s">
        <v>469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6">
        <f>0.00+49.77</f>
        <v>49.77</v>
      </c>
      <c r="AC112" s="33">
        <v>33.1</v>
      </c>
      <c r="AD112" s="36">
        <f>33.10+2.82</f>
        <v>35.92</v>
      </c>
      <c r="AE112" s="32"/>
      <c r="AF112" s="32"/>
      <c r="AG112" s="32"/>
      <c r="AH112" s="32"/>
      <c r="AI112" s="32"/>
      <c r="AJ112" s="34">
        <f>SUM(E112:AI112)</f>
      </c>
      <c r="AK112" s="35"/>
    </row>
    <row r="113" ht="12.75" customHeight="1" spans="2:37" x14ac:dyDescent="0.25">
      <c r="B113" s="30" t="s">
        <v>42</v>
      </c>
      <c r="C113" s="31" t="s">
        <v>227</v>
      </c>
      <c r="D113" s="32" t="s">
        <v>470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6">
        <f>32.07+110.81</f>
        <v>142.88</v>
      </c>
      <c r="AF113" s="33">
        <v>37.5</v>
      </c>
      <c r="AG113" s="33">
        <v>32.59</v>
      </c>
      <c r="AH113" s="33">
        <v>43.07</v>
      </c>
      <c r="AI113" s="32"/>
      <c r="AJ113" s="34">
        <f>SUM(E113:AI113)</f>
      </c>
      <c r="AK113" s="35"/>
    </row>
    <row r="114" ht="12.75" customHeight="1" spans="2:37" x14ac:dyDescent="0.25">
      <c r="B114" s="30" t="s">
        <v>42</v>
      </c>
      <c r="C114" s="31" t="s">
        <v>227</v>
      </c>
      <c r="D114" s="32" t="s">
        <v>471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3">
        <v>172.21</v>
      </c>
      <c r="AE114" s="33">
        <v>52.27</v>
      </c>
      <c r="AF114" s="33">
        <v>37.5</v>
      </c>
      <c r="AG114" s="33">
        <v>49.12</v>
      </c>
      <c r="AH114" s="33">
        <v>54.03</v>
      </c>
      <c r="AI114" s="32"/>
      <c r="AJ114" s="34">
        <f>SUM(E114:AI114)</f>
      </c>
      <c r="AK114" s="35"/>
    </row>
    <row r="115" ht="12.75" customHeight="1" spans="2:37" x14ac:dyDescent="0.25">
      <c r="B115" s="30" t="s">
        <v>42</v>
      </c>
      <c r="C115" s="31" t="s">
        <v>227</v>
      </c>
      <c r="D115" s="32" t="s">
        <v>472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>
        <v>-57.47</v>
      </c>
      <c r="U115" s="33">
        <v>114.16</v>
      </c>
      <c r="V115" s="33">
        <v>135.81</v>
      </c>
      <c r="W115" s="33">
        <v>29.31</v>
      </c>
      <c r="X115" s="33">
        <v>28.14</v>
      </c>
      <c r="Y115" s="33">
        <v>28.2</v>
      </c>
      <c r="Z115" s="33">
        <v>28.1</v>
      </c>
      <c r="AA115" s="33">
        <v>28.14</v>
      </c>
      <c r="AB115" s="33">
        <v>28.2</v>
      </c>
      <c r="AC115" s="33">
        <v>28.14</v>
      </c>
      <c r="AD115" s="33">
        <v>28.1</v>
      </c>
      <c r="AE115" s="33">
        <v>28.63</v>
      </c>
      <c r="AF115" s="33">
        <v>13.78</v>
      </c>
      <c r="AG115" s="33">
        <v>65.98</v>
      </c>
      <c r="AH115" s="33">
        <v>68.49</v>
      </c>
      <c r="AI115" s="32"/>
      <c r="AJ115" s="34">
        <f>SUM(E115:AI115)</f>
      </c>
      <c r="AK115" s="35"/>
    </row>
    <row r="116" ht="12.75" customHeight="1" spans="2:37" x14ac:dyDescent="0.25">
      <c r="B116" s="30" t="s">
        <v>42</v>
      </c>
      <c r="C116" s="31" t="s">
        <v>227</v>
      </c>
      <c r="D116" s="32" t="s">
        <v>473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>
        <v>28.2</v>
      </c>
      <c r="U116" s="33">
        <v>53.02</v>
      </c>
      <c r="V116" s="33">
        <v>87.38</v>
      </c>
      <c r="W116" s="33">
        <v>109.67</v>
      </c>
      <c r="X116" s="33">
        <v>33.45</v>
      </c>
      <c r="Y116" s="33">
        <v>26.55</v>
      </c>
      <c r="Z116" s="33">
        <v>28.04</v>
      </c>
      <c r="AA116" s="33">
        <v>11.72</v>
      </c>
      <c r="AB116" s="33">
        <v>92.64</v>
      </c>
      <c r="AC116" s="33">
        <v>37.31</v>
      </c>
      <c r="AD116" s="33">
        <v>27.07</v>
      </c>
      <c r="AE116" s="33">
        <v>48.45</v>
      </c>
      <c r="AF116" s="33">
        <v>32.92</v>
      </c>
      <c r="AG116" s="33">
        <v>75.8</v>
      </c>
      <c r="AH116" s="33">
        <v>90.79</v>
      </c>
      <c r="AI116" s="32"/>
      <c r="AJ116" s="34">
        <f>SUM(E116:AI116)</f>
      </c>
      <c r="AK116" s="35"/>
    </row>
    <row r="117" ht="12.75" customHeight="1" spans="2:37" x14ac:dyDescent="0.25">
      <c r="B117" s="30" t="s">
        <v>42</v>
      </c>
      <c r="C117" s="31" t="s">
        <v>227</v>
      </c>
      <c r="D117" s="32" t="s">
        <v>474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3">
        <v>115.33</v>
      </c>
      <c r="AF117" s="33">
        <v>74.57</v>
      </c>
      <c r="AG117" s="33">
        <v>33.08</v>
      </c>
      <c r="AH117" s="33">
        <v>35.87</v>
      </c>
      <c r="AI117" s="32"/>
      <c r="AJ117" s="34">
        <f>SUM(E117:AI117)</f>
      </c>
      <c r="AK117" s="35"/>
    </row>
    <row r="118" ht="12.75" customHeight="1" spans="2:37" x14ac:dyDescent="0.25">
      <c r="B118" s="30" t="s">
        <v>42</v>
      </c>
      <c r="C118" s="31" t="s">
        <v>227</v>
      </c>
      <c r="D118" s="32" t="s">
        <v>475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>
        <v>41.06</v>
      </c>
      <c r="U118" s="33">
        <v>48.01</v>
      </c>
      <c r="V118" s="33">
        <v>50.45</v>
      </c>
      <c r="W118" s="33">
        <v>66.39</v>
      </c>
      <c r="X118" s="33">
        <v>75.37</v>
      </c>
      <c r="Y118" s="33">
        <v>84.34</v>
      </c>
      <c r="Z118" s="33">
        <v>79.27</v>
      </c>
      <c r="AA118" s="33">
        <v>98.68</v>
      </c>
      <c r="AB118" s="33">
        <v>86.97</v>
      </c>
      <c r="AC118" s="33">
        <v>71.18</v>
      </c>
      <c r="AD118" s="33">
        <v>49.16</v>
      </c>
      <c r="AE118" s="33">
        <v>41.33</v>
      </c>
      <c r="AF118" s="33">
        <v>40.63</v>
      </c>
      <c r="AG118" s="33">
        <v>69.18</v>
      </c>
      <c r="AH118" s="33">
        <v>59.97</v>
      </c>
      <c r="AI118" s="32"/>
      <c r="AJ118" s="34">
        <f>SUM(E118:AI118)</f>
      </c>
      <c r="AK118" s="35"/>
    </row>
    <row r="119" ht="12.75" customHeight="1" spans="2:37" x14ac:dyDescent="0.25">
      <c r="B119" s="30" t="s">
        <v>42</v>
      </c>
      <c r="C119" s="31" t="s">
        <v>227</v>
      </c>
      <c r="D119" s="32" t="s">
        <v>476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3">
        <v>56.13</v>
      </c>
      <c r="Z119" s="33">
        <v>33.63</v>
      </c>
      <c r="AA119" s="33">
        <v>-56.56</v>
      </c>
      <c r="AB119" s="33">
        <v>-27.79</v>
      </c>
      <c r="AC119" s="33">
        <v>0.84</v>
      </c>
      <c r="AD119" s="33">
        <v>28.53</v>
      </c>
      <c r="AE119" s="33">
        <v>28.58</v>
      </c>
      <c r="AF119" s="33">
        <v>33.41</v>
      </c>
      <c r="AG119" s="33">
        <v>41.36</v>
      </c>
      <c r="AH119" s="33">
        <v>65.04</v>
      </c>
      <c r="AI119" s="32"/>
      <c r="AJ119" s="34">
        <f>SUM(E119:AI119)</f>
      </c>
      <c r="AK119" s="35"/>
    </row>
    <row r="120" ht="12.75" customHeight="1" spans="2:37" x14ac:dyDescent="0.25">
      <c r="B120" s="30" t="s">
        <v>42</v>
      </c>
      <c r="C120" s="31" t="s">
        <v>227</v>
      </c>
      <c r="D120" s="32" t="s">
        <v>477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>
        <v>32.07</v>
      </c>
      <c r="U120" s="33">
        <v>65.63</v>
      </c>
      <c r="V120" s="33">
        <v>59.73</v>
      </c>
      <c r="W120" s="33">
        <v>42.67</v>
      </c>
      <c r="X120" s="33">
        <v>27.07</v>
      </c>
      <c r="Y120" s="33">
        <v>27.07</v>
      </c>
      <c r="Z120" s="33">
        <v>27.07</v>
      </c>
      <c r="AA120" s="33">
        <v>27.07</v>
      </c>
      <c r="AB120" s="33">
        <v>27.07</v>
      </c>
      <c r="AC120" s="33">
        <v>27.07</v>
      </c>
      <c r="AD120" s="33">
        <v>27.07</v>
      </c>
      <c r="AE120" s="33">
        <v>27.07</v>
      </c>
      <c r="AF120" s="33">
        <v>35.79</v>
      </c>
      <c r="AG120" s="33">
        <v>67.43</v>
      </c>
      <c r="AH120" s="33">
        <v>42.72</v>
      </c>
      <c r="AI120" s="32"/>
      <c r="AJ120" s="34">
        <f>SUM(E120:AI120)</f>
      </c>
      <c r="AK120" s="35"/>
    </row>
    <row r="121" ht="12.75" customHeight="1" spans="2:37" x14ac:dyDescent="0.25">
      <c r="B121" s="30" t="s">
        <v>42</v>
      </c>
      <c r="C121" s="31" t="s">
        <v>227</v>
      </c>
      <c r="D121" s="32" t="s">
        <v>478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>
        <v>59.63</v>
      </c>
      <c r="U121" s="33">
        <v>137.23</v>
      </c>
      <c r="V121" s="33">
        <v>116.62</v>
      </c>
      <c r="W121" s="33">
        <v>82.94</v>
      </c>
      <c r="X121" s="33">
        <v>18.06</v>
      </c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4">
        <f>SUM(E121:AI121)</f>
      </c>
      <c r="AK121" s="35"/>
    </row>
    <row r="122" ht="12.75" customHeight="1" spans="2:37" x14ac:dyDescent="0.25">
      <c r="B122" s="37"/>
      <c r="C122" s="3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40"/>
    </row>
    <row r="123" ht="12.75" customHeight="1" spans="2:37" x14ac:dyDescent="0.25">
      <c r="B123" s="20" t="s">
        <v>85</v>
      </c>
      <c r="C123" s="21"/>
      <c r="D123" s="21"/>
      <c r="E123" s="22">
        <f>SUM(E13:E121)</f>
      </c>
      <c r="F123" s="22">
        <f>SUM(F13:F121)</f>
      </c>
      <c r="G123" s="22">
        <f>SUM(G13:G121)</f>
      </c>
      <c r="H123" s="22">
        <f>SUM(H13:H121)</f>
      </c>
      <c r="I123" s="22">
        <f>SUM(I13:I121)</f>
      </c>
      <c r="J123" s="22">
        <f>SUM(J13:J121)</f>
      </c>
      <c r="K123" s="22">
        <f>SUM(K13:K121)</f>
      </c>
      <c r="L123" s="22">
        <f>SUM(L13:L121)</f>
      </c>
      <c r="M123" s="22">
        <f>SUM(M13:M121)</f>
      </c>
      <c r="N123" s="22">
        <f>SUM(N13:N121)</f>
      </c>
      <c r="O123" s="22">
        <f>SUM(O13:O121)</f>
      </c>
      <c r="P123" s="22">
        <f>SUM(P13:P121)</f>
      </c>
      <c r="Q123" s="22">
        <f>SUM(Q13:Q121)</f>
      </c>
      <c r="R123" s="22">
        <f>SUM(R13:R121)</f>
      </c>
      <c r="S123" s="22">
        <f>SUM(S13:S121)</f>
      </c>
      <c r="T123" s="22">
        <f>SUM(T13:T121)</f>
      </c>
      <c r="U123" s="22">
        <f>SUM(U13:U121)</f>
      </c>
      <c r="V123" s="22">
        <f>SUM(V13:V121)</f>
      </c>
      <c r="W123" s="22">
        <f>SUM(W13:W121)</f>
      </c>
      <c r="X123" s="22">
        <f>SUM(X13:X121)</f>
      </c>
      <c r="Y123" s="22">
        <f>SUM(Y13:Y121)</f>
      </c>
      <c r="Z123" s="22">
        <f>SUM(Z13:Z121)</f>
      </c>
      <c r="AA123" s="22">
        <f>SUM(AA13:AA121)</f>
      </c>
      <c r="AB123" s="22">
        <f>SUM(AB13:AB121)</f>
      </c>
      <c r="AC123" s="22">
        <f>SUM(AC13:AC121)</f>
      </c>
      <c r="AD123" s="22">
        <f>SUM(AD13:AD121)</f>
      </c>
      <c r="AE123" s="22">
        <f>SUM(AE13:AE121)</f>
      </c>
      <c r="AF123" s="22">
        <f>SUM(AF13:AF121)</f>
      </c>
      <c r="AG123" s="22">
        <f>SUM(AG13:AG121)</f>
      </c>
      <c r="AH123" s="22">
        <f>SUM(AH13:AH121)</f>
      </c>
      <c r="AI123" s="22">
        <f>SUM(AI13:AI121)</f>
      </c>
      <c r="AJ123" s="22">
        <f>SUM(AJ13:AJ121)</f>
      </c>
      <c r="AK123" s="23"/>
    </row>
    <row r="125" ht="12.75" customHeight="1" spans="2:37" x14ac:dyDescent="0.25">
      <c r="B125" s="26" t="s">
        <v>43</v>
      </c>
      <c r="C125" s="2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9"/>
    </row>
    <row r="126" ht="12.75" customHeight="1" spans="2:37" x14ac:dyDescent="0.25">
      <c r="B126" s="37"/>
      <c r="C126" s="3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</row>
    <row r="127" ht="12.75" customHeight="1" spans="2:37" x14ac:dyDescent="0.25">
      <c r="B127" s="20" t="s">
        <v>89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3"/>
    </row>
    <row r="129" ht="12.75" customHeight="1" spans="2:37" x14ac:dyDescent="0.25">
      <c r="B129" s="26" t="s">
        <v>44</v>
      </c>
      <c r="C129" s="2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9"/>
    </row>
    <row r="130" ht="12.75" customHeight="1" spans="2:37" x14ac:dyDescent="0.25">
      <c r="B130" s="37"/>
      <c r="C130" s="3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40"/>
    </row>
    <row r="131" ht="12.75" customHeight="1" spans="2:37" x14ac:dyDescent="0.25">
      <c r="B131" s="20" t="s">
        <v>90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3"/>
    </row>
    <row r="134" ht="12.75" customHeight="1" spans="2:37" x14ac:dyDescent="0.25">
      <c r="B134" s="11" t="s">
        <v>40</v>
      </c>
      <c r="C134" s="12"/>
      <c r="D134" s="13"/>
      <c r="E134" s="14" t="s">
        <v>7</v>
      </c>
      <c r="F134" s="14" t="s">
        <v>8</v>
      </c>
      <c r="G134" s="14" t="s">
        <v>9</v>
      </c>
      <c r="H134" s="14" t="s">
        <v>10</v>
      </c>
      <c r="I134" s="14" t="s">
        <v>11</v>
      </c>
      <c r="J134" s="14" t="s">
        <v>12</v>
      </c>
      <c r="K134" s="14" t="s">
        <v>13</v>
      </c>
      <c r="L134" s="14" t="s">
        <v>14</v>
      </c>
      <c r="M134" s="14" t="s">
        <v>15</v>
      </c>
      <c r="N134" s="14" t="s">
        <v>16</v>
      </c>
      <c r="O134" s="14" t="s">
        <v>17</v>
      </c>
      <c r="P134" s="14" t="s">
        <v>18</v>
      </c>
      <c r="Q134" s="14" t="s">
        <v>19</v>
      </c>
      <c r="R134" s="14" t="s">
        <v>20</v>
      </c>
      <c r="S134" s="14" t="s">
        <v>21</v>
      </c>
      <c r="T134" s="14" t="s">
        <v>22</v>
      </c>
      <c r="U134" s="14" t="s">
        <v>23</v>
      </c>
      <c r="V134" s="14" t="s">
        <v>24</v>
      </c>
      <c r="W134" s="14" t="s">
        <v>25</v>
      </c>
      <c r="X134" s="14" t="s">
        <v>26</v>
      </c>
      <c r="Y134" s="14" t="s">
        <v>27</v>
      </c>
      <c r="Z134" s="14" t="s">
        <v>28</v>
      </c>
      <c r="AA134" s="14" t="s">
        <v>29</v>
      </c>
      <c r="AB134" s="14" t="s">
        <v>30</v>
      </c>
      <c r="AC134" s="14" t="s">
        <v>31</v>
      </c>
      <c r="AD134" s="14" t="s">
        <v>32</v>
      </c>
      <c r="AE134" s="14" t="s">
        <v>33</v>
      </c>
      <c r="AF134" s="14" t="s">
        <v>34</v>
      </c>
      <c r="AG134" s="14" t="s">
        <v>35</v>
      </c>
      <c r="AH134" s="14" t="s">
        <v>36</v>
      </c>
      <c r="AI134" s="14" t="s">
        <v>37</v>
      </c>
      <c r="AJ134" s="14" t="s">
        <v>38</v>
      </c>
      <c r="AK134" s="15"/>
    </row>
    <row r="135" ht="12.75" customHeight="1" spans="2:37" x14ac:dyDescent="0.25">
      <c r="B135" s="16" t="s">
        <v>41</v>
      </c>
      <c r="C135" s="17"/>
      <c r="D135" s="17"/>
      <c r="E135" s="18">
        <f>E10</f>
      </c>
      <c r="F135" s="18">
        <f>F10</f>
      </c>
      <c r="G135" s="18">
        <f>G10</f>
      </c>
      <c r="H135" s="18">
        <f>H10</f>
      </c>
      <c r="I135" s="18">
        <f>I10</f>
      </c>
      <c r="J135" s="18">
        <f>J10</f>
      </c>
      <c r="K135" s="18">
        <f>K10</f>
      </c>
      <c r="L135" s="18">
        <f>L10</f>
      </c>
      <c r="M135" s="18">
        <f>M10</f>
      </c>
      <c r="N135" s="18">
        <f>N10</f>
      </c>
      <c r="O135" s="18">
        <f>O10</f>
      </c>
      <c r="P135" s="18">
        <f>P10</f>
      </c>
      <c r="Q135" s="18">
        <f>Q10</f>
      </c>
      <c r="R135" s="18">
        <f>R10</f>
      </c>
      <c r="S135" s="18">
        <f>S10</f>
      </c>
      <c r="T135" s="18">
        <f>T10</f>
      </c>
      <c r="U135" s="18">
        <f>U10</f>
      </c>
      <c r="V135" s="18">
        <f>V10</f>
      </c>
      <c r="W135" s="18">
        <f>W10</f>
      </c>
      <c r="X135" s="18">
        <f>X10</f>
      </c>
      <c r="Y135" s="18">
        <f>Y10</f>
      </c>
      <c r="Z135" s="18">
        <f>Z10</f>
      </c>
      <c r="AA135" s="18">
        <f>AA10</f>
      </c>
      <c r="AB135" s="18">
        <f>AB10</f>
      </c>
      <c r="AC135" s="18">
        <f>AC10</f>
      </c>
      <c r="AD135" s="18">
        <f>AD10</f>
      </c>
      <c r="AE135" s="18">
        <f>AE10</f>
      </c>
      <c r="AF135" s="18">
        <f>AF10</f>
      </c>
      <c r="AG135" s="18">
        <f>AG10</f>
      </c>
      <c r="AH135" s="18">
        <f>AH10</f>
      </c>
      <c r="AI135" s="18">
        <f>AI10</f>
      </c>
      <c r="AJ135" s="18">
        <f>AJ10</f>
      </c>
      <c r="AK135" s="19"/>
    </row>
    <row r="136" ht="12.75" customHeight="1" spans="2:37" x14ac:dyDescent="0.25">
      <c r="B136" s="16" t="s">
        <v>42</v>
      </c>
      <c r="C136" s="17"/>
      <c r="D136" s="17"/>
      <c r="E136" s="18">
        <f>E123</f>
      </c>
      <c r="F136" s="18">
        <f>F123</f>
      </c>
      <c r="G136" s="18">
        <f>G123</f>
      </c>
      <c r="H136" s="18">
        <f>H123</f>
      </c>
      <c r="I136" s="18">
        <f>I123</f>
      </c>
      <c r="J136" s="18">
        <f>J123</f>
      </c>
      <c r="K136" s="18">
        <f>K123</f>
      </c>
      <c r="L136" s="18">
        <f>L123</f>
      </c>
      <c r="M136" s="18">
        <f>M123</f>
      </c>
      <c r="N136" s="18">
        <f>N123</f>
      </c>
      <c r="O136" s="18">
        <f>O123</f>
      </c>
      <c r="P136" s="18">
        <f>P123</f>
      </c>
      <c r="Q136" s="18">
        <f>Q123</f>
      </c>
      <c r="R136" s="18">
        <f>R123</f>
      </c>
      <c r="S136" s="18">
        <f>S123</f>
      </c>
      <c r="T136" s="18">
        <f>T123</f>
      </c>
      <c r="U136" s="18">
        <f>U123</f>
      </c>
      <c r="V136" s="18">
        <f>V123</f>
      </c>
      <c r="W136" s="18">
        <f>W123</f>
      </c>
      <c r="X136" s="18">
        <f>X123</f>
      </c>
      <c r="Y136" s="18">
        <f>Y123</f>
      </c>
      <c r="Z136" s="18">
        <f>Z123</f>
      </c>
      <c r="AA136" s="18">
        <f>AA123</f>
      </c>
      <c r="AB136" s="18">
        <f>AB123</f>
      </c>
      <c r="AC136" s="18">
        <f>AC123</f>
      </c>
      <c r="AD136" s="18">
        <f>AD123</f>
      </c>
      <c r="AE136" s="18">
        <f>AE123</f>
      </c>
      <c r="AF136" s="18">
        <f>AF123</f>
      </c>
      <c r="AG136" s="18">
        <f>AG123</f>
      </c>
      <c r="AH136" s="18">
        <f>AH123</f>
      </c>
      <c r="AI136" s="18">
        <f>AI123</f>
      </c>
      <c r="AJ136" s="18">
        <f>AJ123</f>
      </c>
      <c r="AK136" s="19"/>
    </row>
    <row r="137" ht="12.75" customHeight="1" spans="2:37" x14ac:dyDescent="0.25">
      <c r="B137" s="16" t="s">
        <v>43</v>
      </c>
      <c r="C137" s="17"/>
      <c r="D137" s="17"/>
      <c r="E137" s="18">
        <f>E127</f>
      </c>
      <c r="F137" s="18">
        <f>F127</f>
      </c>
      <c r="G137" s="18">
        <f>G127</f>
      </c>
      <c r="H137" s="18">
        <f>H127</f>
      </c>
      <c r="I137" s="18">
        <f>I127</f>
      </c>
      <c r="J137" s="18">
        <f>J127</f>
      </c>
      <c r="K137" s="18">
        <f>K127</f>
      </c>
      <c r="L137" s="18">
        <f>L127</f>
      </c>
      <c r="M137" s="18">
        <f>M127</f>
      </c>
      <c r="N137" s="18">
        <f>N127</f>
      </c>
      <c r="O137" s="18">
        <f>O127</f>
      </c>
      <c r="P137" s="18">
        <f>P127</f>
      </c>
      <c r="Q137" s="18">
        <f>Q127</f>
      </c>
      <c r="R137" s="18">
        <f>R127</f>
      </c>
      <c r="S137" s="18">
        <f>S127</f>
      </c>
      <c r="T137" s="18">
        <f>T127</f>
      </c>
      <c r="U137" s="18">
        <f>U127</f>
      </c>
      <c r="V137" s="18">
        <f>V127</f>
      </c>
      <c r="W137" s="18">
        <f>W127</f>
      </c>
      <c r="X137" s="18">
        <f>X127</f>
      </c>
      <c r="Y137" s="18">
        <f>Y127</f>
      </c>
      <c r="Z137" s="18">
        <f>Z127</f>
      </c>
      <c r="AA137" s="18">
        <f>AA127</f>
      </c>
      <c r="AB137" s="18">
        <f>AB127</f>
      </c>
      <c r="AC137" s="18">
        <f>AC127</f>
      </c>
      <c r="AD137" s="18">
        <f>AD127</f>
      </c>
      <c r="AE137" s="18">
        <f>AE127</f>
      </c>
      <c r="AF137" s="18">
        <f>AF127</f>
      </c>
      <c r="AG137" s="18">
        <f>AG127</f>
      </c>
      <c r="AH137" s="18">
        <f>AH127</f>
      </c>
      <c r="AI137" s="18">
        <f>AI127</f>
      </c>
      <c r="AJ137" s="18">
        <f>AJ127</f>
      </c>
      <c r="AK137" s="19"/>
    </row>
    <row r="138" ht="12.75" customHeight="1" spans="2:37" x14ac:dyDescent="0.25">
      <c r="B138" s="16" t="s">
        <v>44</v>
      </c>
      <c r="C138" s="17"/>
      <c r="D138" s="17"/>
      <c r="E138" s="18">
        <f>E131</f>
      </c>
      <c r="F138" s="18">
        <f>F131</f>
      </c>
      <c r="G138" s="18">
        <f>G131</f>
      </c>
      <c r="H138" s="18">
        <f>H131</f>
      </c>
      <c r="I138" s="18">
        <f>I131</f>
      </c>
      <c r="J138" s="18">
        <f>J131</f>
      </c>
      <c r="K138" s="18">
        <f>K131</f>
      </c>
      <c r="L138" s="18">
        <f>L131</f>
      </c>
      <c r="M138" s="18">
        <f>M131</f>
      </c>
      <c r="N138" s="18">
        <f>N131</f>
      </c>
      <c r="O138" s="18">
        <f>O131</f>
      </c>
      <c r="P138" s="18">
        <f>P131</f>
      </c>
      <c r="Q138" s="18">
        <f>Q131</f>
      </c>
      <c r="R138" s="18">
        <f>R131</f>
      </c>
      <c r="S138" s="18">
        <f>S131</f>
      </c>
      <c r="T138" s="18">
        <f>T131</f>
      </c>
      <c r="U138" s="18">
        <f>U131</f>
      </c>
      <c r="V138" s="18">
        <f>V131</f>
      </c>
      <c r="W138" s="18">
        <f>W131</f>
      </c>
      <c r="X138" s="18">
        <f>X131</f>
      </c>
      <c r="Y138" s="18">
        <f>Y131</f>
      </c>
      <c r="Z138" s="18">
        <f>Z131</f>
      </c>
      <c r="AA138" s="18">
        <f>AA131</f>
      </c>
      <c r="AB138" s="18">
        <f>AB131</f>
      </c>
      <c r="AC138" s="18">
        <f>AC131</f>
      </c>
      <c r="AD138" s="18">
        <f>AD131</f>
      </c>
      <c r="AE138" s="18">
        <f>AE131</f>
      </c>
      <c r="AF138" s="18">
        <f>AF131</f>
      </c>
      <c r="AG138" s="18">
        <f>AG131</f>
      </c>
      <c r="AH138" s="18">
        <f>AH131</f>
      </c>
      <c r="AI138" s="18">
        <f>AI131</f>
      </c>
      <c r="AJ138" s="18">
        <f>AJ131</f>
      </c>
      <c r="AK138" s="19"/>
    </row>
    <row r="139" ht="12.75" customHeight="1" spans="2:37" x14ac:dyDescent="0.25">
      <c r="B139" s="20" t="s">
        <v>45</v>
      </c>
      <c r="C139" s="21"/>
      <c r="D139" s="21"/>
      <c r="E139" s="22">
        <f>E135+E136+E137+E138</f>
      </c>
      <c r="F139" s="22">
        <f>F135+F136+F137+F138</f>
      </c>
      <c r="G139" s="22">
        <f>G135+G136+G137+G138</f>
      </c>
      <c r="H139" s="22">
        <f>H135+H136+H137+H138</f>
      </c>
      <c r="I139" s="22">
        <f>I135+I136+I137+I138</f>
      </c>
      <c r="J139" s="22">
        <f>J135+J136+J137+J138</f>
      </c>
      <c r="K139" s="22">
        <f>K135+K136+K137+K138</f>
      </c>
      <c r="L139" s="22">
        <f>L135+L136+L137+L138</f>
      </c>
      <c r="M139" s="22">
        <f>M135+M136+M137+M138</f>
      </c>
      <c r="N139" s="22">
        <f>N135+N136+N137+N138</f>
      </c>
      <c r="O139" s="22">
        <f>O135+O136+O137+O138</f>
      </c>
      <c r="P139" s="22">
        <f>P135+P136+P137+P138</f>
      </c>
      <c r="Q139" s="22">
        <f>Q135+Q136+Q137+Q138</f>
      </c>
      <c r="R139" s="22">
        <f>R135+R136+R137+R138</f>
      </c>
      <c r="S139" s="22">
        <f>S135+S136+S137+S138</f>
      </c>
      <c r="T139" s="22">
        <f>T135+T136+T137+T138</f>
      </c>
      <c r="U139" s="22">
        <f>U135+U136+U137+U138</f>
      </c>
      <c r="V139" s="22">
        <f>V135+V136+V137+V138</f>
      </c>
      <c r="W139" s="22">
        <f>W135+W136+W137+W138</f>
      </c>
      <c r="X139" s="22">
        <f>X135+X136+X137+X138</f>
      </c>
      <c r="Y139" s="22">
        <f>Y135+Y136+Y137+Y138</f>
      </c>
      <c r="Z139" s="22">
        <f>Z135+Z136+Z137+Z138</f>
      </c>
      <c r="AA139" s="22">
        <f>AA135+AA136+AA137+AA138</f>
      </c>
      <c r="AB139" s="22">
        <f>AB135+AB136+AB137+AB138</f>
      </c>
      <c r="AC139" s="22">
        <f>AC135+AC136+AC137+AC138</f>
      </c>
      <c r="AD139" s="22">
        <f>AD135+AD136+AD137+AD138</f>
      </c>
      <c r="AE139" s="22">
        <f>AE135+AE136+AE137+AE138</f>
      </c>
      <c r="AF139" s="22">
        <f>AF135+AF136+AF137+AF138</f>
      </c>
      <c r="AG139" s="22">
        <f>AG135+AG136+AG137+AG138</f>
      </c>
      <c r="AH139" s="22">
        <f>AH135+AH136+AH137+AH138</f>
      </c>
      <c r="AI139" s="22">
        <f>AI135+AI136+AI137+AI138</f>
      </c>
      <c r="AJ139" s="22">
        <f>AJ135+AJ136+AJ137+AJ138</f>
      </c>
      <c r="AK139" s="23"/>
    </row>
    <row r="141" ht="12.75" customHeight="1" spans="2:37" x14ac:dyDescent="0.25">
      <c r="B141" s="11" t="s">
        <v>46</v>
      </c>
      <c r="C141" s="12"/>
      <c r="D141" s="13"/>
      <c r="E141" s="14" t="s">
        <v>7</v>
      </c>
      <c r="F141" s="14" t="s">
        <v>8</v>
      </c>
      <c r="G141" s="14" t="s">
        <v>9</v>
      </c>
      <c r="H141" s="14" t="s">
        <v>10</v>
      </c>
      <c r="I141" s="14" t="s">
        <v>11</v>
      </c>
      <c r="J141" s="14" t="s">
        <v>12</v>
      </c>
      <c r="K141" s="14" t="s">
        <v>13</v>
      </c>
      <c r="L141" s="14" t="s">
        <v>14</v>
      </c>
      <c r="M141" s="14" t="s">
        <v>15</v>
      </c>
      <c r="N141" s="14" t="s">
        <v>16</v>
      </c>
      <c r="O141" s="14" t="s">
        <v>17</v>
      </c>
      <c r="P141" s="14" t="s">
        <v>18</v>
      </c>
      <c r="Q141" s="14" t="s">
        <v>19</v>
      </c>
      <c r="R141" s="14" t="s">
        <v>20</v>
      </c>
      <c r="S141" s="14" t="s">
        <v>21</v>
      </c>
      <c r="T141" s="14" t="s">
        <v>22</v>
      </c>
      <c r="U141" s="14" t="s">
        <v>23</v>
      </c>
      <c r="V141" s="14" t="s">
        <v>24</v>
      </c>
      <c r="W141" s="14" t="s">
        <v>25</v>
      </c>
      <c r="X141" s="14" t="s">
        <v>26</v>
      </c>
      <c r="Y141" s="14" t="s">
        <v>27</v>
      </c>
      <c r="Z141" s="14" t="s">
        <v>28</v>
      </c>
      <c r="AA141" s="14" t="s">
        <v>29</v>
      </c>
      <c r="AB141" s="14" t="s">
        <v>30</v>
      </c>
      <c r="AC141" s="14" t="s">
        <v>31</v>
      </c>
      <c r="AD141" s="14" t="s">
        <v>32</v>
      </c>
      <c r="AE141" s="14" t="s">
        <v>33</v>
      </c>
      <c r="AF141" s="14" t="s">
        <v>34</v>
      </c>
      <c r="AG141" s="14" t="s">
        <v>35</v>
      </c>
      <c r="AH141" s="14" t="s">
        <v>36</v>
      </c>
      <c r="AI141" s="14" t="s">
        <v>37</v>
      </c>
      <c r="AJ141" s="14" t="s">
        <v>38</v>
      </c>
      <c r="AK141" s="15"/>
    </row>
    <row r="142" ht="12.75" customHeight="1" spans="2:37" x14ac:dyDescent="0.25">
      <c r="B142" s="16" t="s">
        <v>41</v>
      </c>
      <c r="C142" s="17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9"/>
    </row>
    <row r="143" ht="12.75" customHeight="1" spans="2:37" x14ac:dyDescent="0.25">
      <c r="B143" s="16" t="s">
        <v>42</v>
      </c>
      <c r="C143" s="17"/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9"/>
    </row>
    <row r="144" ht="12.75" customHeight="1" spans="2:37" x14ac:dyDescent="0.25">
      <c r="B144" s="16" t="s">
        <v>43</v>
      </c>
      <c r="C144" s="17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</row>
    <row r="145" ht="12.75" customHeight="1" spans="2:37" x14ac:dyDescent="0.25">
      <c r="B145" s="16" t="s">
        <v>44</v>
      </c>
      <c r="C145" s="17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9"/>
    </row>
    <row r="146" ht="12.75" customHeight="1" spans="2:37" x14ac:dyDescent="0.25">
      <c r="B146" s="20" t="s">
        <v>45</v>
      </c>
      <c r="C146" s="21"/>
      <c r="D146" s="21"/>
      <c r="E146" s="22">
        <f>E142+E143+E144+E145</f>
      </c>
      <c r="F146" s="22">
        <f>F142+F143+F144+F145</f>
      </c>
      <c r="G146" s="22">
        <f>G142+G143+G144+G145</f>
      </c>
      <c r="H146" s="22">
        <f>H142+H143+H144+H145</f>
      </c>
      <c r="I146" s="22">
        <f>I142+I143+I144+I145</f>
      </c>
      <c r="J146" s="22">
        <f>J142+J143+J144+J145</f>
      </c>
      <c r="K146" s="22">
        <f>K142+K143+K144+K145</f>
      </c>
      <c r="L146" s="22">
        <f>L142+L143+L144+L145</f>
      </c>
      <c r="M146" s="22">
        <f>M142+M143+M144+M145</f>
      </c>
      <c r="N146" s="22">
        <f>N142+N143+N144+N145</f>
      </c>
      <c r="O146" s="22">
        <f>O142+O143+O144+O145</f>
      </c>
      <c r="P146" s="22">
        <f>P142+P143+P144+P145</f>
      </c>
      <c r="Q146" s="22">
        <f>Q142+Q143+Q144+Q145</f>
      </c>
      <c r="R146" s="22">
        <f>R142+R143+R144+R145</f>
      </c>
      <c r="S146" s="22">
        <f>S142+S143+S144+S145</f>
      </c>
      <c r="T146" s="22">
        <f>T142+T143+T144+T145</f>
      </c>
      <c r="U146" s="22">
        <f>U142+U143+U144+U145</f>
      </c>
      <c r="V146" s="22">
        <f>V142+V143+V144+V145</f>
      </c>
      <c r="W146" s="22">
        <f>W142+W143+W144+W145</f>
      </c>
      <c r="X146" s="22">
        <f>X142+X143+X144+X145</f>
      </c>
      <c r="Y146" s="22">
        <f>Y142+Y143+Y144+Y145</f>
      </c>
      <c r="Z146" s="22">
        <f>Z142+Z143+Z144+Z145</f>
      </c>
      <c r="AA146" s="22">
        <f>AA142+AA143+AA144+AA145</f>
      </c>
      <c r="AB146" s="22">
        <f>AB142+AB143+AB144+AB145</f>
      </c>
      <c r="AC146" s="22">
        <f>AC142+AC143+AC144+AC145</f>
      </c>
      <c r="AD146" s="22">
        <f>AD142+AD143+AD144+AD145</f>
      </c>
      <c r="AE146" s="22">
        <f>AE142+AE143+AE144+AE145</f>
      </c>
      <c r="AF146" s="22">
        <f>AF142+AF143+AF144+AF145</f>
      </c>
      <c r="AG146" s="22">
        <f>AG142+AG143+AG144+AG145</f>
      </c>
      <c r="AH146" s="22">
        <f>AH142+AH143+AH144+AH145</f>
      </c>
      <c r="AI146" s="22">
        <f>AI142+AI143+AI144+AI145</f>
      </c>
      <c r="AJ146" s="22">
        <f>AJ142+AJ143+AJ144+AJ145</f>
      </c>
      <c r="AK146" s="23"/>
    </row>
    <row r="148" ht="12.75" customHeight="1" spans="2:37" x14ac:dyDescent="0.25">
      <c r="B148" s="11" t="s">
        <v>47</v>
      </c>
      <c r="C148" s="12"/>
      <c r="D148" s="13"/>
      <c r="E148" s="14" t="s">
        <v>7</v>
      </c>
      <c r="F148" s="14" t="s">
        <v>8</v>
      </c>
      <c r="G148" s="14" t="s">
        <v>9</v>
      </c>
      <c r="H148" s="14" t="s">
        <v>10</v>
      </c>
      <c r="I148" s="14" t="s">
        <v>11</v>
      </c>
      <c r="J148" s="14" t="s">
        <v>12</v>
      </c>
      <c r="K148" s="14" t="s">
        <v>13</v>
      </c>
      <c r="L148" s="14" t="s">
        <v>14</v>
      </c>
      <c r="M148" s="14" t="s">
        <v>15</v>
      </c>
      <c r="N148" s="14" t="s">
        <v>16</v>
      </c>
      <c r="O148" s="14" t="s">
        <v>17</v>
      </c>
      <c r="P148" s="14" t="s">
        <v>18</v>
      </c>
      <c r="Q148" s="14" t="s">
        <v>19</v>
      </c>
      <c r="R148" s="14" t="s">
        <v>20</v>
      </c>
      <c r="S148" s="14" t="s">
        <v>21</v>
      </c>
      <c r="T148" s="14" t="s">
        <v>22</v>
      </c>
      <c r="U148" s="14" t="s">
        <v>23</v>
      </c>
      <c r="V148" s="14" t="s">
        <v>24</v>
      </c>
      <c r="W148" s="14" t="s">
        <v>25</v>
      </c>
      <c r="X148" s="14" t="s">
        <v>26</v>
      </c>
      <c r="Y148" s="14" t="s">
        <v>27</v>
      </c>
      <c r="Z148" s="14" t="s">
        <v>28</v>
      </c>
      <c r="AA148" s="14" t="s">
        <v>29</v>
      </c>
      <c r="AB148" s="14" t="s">
        <v>30</v>
      </c>
      <c r="AC148" s="14" t="s">
        <v>31</v>
      </c>
      <c r="AD148" s="14" t="s">
        <v>32</v>
      </c>
      <c r="AE148" s="14" t="s">
        <v>33</v>
      </c>
      <c r="AF148" s="14" t="s">
        <v>34</v>
      </c>
      <c r="AG148" s="14" t="s">
        <v>35</v>
      </c>
      <c r="AH148" s="14" t="s">
        <v>36</v>
      </c>
      <c r="AI148" s="14" t="s">
        <v>37</v>
      </c>
      <c r="AJ148" s="14" t="s">
        <v>38</v>
      </c>
      <c r="AK148" s="15"/>
    </row>
    <row r="149" ht="12.75" customHeight="1" spans="2:37" x14ac:dyDescent="0.25">
      <c r="B149" s="16" t="s">
        <v>41</v>
      </c>
      <c r="C149" s="17"/>
      <c r="D149" s="17"/>
      <c r="E149" s="24">
        <f>E142-E135</f>
      </c>
      <c r="F149" s="24">
        <f>F142-F135</f>
      </c>
      <c r="G149" s="24">
        <f>G142-G135</f>
      </c>
      <c r="H149" s="24">
        <f>H142-H135</f>
      </c>
      <c r="I149" s="24">
        <f>I142-I135</f>
      </c>
      <c r="J149" s="24">
        <f>J142-J135</f>
      </c>
      <c r="K149" s="24">
        <f>K142-K135</f>
      </c>
      <c r="L149" s="24">
        <f>L142-L135</f>
      </c>
      <c r="M149" s="24">
        <f>M142-M135</f>
      </c>
      <c r="N149" s="24">
        <f>N142-N135</f>
      </c>
      <c r="O149" s="24">
        <f>O142-O135</f>
      </c>
      <c r="P149" s="24">
        <f>P142-P135</f>
      </c>
      <c r="Q149" s="24">
        <f>Q142-Q135</f>
      </c>
      <c r="R149" s="24">
        <f>R142-R135</f>
      </c>
      <c r="S149" s="24">
        <f>S142-S135</f>
      </c>
      <c r="T149" s="24">
        <f>T142-T135</f>
      </c>
      <c r="U149" s="24">
        <f>U142-U135</f>
      </c>
      <c r="V149" s="24">
        <f>V142-V135</f>
      </c>
      <c r="W149" s="24">
        <f>W142-W135</f>
      </c>
      <c r="X149" s="24">
        <f>X142-X135</f>
      </c>
      <c r="Y149" s="24">
        <f>Y142-Y135</f>
      </c>
      <c r="Z149" s="24">
        <f>Z142-Z135</f>
      </c>
      <c r="AA149" s="24">
        <f>AA142-AA135</f>
      </c>
      <c r="AB149" s="24">
        <f>AB142-AB135</f>
      </c>
      <c r="AC149" s="24">
        <f>AC142-AC135</f>
      </c>
      <c r="AD149" s="24">
        <f>AD142-AD135</f>
      </c>
      <c r="AE149" s="24">
        <f>AE142-AE135</f>
      </c>
      <c r="AF149" s="24">
        <f>AF142-AF135</f>
      </c>
      <c r="AG149" s="24">
        <f>AG142-AG135</f>
      </c>
      <c r="AH149" s="24">
        <f>AH142-AH135</f>
      </c>
      <c r="AI149" s="24">
        <f>AI142-AI135</f>
      </c>
      <c r="AJ149" s="24">
        <f>AJ142-AJ135</f>
      </c>
      <c r="AK149" s="19"/>
    </row>
    <row r="150" ht="12.75" customHeight="1" spans="2:37" x14ac:dyDescent="0.25">
      <c r="B150" s="16" t="s">
        <v>42</v>
      </c>
      <c r="C150" s="17"/>
      <c r="D150" s="17"/>
      <c r="E150" s="24">
        <f>E143-E136</f>
      </c>
      <c r="F150" s="24">
        <f>F143-F136</f>
      </c>
      <c r="G150" s="24">
        <f>G143-G136</f>
      </c>
      <c r="H150" s="24">
        <f>H143-H136</f>
      </c>
      <c r="I150" s="24">
        <f>I143-I136</f>
      </c>
      <c r="J150" s="24">
        <f>J143-J136</f>
      </c>
      <c r="K150" s="24">
        <f>K143-K136</f>
      </c>
      <c r="L150" s="24">
        <f>L143-L136</f>
      </c>
      <c r="M150" s="24">
        <f>M143-M136</f>
      </c>
      <c r="N150" s="24">
        <f>N143-N136</f>
      </c>
      <c r="O150" s="24">
        <f>O143-O136</f>
      </c>
      <c r="P150" s="24">
        <f>P143-P136</f>
      </c>
      <c r="Q150" s="24">
        <f>Q143-Q136</f>
      </c>
      <c r="R150" s="24">
        <f>R143-R136</f>
      </c>
      <c r="S150" s="24">
        <f>S143-S136</f>
      </c>
      <c r="T150" s="24">
        <f>T143-T136</f>
      </c>
      <c r="U150" s="24">
        <f>U143-U136</f>
      </c>
      <c r="V150" s="24">
        <f>V143-V136</f>
      </c>
      <c r="W150" s="24">
        <f>W143-W136</f>
      </c>
      <c r="X150" s="24">
        <f>X143-X136</f>
      </c>
      <c r="Y150" s="24">
        <f>Y143-Y136</f>
      </c>
      <c r="Z150" s="24">
        <f>Z143-Z136</f>
      </c>
      <c r="AA150" s="24">
        <f>AA143-AA136</f>
      </c>
      <c r="AB150" s="24">
        <f>AB143-AB136</f>
      </c>
      <c r="AC150" s="24">
        <f>AC143-AC136</f>
      </c>
      <c r="AD150" s="24">
        <f>AD143-AD136</f>
      </c>
      <c r="AE150" s="24">
        <f>AE143-AE136</f>
      </c>
      <c r="AF150" s="24">
        <f>AF143-AF136</f>
      </c>
      <c r="AG150" s="24">
        <f>AG143-AG136</f>
      </c>
      <c r="AH150" s="24">
        <f>AH143-AH136</f>
      </c>
      <c r="AI150" s="24">
        <f>AI143-AI136</f>
      </c>
      <c r="AJ150" s="24">
        <f>AJ143-AJ136</f>
      </c>
      <c r="AK150" s="19"/>
    </row>
    <row r="151" ht="12.75" customHeight="1" spans="2:37" x14ac:dyDescent="0.25">
      <c r="B151" s="16" t="s">
        <v>43</v>
      </c>
      <c r="C151" s="17"/>
      <c r="D151" s="17"/>
      <c r="E151" s="24">
        <f>E144-E137</f>
      </c>
      <c r="F151" s="24">
        <f>F144-F137</f>
      </c>
      <c r="G151" s="24">
        <f>G144-G137</f>
      </c>
      <c r="H151" s="24">
        <f>H144-H137</f>
      </c>
      <c r="I151" s="24">
        <f>I144-I137</f>
      </c>
      <c r="J151" s="24">
        <f>J144-J137</f>
      </c>
      <c r="K151" s="24">
        <f>K144-K137</f>
      </c>
      <c r="L151" s="24">
        <f>L144-L137</f>
      </c>
      <c r="M151" s="24">
        <f>M144-M137</f>
      </c>
      <c r="N151" s="24">
        <f>N144-N137</f>
      </c>
      <c r="O151" s="24">
        <f>O144-O137</f>
      </c>
      <c r="P151" s="24">
        <f>P144-P137</f>
      </c>
      <c r="Q151" s="24">
        <f>Q144-Q137</f>
      </c>
      <c r="R151" s="24">
        <f>R144-R137</f>
      </c>
      <c r="S151" s="24">
        <f>S144-S137</f>
      </c>
      <c r="T151" s="24">
        <f>T144-T137</f>
      </c>
      <c r="U151" s="24">
        <f>U144-U137</f>
      </c>
      <c r="V151" s="24">
        <f>V144-V137</f>
      </c>
      <c r="W151" s="24">
        <f>W144-W137</f>
      </c>
      <c r="X151" s="24">
        <f>X144-X137</f>
      </c>
      <c r="Y151" s="24">
        <f>Y144-Y137</f>
      </c>
      <c r="Z151" s="24">
        <f>Z144-Z137</f>
      </c>
      <c r="AA151" s="24">
        <f>AA144-AA137</f>
      </c>
      <c r="AB151" s="24">
        <f>AB144-AB137</f>
      </c>
      <c r="AC151" s="24">
        <f>AC144-AC137</f>
      </c>
      <c r="AD151" s="24">
        <f>AD144-AD137</f>
      </c>
      <c r="AE151" s="24">
        <f>AE144-AE137</f>
      </c>
      <c r="AF151" s="24">
        <f>AF144-AF137</f>
      </c>
      <c r="AG151" s="24">
        <f>AG144-AG137</f>
      </c>
      <c r="AH151" s="24">
        <f>AH144-AH137</f>
      </c>
      <c r="AI151" s="24">
        <f>AI144-AI137</f>
      </c>
      <c r="AJ151" s="24">
        <f>AJ144-AJ137</f>
      </c>
      <c r="AK151" s="19"/>
    </row>
    <row r="152" ht="12.75" customHeight="1" spans="2:37" x14ac:dyDescent="0.25">
      <c r="B152" s="16" t="s">
        <v>44</v>
      </c>
      <c r="C152" s="17"/>
      <c r="D152" s="17"/>
      <c r="E152" s="24">
        <f>E145-E138</f>
      </c>
      <c r="F152" s="24">
        <f>F145-F138</f>
      </c>
      <c r="G152" s="24">
        <f>G145-G138</f>
      </c>
      <c r="H152" s="24">
        <f>H145-H138</f>
      </c>
      <c r="I152" s="24">
        <f>I145-I138</f>
      </c>
      <c r="J152" s="24">
        <f>J145-J138</f>
      </c>
      <c r="K152" s="24">
        <f>K145-K138</f>
      </c>
      <c r="L152" s="24">
        <f>L145-L138</f>
      </c>
      <c r="M152" s="24">
        <f>M145-M138</f>
      </c>
      <c r="N152" s="24">
        <f>N145-N138</f>
      </c>
      <c r="O152" s="24">
        <f>O145-O138</f>
      </c>
      <c r="P152" s="24">
        <f>P145-P138</f>
      </c>
      <c r="Q152" s="24">
        <f>Q145-Q138</f>
      </c>
      <c r="R152" s="24">
        <f>R145-R138</f>
      </c>
      <c r="S152" s="24">
        <f>S145-S138</f>
      </c>
      <c r="T152" s="24">
        <f>T145-T138</f>
      </c>
      <c r="U152" s="24">
        <f>U145-U138</f>
      </c>
      <c r="V152" s="24">
        <f>V145-V138</f>
      </c>
      <c r="W152" s="24">
        <f>W145-W138</f>
      </c>
      <c r="X152" s="24">
        <f>X145-X138</f>
      </c>
      <c r="Y152" s="24">
        <f>Y145-Y138</f>
      </c>
      <c r="Z152" s="24">
        <f>Z145-Z138</f>
      </c>
      <c r="AA152" s="24">
        <f>AA145-AA138</f>
      </c>
      <c r="AB152" s="24">
        <f>AB145-AB138</f>
      </c>
      <c r="AC152" s="24">
        <f>AC145-AC138</f>
      </c>
      <c r="AD152" s="24">
        <f>AD145-AD138</f>
      </c>
      <c r="AE152" s="24">
        <f>AE145-AE138</f>
      </c>
      <c r="AF152" s="24">
        <f>AF145-AF138</f>
      </c>
      <c r="AG152" s="24">
        <f>AG145-AG138</f>
      </c>
      <c r="AH152" s="24">
        <f>AH145-AH138</f>
      </c>
      <c r="AI152" s="24">
        <f>AI145-AI138</f>
      </c>
      <c r="AJ152" s="24">
        <f>AJ145-AJ138</f>
      </c>
      <c r="AK152" s="19"/>
    </row>
    <row r="153" ht="12.75" customHeight="1" spans="2:37" x14ac:dyDescent="0.25">
      <c r="B153" s="20" t="s">
        <v>45</v>
      </c>
      <c r="C153" s="21"/>
      <c r="D153" s="21"/>
      <c r="E153" s="25">
        <f>E149+E150+E151+E152</f>
      </c>
      <c r="F153" s="25">
        <f>F149+F150+F151+F152</f>
      </c>
      <c r="G153" s="25">
        <f>G149+G150+G151+G152</f>
      </c>
      <c r="H153" s="25">
        <f>H149+H150+H151+H152</f>
      </c>
      <c r="I153" s="25">
        <f>I149+I150+I151+I152</f>
      </c>
      <c r="J153" s="25">
        <f>J149+J150+J151+J152</f>
      </c>
      <c r="K153" s="25">
        <f>K149+K150+K151+K152</f>
      </c>
      <c r="L153" s="25">
        <f>L149+L150+L151+L152</f>
      </c>
      <c r="M153" s="25">
        <f>M149+M150+M151+M152</f>
      </c>
      <c r="N153" s="25">
        <f>N149+N150+N151+N152</f>
      </c>
      <c r="O153" s="25">
        <f>O149+O150+O151+O152</f>
      </c>
      <c r="P153" s="25">
        <f>P149+P150+P151+P152</f>
      </c>
      <c r="Q153" s="25">
        <f>Q149+Q150+Q151+Q152</f>
      </c>
      <c r="R153" s="25">
        <f>R149+R150+R151+R152</f>
      </c>
      <c r="S153" s="25">
        <f>S149+S150+S151+S152</f>
      </c>
      <c r="T153" s="25">
        <f>T149+T150+T151+T152</f>
      </c>
      <c r="U153" s="25">
        <f>U149+U150+U151+U152</f>
      </c>
      <c r="V153" s="25">
        <f>V149+V150+V151+V152</f>
      </c>
      <c r="W153" s="25">
        <f>W149+W150+W151+W152</f>
      </c>
      <c r="X153" s="25">
        <f>X149+X150+X151+X152</f>
      </c>
      <c r="Y153" s="25">
        <f>Y149+Y150+Y151+Y152</f>
      </c>
      <c r="Z153" s="25">
        <f>Z149+Z150+Z151+Z152</f>
      </c>
      <c r="AA153" s="25">
        <f>AA149+AA150+AA151+AA152</f>
      </c>
      <c r="AB153" s="25">
        <f>AB149+AB150+AB151+AB152</f>
      </c>
      <c r="AC153" s="25">
        <f>AC149+AC150+AC151+AC152</f>
      </c>
      <c r="AD153" s="25">
        <f>AD149+AD150+AD151+AD152</f>
      </c>
      <c r="AE153" s="25">
        <f>AE149+AE150+AE151+AE152</f>
      </c>
      <c r="AF153" s="25">
        <f>AF149+AF150+AF151+AF152</f>
      </c>
      <c r="AG153" s="25">
        <f>AG149+AG150+AG151+AG152</f>
      </c>
      <c r="AH153" s="25">
        <f>AH149+AH150+AH151+AH152</f>
      </c>
      <c r="AI153" s="25">
        <f>AI149+AI150+AI151+AI152</f>
      </c>
      <c r="AJ153" s="25">
        <f>AJ149+AJ150+AJ151+AJ152</f>
      </c>
      <c r="AK153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369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479</v>
      </c>
      <c r="W8" s="44" t="s">
        <v>480</v>
      </c>
      <c r="X8" s="44" t="s">
        <v>481</v>
      </c>
      <c r="Y8" s="44" t="s">
        <v>482</v>
      </c>
      <c r="Z8" s="44" t="s">
        <v>483</v>
      </c>
      <c r="AA8" s="44" t="s">
        <v>484</v>
      </c>
      <c r="AB8" s="44" t="s">
        <v>485</v>
      </c>
      <c r="AC8" s="44" t="s">
        <v>486</v>
      </c>
      <c r="AD8" s="44" t="s">
        <v>487</v>
      </c>
      <c r="AE8" s="44" t="s">
        <v>488</v>
      </c>
      <c r="AF8" s="44" t="s">
        <v>489</v>
      </c>
      <c r="AG8" s="44" t="s">
        <v>490</v>
      </c>
      <c r="AH8" s="44" t="s">
        <v>491</v>
      </c>
      <c r="AI8" s="44" t="s">
        <v>492</v>
      </c>
      <c r="AJ8" s="44" t="s">
        <v>493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369</v>
      </c>
      <c r="D14" s="50" t="s">
        <v>42</v>
      </c>
      <c r="E14" s="32" t="s">
        <v>227</v>
      </c>
      <c r="F14" s="32" t="s">
        <v>370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3">
        <v>107.32</v>
      </c>
      <c r="W14" s="33">
        <v>137.49</v>
      </c>
      <c r="X14" s="33">
        <v>139.24</v>
      </c>
      <c r="Y14" s="33">
        <v>128.22</v>
      </c>
      <c r="Z14" s="33">
        <v>105.48</v>
      </c>
      <c r="AA14" s="33">
        <v>56.24</v>
      </c>
      <c r="AB14" s="33">
        <v>49.44</v>
      </c>
      <c r="AC14" s="33">
        <v>51.46</v>
      </c>
      <c r="AD14" s="33">
        <v>50.87</v>
      </c>
      <c r="AE14" s="33">
        <v>54.37</v>
      </c>
      <c r="AF14" s="33">
        <v>64.35</v>
      </c>
      <c r="AG14" s="33">
        <v>104.77</v>
      </c>
      <c r="AH14" s="33">
        <v>131.37</v>
      </c>
      <c r="AI14" s="33">
        <v>157.84</v>
      </c>
      <c r="AJ14" s="33">
        <v>149.98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369</v>
      </c>
      <c r="D15" s="50" t="s">
        <v>42</v>
      </c>
      <c r="E15" s="32" t="s">
        <v>227</v>
      </c>
      <c r="F15" s="32" t="s">
        <v>371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3">
        <v>49.72</v>
      </c>
      <c r="AE15" s="33">
        <v>33.1</v>
      </c>
      <c r="AF15" s="33">
        <v>28.1</v>
      </c>
      <c r="AG15" s="33">
        <v>28.2</v>
      </c>
      <c r="AH15" s="33">
        <v>33.35</v>
      </c>
      <c r="AI15" s="33">
        <v>43.49</v>
      </c>
      <c r="AJ15" s="33">
        <v>33.31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369</v>
      </c>
      <c r="D16" s="50" t="s">
        <v>42</v>
      </c>
      <c r="E16" s="32" t="s">
        <v>227</v>
      </c>
      <c r="F16" s="32" t="s">
        <v>372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3">
        <v>50.39</v>
      </c>
      <c r="AE16" s="33">
        <f>33.68+0.94</f>
        <v>34.62</v>
      </c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369</v>
      </c>
      <c r="D17" s="50" t="s">
        <v>42</v>
      </c>
      <c r="E17" s="32" t="s">
        <v>227</v>
      </c>
      <c r="F17" s="32" t="s">
        <v>373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v>48.79</v>
      </c>
      <c r="W17" s="33">
        <v>48.73</v>
      </c>
      <c r="X17" s="33">
        <v>48.73</v>
      </c>
      <c r="Y17" s="33">
        <v>48.73</v>
      </c>
      <c r="Z17" s="33">
        <v>48.73</v>
      </c>
      <c r="AA17" s="33">
        <v>48.73</v>
      </c>
      <c r="AB17" s="33">
        <v>48.73</v>
      </c>
      <c r="AC17" s="33">
        <v>48.73</v>
      </c>
      <c r="AD17" s="33">
        <v>48.73</v>
      </c>
      <c r="AE17" s="33">
        <v>48.73</v>
      </c>
      <c r="AF17" s="33">
        <v>48.73</v>
      </c>
      <c r="AG17" s="33">
        <v>48.73</v>
      </c>
      <c r="AH17" s="33">
        <v>41.54</v>
      </c>
      <c r="AI17" s="33">
        <v>41.54</v>
      </c>
      <c r="AJ17" s="33">
        <v>41.54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369</v>
      </c>
      <c r="D18" s="50" t="s">
        <v>42</v>
      </c>
      <c r="E18" s="32" t="s">
        <v>227</v>
      </c>
      <c r="F18" s="32" t="s">
        <v>374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35.05</v>
      </c>
      <c r="W18" s="33">
        <v>71.91</v>
      </c>
      <c r="X18" s="33">
        <v>53.29</v>
      </c>
      <c r="Y18" s="33">
        <v>61.7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369</v>
      </c>
      <c r="D19" s="50" t="s">
        <v>42</v>
      </c>
      <c r="E19" s="32" t="s">
        <v>227</v>
      </c>
      <c r="F19" s="32" t="s">
        <v>375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1979.1</v>
      </c>
      <c r="W19" s="33">
        <v>2004.71</v>
      </c>
      <c r="X19" s="33">
        <v>1809.43</v>
      </c>
      <c r="Y19" s="33">
        <v>1711.9</v>
      </c>
      <c r="Z19" s="33">
        <v>1478.68</v>
      </c>
      <c r="AA19" s="33">
        <v>1059.1</v>
      </c>
      <c r="AB19" s="33">
        <v>792.39</v>
      </c>
      <c r="AC19" s="33">
        <v>774.5</v>
      </c>
      <c r="AD19" s="33">
        <v>835.17</v>
      </c>
      <c r="AE19" s="33">
        <v>1074.74</v>
      </c>
      <c r="AF19" s="33">
        <v>1515.52</v>
      </c>
      <c r="AG19" s="33">
        <v>1759.03</v>
      </c>
      <c r="AH19" s="33">
        <v>2061.6</v>
      </c>
      <c r="AI19" s="33">
        <v>1982.03</v>
      </c>
      <c r="AJ19" s="33">
        <v>1808.97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369</v>
      </c>
      <c r="D20" s="50" t="s">
        <v>42</v>
      </c>
      <c r="E20" s="32" t="s">
        <v>227</v>
      </c>
      <c r="F20" s="32" t="s">
        <v>376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3">
        <f>74.45+0.00+100.00</f>
        <v>174.45</v>
      </c>
      <c r="AJ20" s="33">
        <v>96.89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369</v>
      </c>
      <c r="D21" s="50" t="s">
        <v>42</v>
      </c>
      <c r="E21" s="32" t="s">
        <v>227</v>
      </c>
      <c r="F21" s="32" t="s">
        <v>377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56.53</v>
      </c>
      <c r="W21" s="33">
        <v>-2.93</v>
      </c>
      <c r="X21" s="33">
        <v>132.1</v>
      </c>
      <c r="Y21" s="33">
        <v>99.98</v>
      </c>
      <c r="Z21" s="33">
        <v>74.49</v>
      </c>
      <c r="AA21" s="33">
        <v>75.08</v>
      </c>
      <c r="AB21" s="33">
        <v>65.51</v>
      </c>
      <c r="AC21" s="33">
        <v>69</v>
      </c>
      <c r="AD21" s="33">
        <v>72.63</v>
      </c>
      <c r="AE21" s="33">
        <v>71.45</v>
      </c>
      <c r="AF21" s="33">
        <v>64.5</v>
      </c>
      <c r="AG21" s="33">
        <v>75.96</v>
      </c>
      <c r="AH21" s="33">
        <v>94.17</v>
      </c>
      <c r="AI21" s="33">
        <v>87.03</v>
      </c>
      <c r="AJ21" s="33">
        <v>90.17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369</v>
      </c>
      <c r="D22" s="50" t="s">
        <v>42</v>
      </c>
      <c r="E22" s="32" t="s">
        <v>227</v>
      </c>
      <c r="F22" s="32" t="s">
        <v>378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>
        <v>294.29</v>
      </c>
      <c r="W22" s="33">
        <v>433.37</v>
      </c>
      <c r="X22" s="33">
        <v>419.74</v>
      </c>
      <c r="Y22" s="33">
        <v>429.74</v>
      </c>
      <c r="Z22" s="33">
        <v>343.27</v>
      </c>
      <c r="AA22" s="33">
        <v>438.28</v>
      </c>
      <c r="AB22" s="33">
        <v>443.78</v>
      </c>
      <c r="AC22" s="33">
        <v>515.87</v>
      </c>
      <c r="AD22" s="33">
        <v>423.5</v>
      </c>
      <c r="AE22" s="33">
        <v>391.37</v>
      </c>
      <c r="AF22" s="33">
        <v>329.67</v>
      </c>
      <c r="AG22" s="33">
        <v>333.15</v>
      </c>
      <c r="AH22" s="33">
        <v>320.86</v>
      </c>
      <c r="AI22" s="33">
        <v>429.73</v>
      </c>
      <c r="AJ22" s="33">
        <v>353.59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369</v>
      </c>
      <c r="D23" s="50" t="s">
        <v>42</v>
      </c>
      <c r="E23" s="32" t="s">
        <v>227</v>
      </c>
      <c r="F23" s="32" t="s">
        <v>379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v>37.32</v>
      </c>
      <c r="W23" s="33">
        <v>135.39</v>
      </c>
      <c r="X23" s="33">
        <v>114.81</v>
      </c>
      <c r="Y23" s="33">
        <v>84.9</v>
      </c>
      <c r="Z23" s="33">
        <v>-92.77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369</v>
      </c>
      <c r="D24" s="50" t="s">
        <v>42</v>
      </c>
      <c r="E24" s="32" t="s">
        <v>227</v>
      </c>
      <c r="F24" s="32" t="s">
        <v>380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3">
        <v>33.72</v>
      </c>
      <c r="W24" s="33">
        <v>75.44</v>
      </c>
      <c r="X24" s="33">
        <v>92.38</v>
      </c>
      <c r="Y24" s="33">
        <v>29.54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369</v>
      </c>
      <c r="D25" s="50" t="s">
        <v>42</v>
      </c>
      <c r="E25" s="32" t="s">
        <v>227</v>
      </c>
      <c r="F25" s="32" t="s">
        <v>381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>
        <v>25.39</v>
      </c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369</v>
      </c>
      <c r="D26" s="50" t="s">
        <v>42</v>
      </c>
      <c r="E26" s="32" t="s">
        <v>227</v>
      </c>
      <c r="F26" s="32" t="s">
        <v>382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>
        <v>28.48</v>
      </c>
      <c r="W26" s="33">
        <v>55.38</v>
      </c>
      <c r="X26" s="33">
        <v>52.87</v>
      </c>
      <c r="Y26" s="33">
        <v>96.16</v>
      </c>
      <c r="Z26" s="33">
        <v>60.37</v>
      </c>
      <c r="AA26" s="33">
        <v>27.07</v>
      </c>
      <c r="AB26" s="33">
        <v>27.07</v>
      </c>
      <c r="AC26" s="33">
        <v>27.07</v>
      </c>
      <c r="AD26" s="33">
        <v>27.07</v>
      </c>
      <c r="AE26" s="33">
        <v>27.07</v>
      </c>
      <c r="AF26" s="33">
        <v>27.82</v>
      </c>
      <c r="AG26" s="33">
        <v>30.33</v>
      </c>
      <c r="AH26" s="33">
        <v>32.5</v>
      </c>
      <c r="AI26" s="33">
        <v>32.5</v>
      </c>
      <c r="AJ26" s="33">
        <v>32.5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369</v>
      </c>
      <c r="D27" s="50" t="s">
        <v>42</v>
      </c>
      <c r="E27" s="32" t="s">
        <v>227</v>
      </c>
      <c r="F27" s="32" t="s">
        <v>383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-3.13</v>
      </c>
      <c r="W27" s="33">
        <v>61.97</v>
      </c>
      <c r="X27" s="33">
        <v>61.93</v>
      </c>
      <c r="Y27" s="33">
        <f>0.90+53.29</f>
        <v>54.19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369</v>
      </c>
      <c r="D28" s="50" t="s">
        <v>42</v>
      </c>
      <c r="E28" s="32" t="s">
        <v>227</v>
      </c>
      <c r="F28" s="32" t="s">
        <v>384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3">
        <v>115.33</v>
      </c>
      <c r="AH28" s="33">
        <v>74.57</v>
      </c>
      <c r="AI28" s="33">
        <v>32.5</v>
      </c>
      <c r="AJ28" s="33">
        <v>38.29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369</v>
      </c>
      <c r="D29" s="50" t="s">
        <v>42</v>
      </c>
      <c r="E29" s="32" t="s">
        <v>227</v>
      </c>
      <c r="F29" s="32" t="s">
        <v>385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46.41</v>
      </c>
      <c r="W29" s="33">
        <v>133.82</v>
      </c>
      <c r="X29" s="33">
        <v>92.49</v>
      </c>
      <c r="Y29" s="33">
        <v>37.43</v>
      </c>
      <c r="Z29" s="33">
        <v>27.07</v>
      </c>
      <c r="AA29" s="33">
        <v>27.07</v>
      </c>
      <c r="AB29" s="33">
        <v>27.07</v>
      </c>
      <c r="AC29" s="33">
        <v>27.07</v>
      </c>
      <c r="AD29" s="33">
        <v>27.07</v>
      </c>
      <c r="AE29" s="33">
        <v>27.07</v>
      </c>
      <c r="AF29" s="33">
        <v>27.07</v>
      </c>
      <c r="AG29" s="33">
        <v>27.07</v>
      </c>
      <c r="AH29" s="33">
        <v>44.99</v>
      </c>
      <c r="AI29" s="33">
        <v>114.69</v>
      </c>
      <c r="AJ29" s="33">
        <v>93.19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369</v>
      </c>
      <c r="D30" s="50" t="s">
        <v>42</v>
      </c>
      <c r="E30" s="32" t="s">
        <v>227</v>
      </c>
      <c r="F30" s="32" t="s">
        <v>386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>
        <v>10.81</v>
      </c>
      <c r="AG30" s="33">
        <f>49.10+100.00+0.00</f>
        <v>149.1</v>
      </c>
      <c r="AH30" s="33">
        <v>55.82</v>
      </c>
      <c r="AI30" s="33">
        <v>104.03</v>
      </c>
      <c r="AJ30" s="33">
        <v>108.72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369</v>
      </c>
      <c r="D31" s="50" t="s">
        <v>42</v>
      </c>
      <c r="E31" s="32" t="s">
        <v>227</v>
      </c>
      <c r="F31" s="32" t="s">
        <v>387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>
        <v>38.56</v>
      </c>
      <c r="W31" s="33">
        <v>25.22</v>
      </c>
      <c r="X31" s="33">
        <v>83.98</v>
      </c>
      <c r="Y31" s="33">
        <v>74.14</v>
      </c>
      <c r="Z31" s="33">
        <v>27.07</v>
      </c>
      <c r="AA31" s="33">
        <v>26.07</v>
      </c>
      <c r="AB31" s="33">
        <v>27.07</v>
      </c>
      <c r="AC31" s="33">
        <v>29.21</v>
      </c>
      <c r="AD31" s="33">
        <v>27.07</v>
      </c>
      <c r="AE31" s="33">
        <v>27.07</v>
      </c>
      <c r="AF31" s="33">
        <v>27.07</v>
      </c>
      <c r="AG31" s="33">
        <v>10.06</v>
      </c>
      <c r="AH31" s="33">
        <v>32.5</v>
      </c>
      <c r="AI31" s="33">
        <v>32.5</v>
      </c>
      <c r="AJ31" s="33">
        <v>32.5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369</v>
      </c>
      <c r="D32" s="50" t="s">
        <v>42</v>
      </c>
      <c r="E32" s="32" t="s">
        <v>227</v>
      </c>
      <c r="F32" s="32" t="s">
        <v>388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>
        <v>64.72</v>
      </c>
      <c r="W32" s="33">
        <v>155.15</v>
      </c>
      <c r="X32" s="33">
        <v>132.49</v>
      </c>
      <c r="Y32" s="33">
        <v>69.54</v>
      </c>
      <c r="Z32" s="33">
        <v>27.07</v>
      </c>
      <c r="AA32" s="33">
        <v>27.07</v>
      </c>
      <c r="AB32" s="33">
        <v>32.96</v>
      </c>
      <c r="AC32" s="33">
        <v>29.47</v>
      </c>
      <c r="AD32" s="33">
        <v>27.07</v>
      </c>
      <c r="AE32" s="33">
        <v>27.07</v>
      </c>
      <c r="AF32" s="33">
        <v>27.07</v>
      </c>
      <c r="AG32" s="33">
        <v>27.07</v>
      </c>
      <c r="AH32" s="33">
        <f>9.74+72.99</f>
        <v>82.72999999999999</v>
      </c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369</v>
      </c>
      <c r="D33" s="50" t="s">
        <v>42</v>
      </c>
      <c r="E33" s="32" t="s">
        <v>227</v>
      </c>
      <c r="F33" s="32" t="s">
        <v>389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3">
        <v>194.44</v>
      </c>
      <c r="AI33" s="33">
        <v>61.94</v>
      </c>
      <c r="AJ33" s="33">
        <v>-161.24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369</v>
      </c>
      <c r="D34" s="50" t="s">
        <v>42</v>
      </c>
      <c r="E34" s="32" t="s">
        <v>227</v>
      </c>
      <c r="F34" s="32" t="s">
        <v>390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3">
        <v>60.06</v>
      </c>
      <c r="AC34" s="33">
        <f>4.73+33.14</f>
        <v>37.870000000000005</v>
      </c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369</v>
      </c>
      <c r="D35" s="50" t="s">
        <v>42</v>
      </c>
      <c r="E35" s="32" t="s">
        <v>227</v>
      </c>
      <c r="F35" s="32" t="s">
        <v>391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v>404.4</v>
      </c>
      <c r="W35" s="33">
        <v>542.55</v>
      </c>
      <c r="X35" s="33">
        <v>387.59</v>
      </c>
      <c r="Y35" s="33">
        <v>392.68</v>
      </c>
      <c r="Z35" s="33">
        <v>391.06</v>
      </c>
      <c r="AA35" s="33">
        <v>494.46</v>
      </c>
      <c r="AB35" s="33">
        <v>429.88</v>
      </c>
      <c r="AC35" s="33">
        <v>511.56</v>
      </c>
      <c r="AD35" s="33">
        <v>400.19</v>
      </c>
      <c r="AE35" s="33">
        <v>356.58</v>
      </c>
      <c r="AF35" s="33">
        <v>282.01</v>
      </c>
      <c r="AG35" s="33">
        <v>295.91</v>
      </c>
      <c r="AH35" s="33">
        <v>384.37</v>
      </c>
      <c r="AI35" s="33">
        <v>798.02</v>
      </c>
      <c r="AJ35" s="33">
        <v>436.72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369</v>
      </c>
      <c r="D36" s="50" t="s">
        <v>42</v>
      </c>
      <c r="E36" s="32" t="s">
        <v>227</v>
      </c>
      <c r="F36" s="32" t="s">
        <v>392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3">
        <f>100.00+14.42</f>
        <v>114.42</v>
      </c>
      <c r="AH36" s="33">
        <v>46.1</v>
      </c>
      <c r="AI36" s="33">
        <v>109.36</v>
      </c>
      <c r="AJ36" s="33">
        <v>110.29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369</v>
      </c>
      <c r="D37" s="50" t="s">
        <v>42</v>
      </c>
      <c r="E37" s="32" t="s">
        <v>227</v>
      </c>
      <c r="F37" s="32" t="s">
        <v>393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3">
        <v>81.26</v>
      </c>
      <c r="AJ37" s="33">
        <v>57.74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369</v>
      </c>
      <c r="D38" s="50" t="s">
        <v>42</v>
      </c>
      <c r="E38" s="32" t="s">
        <v>227</v>
      </c>
      <c r="F38" s="32" t="s">
        <v>394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>
        <v>-12.58</v>
      </c>
      <c r="W38" s="33">
        <v>15.82</v>
      </c>
      <c r="X38" s="33">
        <v>32.65</v>
      </c>
      <c r="Y38" s="33">
        <v>31.32</v>
      </c>
      <c r="Z38" s="33">
        <v>27.78</v>
      </c>
      <c r="AA38" s="33">
        <v>27.07</v>
      </c>
      <c r="AB38" s="33">
        <v>27.07</v>
      </c>
      <c r="AC38" s="33">
        <v>27.07</v>
      </c>
      <c r="AD38" s="33">
        <v>29.27</v>
      </c>
      <c r="AE38" s="33">
        <v>28.84</v>
      </c>
      <c r="AF38" s="33">
        <v>27.07</v>
      </c>
      <c r="AG38" s="33">
        <v>148.9</v>
      </c>
      <c r="AH38" s="33">
        <v>68.9</v>
      </c>
      <c r="AI38" s="33">
        <v>70.35</v>
      </c>
      <c r="AJ38" s="33">
        <v>133.18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369</v>
      </c>
      <c r="D39" s="50" t="s">
        <v>42</v>
      </c>
      <c r="E39" s="32" t="s">
        <v>227</v>
      </c>
      <c r="F39" s="32" t="s">
        <v>395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27.07</v>
      </c>
      <c r="W39" s="33">
        <v>106.4</v>
      </c>
      <c r="X39" s="33">
        <v>127.4</v>
      </c>
      <c r="Y39" s="33">
        <v>166.77</v>
      </c>
      <c r="Z39" s="33">
        <v>36.18</v>
      </c>
      <c r="AA39" s="33">
        <v>27.07</v>
      </c>
      <c r="AB39" s="33">
        <v>27.07</v>
      </c>
      <c r="AC39" s="33">
        <v>27.07</v>
      </c>
      <c r="AD39" s="33">
        <v>27.07</v>
      </c>
      <c r="AE39" s="33">
        <v>27.07</v>
      </c>
      <c r="AF39" s="33">
        <v>27.07</v>
      </c>
      <c r="AG39" s="33">
        <v>29.71</v>
      </c>
      <c r="AH39" s="33">
        <v>40.62</v>
      </c>
      <c r="AI39" s="33">
        <v>87.07</v>
      </c>
      <c r="AJ39" s="33">
        <v>44.06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369</v>
      </c>
      <c r="D40" s="50" t="s">
        <v>42</v>
      </c>
      <c r="E40" s="32" t="s">
        <v>227</v>
      </c>
      <c r="F40" s="32" t="s">
        <v>396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3">
        <f>100.00+18.57</f>
        <v>118.57</v>
      </c>
      <c r="AH40" s="33">
        <v>71.93</v>
      </c>
      <c r="AI40" s="33">
        <v>52.68</v>
      </c>
      <c r="AJ40" s="33">
        <v>32.5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369</v>
      </c>
      <c r="D41" s="50" t="s">
        <v>42</v>
      </c>
      <c r="E41" s="32" t="s">
        <v>227</v>
      </c>
      <c r="F41" s="32" t="s">
        <v>397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3">
        <v>71.94</v>
      </c>
      <c r="W41" s="33">
        <v>72.15</v>
      </c>
      <c r="X41" s="33">
        <v>72.15</v>
      </c>
      <c r="Y41" s="33">
        <v>72.15</v>
      </c>
      <c r="Z41" s="33">
        <v>72.15</v>
      </c>
      <c r="AA41" s="33">
        <v>72.15</v>
      </c>
      <c r="AB41" s="33">
        <v>72.15</v>
      </c>
      <c r="AC41" s="33">
        <v>72.15</v>
      </c>
      <c r="AD41" s="33">
        <v>72.15</v>
      </c>
      <c r="AE41" s="33">
        <v>72.15</v>
      </c>
      <c r="AF41" s="33">
        <v>72.15</v>
      </c>
      <c r="AG41" s="33">
        <v>72.15</v>
      </c>
      <c r="AH41" s="33">
        <v>64.62</v>
      </c>
      <c r="AI41" s="33">
        <v>64.62</v>
      </c>
      <c r="AJ41" s="33">
        <v>64.62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369</v>
      </c>
      <c r="D42" s="50" t="s">
        <v>42</v>
      </c>
      <c r="E42" s="32" t="s">
        <v>227</v>
      </c>
      <c r="F42" s="32" t="s">
        <v>398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>
        <v>31.72</v>
      </c>
      <c r="W42" s="33">
        <v>56.3</v>
      </c>
      <c r="X42" s="33">
        <v>52.63</v>
      </c>
      <c r="Y42" s="33">
        <v>52.11</v>
      </c>
      <c r="Z42" s="33">
        <v>28.14</v>
      </c>
      <c r="AA42" s="33">
        <v>28.2</v>
      </c>
      <c r="AB42" s="33">
        <v>28.1</v>
      </c>
      <c r="AC42" s="33">
        <v>28.14</v>
      </c>
      <c r="AD42" s="33">
        <v>28.2</v>
      </c>
      <c r="AE42" s="33">
        <v>28.14</v>
      </c>
      <c r="AF42" s="33">
        <v>28.1</v>
      </c>
      <c r="AG42" s="33">
        <v>28.14</v>
      </c>
      <c r="AH42" s="33">
        <v>36.66</v>
      </c>
      <c r="AI42" s="33">
        <v>57.6</v>
      </c>
      <c r="AJ42" s="33">
        <v>62.24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369</v>
      </c>
      <c r="D43" s="50" t="s">
        <v>42</v>
      </c>
      <c r="E43" s="32" t="s">
        <v>227</v>
      </c>
      <c r="F43" s="32" t="s">
        <v>399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>
        <v>106.95</v>
      </c>
      <c r="W43" s="33">
        <v>50.26</v>
      </c>
      <c r="X43" s="33">
        <v>98.41</v>
      </c>
      <c r="Y43" s="33">
        <v>94.09</v>
      </c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369</v>
      </c>
      <c r="D44" s="50" t="s">
        <v>42</v>
      </c>
      <c r="E44" s="32" t="s">
        <v>227</v>
      </c>
      <c r="F44" s="32" t="s">
        <v>400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3">
        <v>100</v>
      </c>
      <c r="X44" s="33">
        <v>62.77</v>
      </c>
      <c r="Y44" s="33">
        <v>27.07</v>
      </c>
      <c r="Z44" s="33">
        <v>27.07</v>
      </c>
      <c r="AA44" s="33">
        <v>27.07</v>
      </c>
      <c r="AB44" s="33">
        <v>27.07</v>
      </c>
      <c r="AC44" s="33">
        <v>27.07</v>
      </c>
      <c r="AD44" s="33">
        <v>27.07</v>
      </c>
      <c r="AE44" s="33">
        <v>27.07</v>
      </c>
      <c r="AF44" s="33">
        <v>27.07</v>
      </c>
      <c r="AG44" s="33">
        <v>27.07</v>
      </c>
      <c r="AH44" s="33">
        <v>32.5</v>
      </c>
      <c r="AI44" s="33">
        <v>50.96</v>
      </c>
      <c r="AJ44" s="33">
        <v>30.29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369</v>
      </c>
      <c r="D45" s="50" t="s">
        <v>42</v>
      </c>
      <c r="E45" s="32" t="s">
        <v>227</v>
      </c>
      <c r="F45" s="32" t="s">
        <v>401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v>70.39</v>
      </c>
      <c r="W45" s="33">
        <v>114.58</v>
      </c>
      <c r="X45" s="33">
        <v>147.53</v>
      </c>
      <c r="Y45" s="33">
        <v>169.23</v>
      </c>
      <c r="Z45" s="33">
        <v>28.73</v>
      </c>
      <c r="AA45" s="33">
        <v>27.25</v>
      </c>
      <c r="AB45" s="33">
        <v>28.14</v>
      </c>
      <c r="AC45" s="33">
        <v>28.14</v>
      </c>
      <c r="AD45" s="33">
        <v>28.25</v>
      </c>
      <c r="AE45" s="33">
        <v>29.4</v>
      </c>
      <c r="AF45" s="33">
        <f>29.21+-94.28</f>
        <v>-65.07</v>
      </c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369</v>
      </c>
      <c r="D46" s="50" t="s">
        <v>42</v>
      </c>
      <c r="E46" s="32" t="s">
        <v>227</v>
      </c>
      <c r="F46" s="32" t="s">
        <v>402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3">
        <v>29.62</v>
      </c>
      <c r="AA46" s="33">
        <v>33.2</v>
      </c>
      <c r="AB46" s="33">
        <v>33.1</v>
      </c>
      <c r="AC46" s="33">
        <v>32.98</v>
      </c>
      <c r="AD46" s="33">
        <v>28.2</v>
      </c>
      <c r="AE46" s="33">
        <v>28.1</v>
      </c>
      <c r="AF46" s="33">
        <v>28.1</v>
      </c>
      <c r="AG46" s="33">
        <v>103.78</v>
      </c>
      <c r="AH46" s="33">
        <v>72.34</v>
      </c>
      <c r="AI46" s="33">
        <v>117.75</v>
      </c>
      <c r="AJ46" s="33">
        <v>104.87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369</v>
      </c>
      <c r="D47" s="50" t="s">
        <v>42</v>
      </c>
      <c r="E47" s="32" t="s">
        <v>227</v>
      </c>
      <c r="F47" s="32" t="s">
        <v>403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>
        <v>27.07</v>
      </c>
      <c r="W47" s="33">
        <v>27.07</v>
      </c>
      <c r="X47" s="33">
        <v>27.07</v>
      </c>
      <c r="Y47" s="33">
        <v>27.07</v>
      </c>
      <c r="Z47" s="33">
        <v>27.07</v>
      </c>
      <c r="AA47" s="33">
        <v>27.07</v>
      </c>
      <c r="AB47" s="33">
        <v>27.07</v>
      </c>
      <c r="AC47" s="33">
        <v>27.07</v>
      </c>
      <c r="AD47" s="33">
        <v>27.07</v>
      </c>
      <c r="AE47" s="33">
        <v>27.07</v>
      </c>
      <c r="AF47" s="33">
        <v>27.07</v>
      </c>
      <c r="AG47" s="33">
        <v>27.07</v>
      </c>
      <c r="AH47" s="33">
        <v>32.5</v>
      </c>
      <c r="AI47" s="33">
        <v>32.5</v>
      </c>
      <c r="AJ47" s="33">
        <v>32.5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369</v>
      </c>
      <c r="D48" s="50" t="s">
        <v>42</v>
      </c>
      <c r="E48" s="32" t="s">
        <v>227</v>
      </c>
      <c r="F48" s="32" t="s">
        <v>404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>
        <v>36.47</v>
      </c>
      <c r="W48" s="33">
        <v>95.8</v>
      </c>
      <c r="X48" s="33">
        <v>63.12</v>
      </c>
      <c r="Y48" s="33">
        <v>38.32</v>
      </c>
      <c r="Z48" s="33">
        <v>27.07</v>
      </c>
      <c r="AA48" s="33">
        <v>27.07</v>
      </c>
      <c r="AB48" s="33">
        <v>27.07</v>
      </c>
      <c r="AC48" s="33">
        <v>27.07</v>
      </c>
      <c r="AD48" s="33">
        <v>27.07</v>
      </c>
      <c r="AE48" s="33">
        <v>27.07</v>
      </c>
      <c r="AF48" s="33">
        <v>27.07</v>
      </c>
      <c r="AG48" s="33">
        <v>27.07</v>
      </c>
      <c r="AH48" s="33">
        <v>40.66</v>
      </c>
      <c r="AI48" s="33">
        <v>156.37</v>
      </c>
      <c r="AJ48" s="33">
        <v>138.74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369</v>
      </c>
      <c r="D49" s="50" t="s">
        <v>42</v>
      </c>
      <c r="E49" s="32" t="s">
        <v>227</v>
      </c>
      <c r="F49" s="32" t="s">
        <v>405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>
        <v>123.06</v>
      </c>
      <c r="W49" s="33">
        <v>135.39</v>
      </c>
      <c r="X49" s="33">
        <v>103.67</v>
      </c>
      <c r="Y49" s="33">
        <v>-62.8</v>
      </c>
      <c r="Z49" s="33">
        <v>-34.7</v>
      </c>
      <c r="AA49" s="33">
        <v>-6.45</v>
      </c>
      <c r="AB49" s="33">
        <v>21.65</v>
      </c>
      <c r="AC49" s="33">
        <v>28.14</v>
      </c>
      <c r="AD49" s="33">
        <v>28.25</v>
      </c>
      <c r="AE49" s="33">
        <v>28.1</v>
      </c>
      <c r="AF49" s="33">
        <v>35.75</v>
      </c>
      <c r="AG49" s="33">
        <v>84.61</v>
      </c>
      <c r="AH49" s="33">
        <v>106.57</v>
      </c>
      <c r="AI49" s="33">
        <v>149.13</v>
      </c>
      <c r="AJ49" s="33">
        <v>84.82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369</v>
      </c>
      <c r="D50" s="50" t="s">
        <v>42</v>
      </c>
      <c r="E50" s="32" t="s">
        <v>227</v>
      </c>
      <c r="F50" s="32" t="s">
        <v>406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3">
        <v>49.66</v>
      </c>
      <c r="AE50" s="33">
        <v>33.14</v>
      </c>
      <c r="AF50" s="33">
        <v>28.04</v>
      </c>
      <c r="AG50" s="33">
        <v>28.2</v>
      </c>
      <c r="AH50" s="33">
        <v>58.12</v>
      </c>
      <c r="AI50" s="33">
        <v>113.5</v>
      </c>
      <c r="AJ50" s="33">
        <v>38.53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369</v>
      </c>
      <c r="D51" s="50" t="s">
        <v>42</v>
      </c>
      <c r="E51" s="32" t="s">
        <v>227</v>
      </c>
      <c r="F51" s="32" t="s">
        <v>407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3">
        <f>107.67+100.00</f>
        <v>207.67000000000002</v>
      </c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369</v>
      </c>
      <c r="D52" s="50" t="s">
        <v>42</v>
      </c>
      <c r="E52" s="32" t="s">
        <v>227</v>
      </c>
      <c r="F52" s="32" t="s">
        <v>408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3">
        <f>55.18+117.68</f>
        <v>172.86</v>
      </c>
      <c r="AJ52" s="33">
        <v>18.82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369</v>
      </c>
      <c r="D53" s="50" t="s">
        <v>42</v>
      </c>
      <c r="E53" s="32" t="s">
        <v>227</v>
      </c>
      <c r="F53" s="32" t="s">
        <v>409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3">
        <v>49.66</v>
      </c>
      <c r="AE53" s="33">
        <v>33.14</v>
      </c>
      <c r="AF53" s="33">
        <v>28.1</v>
      </c>
      <c r="AG53" s="33">
        <v>28.14</v>
      </c>
      <c r="AH53" s="33">
        <v>136.61</v>
      </c>
      <c r="AI53" s="33">
        <v>169.96</v>
      </c>
      <c r="AJ53" s="33">
        <v>122.92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369</v>
      </c>
      <c r="D54" s="50" t="s">
        <v>42</v>
      </c>
      <c r="E54" s="32" t="s">
        <v>227</v>
      </c>
      <c r="F54" s="32" t="s">
        <v>410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>
        <v>387.63</v>
      </c>
      <c r="W54" s="33">
        <v>466.65</v>
      </c>
      <c r="X54" s="33">
        <v>462.03</v>
      </c>
      <c r="Y54" s="33">
        <v>449.85</v>
      </c>
      <c r="Z54" s="33">
        <v>426.69</v>
      </c>
      <c r="AA54" s="33">
        <v>335.6</v>
      </c>
      <c r="AB54" s="33">
        <v>264.06</v>
      </c>
      <c r="AC54" s="33">
        <v>263.06</v>
      </c>
      <c r="AD54" s="33">
        <v>231.92</v>
      </c>
      <c r="AE54" s="33">
        <v>278.82</v>
      </c>
      <c r="AF54" s="33">
        <v>317.64</v>
      </c>
      <c r="AG54" s="33">
        <v>457.39</v>
      </c>
      <c r="AH54" s="33">
        <v>475.1</v>
      </c>
      <c r="AI54" s="33">
        <v>552.75</v>
      </c>
      <c r="AJ54" s="33">
        <v>547.68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369</v>
      </c>
      <c r="D55" s="50" t="s">
        <v>42</v>
      </c>
      <c r="E55" s="32" t="s">
        <v>227</v>
      </c>
      <c r="F55" s="32" t="s">
        <v>411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3">
        <v>33.38</v>
      </c>
      <c r="AA55" s="33">
        <v>32.07</v>
      </c>
      <c r="AB55" s="33">
        <v>32.07</v>
      </c>
      <c r="AC55" s="33">
        <v>32.07</v>
      </c>
      <c r="AD55" s="33">
        <v>27.07</v>
      </c>
      <c r="AE55" s="33">
        <v>27.07</v>
      </c>
      <c r="AF55" s="33">
        <v>12.64</v>
      </c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369</v>
      </c>
      <c r="D56" s="50" t="s">
        <v>42</v>
      </c>
      <c r="E56" s="32" t="s">
        <v>227</v>
      </c>
      <c r="F56" s="32" t="s">
        <v>412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3">
        <f>138.29+100.00</f>
        <v>238.29</v>
      </c>
      <c r="AJ56" s="33">
        <v>-2.69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369</v>
      </c>
      <c r="D57" s="50" t="s">
        <v>42</v>
      </c>
      <c r="E57" s="32" t="s">
        <v>227</v>
      </c>
      <c r="F57" s="32" t="s">
        <v>413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3">
        <v>27.07</v>
      </c>
      <c r="W57" s="33">
        <v>12.14</v>
      </c>
      <c r="X57" s="33">
        <v>27.07</v>
      </c>
      <c r="Y57" s="33">
        <v>27.07</v>
      </c>
      <c r="Z57" s="33">
        <v>27.07</v>
      </c>
      <c r="AA57" s="33">
        <v>-69.45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369</v>
      </c>
      <c r="D58" s="50" t="s">
        <v>42</v>
      </c>
      <c r="E58" s="32" t="s">
        <v>227</v>
      </c>
      <c r="F58" s="32" t="s">
        <v>414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>
        <v>1570.58</v>
      </c>
      <c r="W58" s="33">
        <v>1673.32</v>
      </c>
      <c r="X58" s="33">
        <v>1885.24</v>
      </c>
      <c r="Y58" s="33">
        <v>1648.82</v>
      </c>
      <c r="Z58" s="33">
        <v>1421.67</v>
      </c>
      <c r="AA58" s="33">
        <v>1347.72</v>
      </c>
      <c r="AB58" s="33">
        <v>1115.34</v>
      </c>
      <c r="AC58" s="33">
        <v>1229.03</v>
      </c>
      <c r="AD58" s="33">
        <v>1238.26</v>
      </c>
      <c r="AE58" s="33">
        <v>1214.85</v>
      </c>
      <c r="AF58" s="33">
        <v>1321.51</v>
      </c>
      <c r="AG58" s="33">
        <v>1560.27</v>
      </c>
      <c r="AH58" s="33">
        <v>1648.8</v>
      </c>
      <c r="AI58" s="33">
        <v>1722.29</v>
      </c>
      <c r="AJ58" s="33">
        <v>1702.26</v>
      </c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369</v>
      </c>
      <c r="D59" s="50" t="s">
        <v>42</v>
      </c>
      <c r="E59" s="32" t="s">
        <v>227</v>
      </c>
      <c r="F59" s="32" t="s">
        <v>415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3">
        <v>49.77</v>
      </c>
      <c r="AE59" s="33">
        <v>33.14</v>
      </c>
      <c r="AF59" s="33">
        <f>3.76+28.10</f>
        <v>31.86</v>
      </c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369</v>
      </c>
      <c r="D60" s="50" t="s">
        <v>42</v>
      </c>
      <c r="E60" s="32" t="s">
        <v>227</v>
      </c>
      <c r="F60" s="32" t="s">
        <v>416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3">
        <v>29.17</v>
      </c>
      <c r="W60" s="33">
        <v>73.75</v>
      </c>
      <c r="X60" s="33">
        <v>62.99</v>
      </c>
      <c r="Y60" s="33">
        <f>0.90+32.65</f>
        <v>33.55</v>
      </c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369</v>
      </c>
      <c r="D61" s="50" t="s">
        <v>42</v>
      </c>
      <c r="E61" s="32" t="s">
        <v>227</v>
      </c>
      <c r="F61" s="32" t="s">
        <v>417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3">
        <v>52.97</v>
      </c>
      <c r="AJ61" s="33">
        <f>78.12+0.00</f>
        <v>78.12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369</v>
      </c>
      <c r="D62" s="50" t="s">
        <v>42</v>
      </c>
      <c r="E62" s="32" t="s">
        <v>227</v>
      </c>
      <c r="F62" s="32" t="s">
        <v>418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3">
        <v>40.87</v>
      </c>
      <c r="W62" s="33">
        <v>116.78</v>
      </c>
      <c r="X62" s="33">
        <v>115.06</v>
      </c>
      <c r="Y62" s="33">
        <f>-99.10+119.78</f>
        <v>20.680000000000007</v>
      </c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369</v>
      </c>
      <c r="D63" s="50" t="s">
        <v>42</v>
      </c>
      <c r="E63" s="32" t="s">
        <v>227</v>
      </c>
      <c r="F63" s="32" t="s">
        <v>419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3">
        <v>37.73</v>
      </c>
      <c r="W63" s="33">
        <v>75.32</v>
      </c>
      <c r="X63" s="33">
        <v>72.3</v>
      </c>
      <c r="Y63" s="33">
        <v>84.37</v>
      </c>
      <c r="Z63" s="33">
        <v>45.56</v>
      </c>
      <c r="AA63" s="33">
        <v>27.07</v>
      </c>
      <c r="AB63" s="33">
        <v>27.07</v>
      </c>
      <c r="AC63" s="33">
        <v>27.07</v>
      </c>
      <c r="AD63" s="33">
        <v>27.07</v>
      </c>
      <c r="AE63" s="33">
        <v>27.07</v>
      </c>
      <c r="AF63" s="33">
        <v>27.07</v>
      </c>
      <c r="AG63" s="33">
        <v>27.23</v>
      </c>
      <c r="AH63" s="33">
        <v>33.08</v>
      </c>
      <c r="AI63" s="33">
        <v>76.46</v>
      </c>
      <c r="AJ63" s="33">
        <v>81.9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369</v>
      </c>
      <c r="D64" s="50" t="s">
        <v>42</v>
      </c>
      <c r="E64" s="32" t="s">
        <v>227</v>
      </c>
      <c r="F64" s="32" t="s">
        <v>420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3">
        <f>100.00+17.62+134.20</f>
        <v>251.82</v>
      </c>
      <c r="Z64" s="33">
        <v>-78.44</v>
      </c>
      <c r="AA64" s="33">
        <v>33.63</v>
      </c>
      <c r="AB64" s="33">
        <v>53.96</v>
      </c>
      <c r="AC64" s="33">
        <v>27.55</v>
      </c>
      <c r="AD64" s="33">
        <v>28.68</v>
      </c>
      <c r="AE64" s="33">
        <v>28.58</v>
      </c>
      <c r="AF64" s="33">
        <f>28.47+-100.09</f>
        <v>-71.62</v>
      </c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369</v>
      </c>
      <c r="D65" s="50" t="s">
        <v>42</v>
      </c>
      <c r="E65" s="32" t="s">
        <v>227</v>
      </c>
      <c r="F65" s="32" t="s">
        <v>421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3">
        <v>21.69</v>
      </c>
      <c r="W65" s="33">
        <v>37.66</v>
      </c>
      <c r="X65" s="33">
        <v>36.18</v>
      </c>
      <c r="Y65" s="33">
        <v>61.03</v>
      </c>
      <c r="Z65" s="33">
        <v>33.72</v>
      </c>
      <c r="AA65" s="33">
        <v>27.07</v>
      </c>
      <c r="AB65" s="33">
        <v>27.07</v>
      </c>
      <c r="AC65" s="33">
        <v>27.07</v>
      </c>
      <c r="AD65" s="33">
        <v>27.07</v>
      </c>
      <c r="AE65" s="33">
        <v>27.07</v>
      </c>
      <c r="AF65" s="33">
        <v>29.4</v>
      </c>
      <c r="AG65" s="33">
        <v>53.55</v>
      </c>
      <c r="AH65" s="33">
        <v>48.85</v>
      </c>
      <c r="AI65" s="33">
        <v>63.3</v>
      </c>
      <c r="AJ65" s="33">
        <v>50.96</v>
      </c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369</v>
      </c>
      <c r="D66" s="50" t="s">
        <v>42</v>
      </c>
      <c r="E66" s="32" t="s">
        <v>227</v>
      </c>
      <c r="F66" s="32" t="s">
        <v>422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3">
        <v>135.73</v>
      </c>
      <c r="AA66" s="33">
        <v>-76.83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369</v>
      </c>
      <c r="D67" s="50" t="s">
        <v>42</v>
      </c>
      <c r="E67" s="32" t="s">
        <v>227</v>
      </c>
      <c r="F67" s="32" t="s">
        <v>423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3">
        <v>32.07</v>
      </c>
      <c r="W67" s="33">
        <v>37.18</v>
      </c>
      <c r="X67" s="33">
        <v>144.3</v>
      </c>
      <c r="Y67" s="33">
        <v>144.6</v>
      </c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369</v>
      </c>
      <c r="D68" s="50" t="s">
        <v>42</v>
      </c>
      <c r="E68" s="32" t="s">
        <v>227</v>
      </c>
      <c r="F68" s="32" t="s">
        <v>424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3">
        <f>100.00+17.96</f>
        <v>117.96000000000001</v>
      </c>
      <c r="AH68" s="33">
        <v>52.42</v>
      </c>
      <c r="AI68" s="33">
        <v>91.57</v>
      </c>
      <c r="AJ68" s="33">
        <v>64.92</v>
      </c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369</v>
      </c>
      <c r="D69" s="50" t="s">
        <v>42</v>
      </c>
      <c r="E69" s="32" t="s">
        <v>227</v>
      </c>
      <c r="F69" s="32" t="s">
        <v>425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3">
        <v>116.74</v>
      </c>
      <c r="W69" s="33">
        <v>31.43</v>
      </c>
      <c r="X69" s="33">
        <v>103.74</v>
      </c>
      <c r="Y69" s="33">
        <v>129.09</v>
      </c>
      <c r="Z69" s="33">
        <v>137.35</v>
      </c>
      <c r="AA69" s="33">
        <v>186.44</v>
      </c>
      <c r="AB69" s="33">
        <v>171.08</v>
      </c>
      <c r="AC69" s="33">
        <v>202.38</v>
      </c>
      <c r="AD69" s="33">
        <v>194.1</v>
      </c>
      <c r="AE69" s="33">
        <v>172.67</v>
      </c>
      <c r="AF69" s="33">
        <v>141.27</v>
      </c>
      <c r="AG69" s="33">
        <v>135.17</v>
      </c>
      <c r="AH69" s="33">
        <v>130.76</v>
      </c>
      <c r="AI69" s="33">
        <v>224.94</v>
      </c>
      <c r="AJ69" s="33">
        <v>148.33</v>
      </c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369</v>
      </c>
      <c r="D70" s="50" t="s">
        <v>42</v>
      </c>
      <c r="E70" s="32" t="s">
        <v>227</v>
      </c>
      <c r="F70" s="32" t="s">
        <v>426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3">
        <v>65.59</v>
      </c>
      <c r="W70" s="33">
        <v>63.05</v>
      </c>
      <c r="X70" s="33">
        <v>55.23</v>
      </c>
      <c r="Y70" s="33">
        <v>67.4</v>
      </c>
      <c r="Z70" s="33">
        <v>62.62</v>
      </c>
      <c r="AA70" s="33">
        <v>56.75</v>
      </c>
      <c r="AB70" s="33">
        <v>60.77</v>
      </c>
      <c r="AC70" s="33">
        <v>53.76</v>
      </c>
      <c r="AD70" s="33">
        <v>66.83</v>
      </c>
      <c r="AE70" s="33">
        <v>60.16</v>
      </c>
      <c r="AF70" s="33">
        <v>59.43</v>
      </c>
      <c r="AG70" s="33">
        <v>55.5</v>
      </c>
      <c r="AH70" s="33">
        <v>61.31</v>
      </c>
      <c r="AI70" s="33">
        <v>-56.66</v>
      </c>
      <c r="AJ70" s="33">
        <v>2.71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369</v>
      </c>
      <c r="D71" s="50" t="s">
        <v>42</v>
      </c>
      <c r="E71" s="32" t="s">
        <v>227</v>
      </c>
      <c r="F71" s="32" t="s">
        <v>427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3">
        <v>118.03</v>
      </c>
      <c r="AB71" s="33">
        <v>32.07</v>
      </c>
      <c r="AC71" s="33">
        <v>-94.59</v>
      </c>
      <c r="AD71" s="32"/>
      <c r="AE71" s="32"/>
      <c r="AF71" s="32"/>
      <c r="AG71" s="32"/>
      <c r="AH71" s="32"/>
      <c r="AI71" s="32"/>
      <c r="AJ71" s="32"/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369</v>
      </c>
      <c r="D72" s="50" t="s">
        <v>42</v>
      </c>
      <c r="E72" s="32" t="s">
        <v>227</v>
      </c>
      <c r="F72" s="32" t="s">
        <v>428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3">
        <f>66.94+117.68</f>
        <v>184.62</v>
      </c>
      <c r="AJ72" s="33">
        <v>-130.99</v>
      </c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369</v>
      </c>
      <c r="D73" s="50" t="s">
        <v>42</v>
      </c>
      <c r="E73" s="32" t="s">
        <v>227</v>
      </c>
      <c r="F73" s="32" t="s">
        <v>429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3">
        <v>42.63</v>
      </c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369</v>
      </c>
      <c r="D74" s="50" t="s">
        <v>42</v>
      </c>
      <c r="E74" s="32" t="s">
        <v>227</v>
      </c>
      <c r="F74" s="32" t="s">
        <v>430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3">
        <f>100.00+36.24</f>
        <v>136.24</v>
      </c>
      <c r="X74" s="33">
        <v>34.71</v>
      </c>
      <c r="Y74" s="33">
        <v>29.4</v>
      </c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369</v>
      </c>
      <c r="D75" s="50" t="s">
        <v>42</v>
      </c>
      <c r="E75" s="32" t="s">
        <v>227</v>
      </c>
      <c r="F75" s="32" t="s">
        <v>431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3">
        <v>55.71</v>
      </c>
      <c r="AB75" s="33">
        <v>33.63</v>
      </c>
      <c r="AC75" s="33">
        <v>7.65</v>
      </c>
      <c r="AD75" s="32"/>
      <c r="AE75" s="32"/>
      <c r="AF75" s="32"/>
      <c r="AG75" s="32"/>
      <c r="AH75" s="32"/>
      <c r="AI75" s="32"/>
      <c r="AJ75" s="32"/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369</v>
      </c>
      <c r="D76" s="50" t="s">
        <v>42</v>
      </c>
      <c r="E76" s="32" t="s">
        <v>227</v>
      </c>
      <c r="F76" s="32" t="s">
        <v>432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3">
        <v>128.41</v>
      </c>
      <c r="W76" s="33">
        <v>9.42</v>
      </c>
      <c r="X76" s="33">
        <v>116.38</v>
      </c>
      <c r="Y76" s="33">
        <v>135.11</v>
      </c>
      <c r="Z76" s="33">
        <v>103.91</v>
      </c>
      <c r="AA76" s="33">
        <v>28.2</v>
      </c>
      <c r="AB76" s="33">
        <v>28.14</v>
      </c>
      <c r="AC76" s="33">
        <v>28.2</v>
      </c>
      <c r="AD76" s="33">
        <v>28.25</v>
      </c>
      <c r="AE76" s="33">
        <v>28.14</v>
      </c>
      <c r="AF76" s="33">
        <v>67.2</v>
      </c>
      <c r="AG76" s="33">
        <v>137.75</v>
      </c>
      <c r="AH76" s="33">
        <v>136.2</v>
      </c>
      <c r="AI76" s="33">
        <v>157.76</v>
      </c>
      <c r="AJ76" s="33">
        <v>136.46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369</v>
      </c>
      <c r="D77" s="50" t="s">
        <v>42</v>
      </c>
      <c r="E77" s="32" t="s">
        <v>227</v>
      </c>
      <c r="F77" s="32" t="s">
        <v>433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3">
        <v>27.07</v>
      </c>
      <c r="W77" s="33">
        <v>7.88</v>
      </c>
      <c r="X77" s="33">
        <v>27.07</v>
      </c>
      <c r="Y77" s="33">
        <v>42.29</v>
      </c>
      <c r="Z77" s="33">
        <v>27.07</v>
      </c>
      <c r="AA77" s="33">
        <v>30.33</v>
      </c>
      <c r="AB77" s="33">
        <v>27.07</v>
      </c>
      <c r="AC77" s="33">
        <v>27.07</v>
      </c>
      <c r="AD77" s="33">
        <v>27.07</v>
      </c>
      <c r="AE77" s="33">
        <v>27.07</v>
      </c>
      <c r="AF77" s="33">
        <v>27.07</v>
      </c>
      <c r="AG77" s="33">
        <v>27.07</v>
      </c>
      <c r="AH77" s="33">
        <v>32.5</v>
      </c>
      <c r="AI77" s="33">
        <v>32.5</v>
      </c>
      <c r="AJ77" s="33">
        <v>32.5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369</v>
      </c>
      <c r="D78" s="50" t="s">
        <v>42</v>
      </c>
      <c r="E78" s="32" t="s">
        <v>227</v>
      </c>
      <c r="F78" s="32" t="s">
        <v>434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3">
        <v>33.4</v>
      </c>
      <c r="AB78" s="33">
        <v>28.35</v>
      </c>
      <c r="AC78" s="33">
        <v>28.4</v>
      </c>
      <c r="AD78" s="33">
        <v>28.53</v>
      </c>
      <c r="AE78" s="33">
        <v>28.4</v>
      </c>
      <c r="AF78" s="33">
        <v>-76.27</v>
      </c>
      <c r="AG78" s="32"/>
      <c r="AH78" s="32"/>
      <c r="AI78" s="32"/>
      <c r="AJ78" s="32"/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369</v>
      </c>
      <c r="D79" s="50" t="s">
        <v>42</v>
      </c>
      <c r="E79" s="32" t="s">
        <v>227</v>
      </c>
      <c r="F79" s="32" t="s">
        <v>435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3">
        <v>100</v>
      </c>
      <c r="AB79" s="33">
        <v>34.78</v>
      </c>
      <c r="AC79" s="33">
        <v>28.68</v>
      </c>
      <c r="AD79" s="33">
        <v>28.84</v>
      </c>
      <c r="AE79" s="33">
        <v>28.68</v>
      </c>
      <c r="AF79" s="33">
        <v>29.21</v>
      </c>
      <c r="AG79" s="32"/>
      <c r="AH79" s="32"/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369</v>
      </c>
      <c r="D80" s="50" t="s">
        <v>42</v>
      </c>
      <c r="E80" s="32" t="s">
        <v>227</v>
      </c>
      <c r="F80" s="32" t="s">
        <v>436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3">
        <v>33.06</v>
      </c>
      <c r="W80" s="33">
        <v>51.72</v>
      </c>
      <c r="X80" s="33">
        <v>51.98</v>
      </c>
      <c r="Y80" s="33">
        <v>32.96</v>
      </c>
      <c r="Z80" s="33">
        <v>27.07</v>
      </c>
      <c r="AA80" s="33">
        <v>27.07</v>
      </c>
      <c r="AB80" s="33">
        <v>27.07</v>
      </c>
      <c r="AC80" s="33">
        <v>30.79</v>
      </c>
      <c r="AD80" s="33">
        <v>27.07</v>
      </c>
      <c r="AE80" s="33">
        <v>27.07</v>
      </c>
      <c r="AF80" s="33">
        <v>32.12</v>
      </c>
      <c r="AG80" s="33">
        <v>57.24</v>
      </c>
      <c r="AH80" s="33">
        <v>38.29</v>
      </c>
      <c r="AI80" s="33">
        <v>117.34</v>
      </c>
      <c r="AJ80" s="33">
        <v>80.7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369</v>
      </c>
      <c r="D81" s="50" t="s">
        <v>42</v>
      </c>
      <c r="E81" s="32" t="s">
        <v>227</v>
      </c>
      <c r="F81" s="32" t="s">
        <v>437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3">
        <v>27.07</v>
      </c>
      <c r="W81" s="33">
        <v>35.06</v>
      </c>
      <c r="X81" s="33">
        <v>66.66</v>
      </c>
      <c r="Y81" s="33">
        <v>27.07</v>
      </c>
      <c r="Z81" s="33">
        <v>27.07</v>
      </c>
      <c r="AA81" s="33">
        <v>27.07</v>
      </c>
      <c r="AB81" s="33">
        <v>27.07</v>
      </c>
      <c r="AC81" s="33">
        <v>27.07</v>
      </c>
      <c r="AD81" s="33">
        <v>27.07</v>
      </c>
      <c r="AE81" s="33">
        <v>27.07</v>
      </c>
      <c r="AF81" s="33">
        <v>27.07</v>
      </c>
      <c r="AG81" s="33">
        <v>27.07</v>
      </c>
      <c r="AH81" s="33">
        <v>37.96</v>
      </c>
      <c r="AI81" s="33">
        <v>103.01</v>
      </c>
      <c r="AJ81" s="33">
        <v>71.93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369</v>
      </c>
      <c r="D82" s="50" t="s">
        <v>42</v>
      </c>
      <c r="E82" s="32" t="s">
        <v>227</v>
      </c>
      <c r="F82" s="32" t="s">
        <v>438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3">
        <v>123.14</v>
      </c>
      <c r="AB82" s="32"/>
      <c r="AC82" s="33">
        <v>70.27</v>
      </c>
      <c r="AD82" s="33">
        <v>27.07</v>
      </c>
      <c r="AE82" s="33">
        <v>27.07</v>
      </c>
      <c r="AF82" s="33">
        <v>27.07</v>
      </c>
      <c r="AG82" s="33">
        <v>27.07</v>
      </c>
      <c r="AH82" s="33">
        <v>42.54</v>
      </c>
      <c r="AI82" s="33">
        <v>152.68</v>
      </c>
      <c r="AJ82" s="33">
        <v>82.17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369</v>
      </c>
      <c r="D83" s="50" t="s">
        <v>42</v>
      </c>
      <c r="E83" s="32" t="s">
        <v>227</v>
      </c>
      <c r="F83" s="32" t="s">
        <v>439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3">
        <f>134.34+110.81</f>
        <v>245.15</v>
      </c>
      <c r="AH83" s="33">
        <v>147.69</v>
      </c>
      <c r="AI83" s="33">
        <v>44.1</v>
      </c>
      <c r="AJ83" s="33">
        <v>32.5</v>
      </c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369</v>
      </c>
      <c r="D84" s="50" t="s">
        <v>42</v>
      </c>
      <c r="E84" s="32" t="s">
        <v>227</v>
      </c>
      <c r="F84" s="32" t="s">
        <v>440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3">
        <v>33.94</v>
      </c>
      <c r="W84" s="33">
        <v>146.76</v>
      </c>
      <c r="X84" s="33">
        <v>138.94</v>
      </c>
      <c r="Y84" s="33">
        <v>150.57</v>
      </c>
      <c r="Z84" s="33">
        <v>38</v>
      </c>
      <c r="AA84" s="33">
        <v>28.47</v>
      </c>
      <c r="AB84" s="33">
        <v>29.31</v>
      </c>
      <c r="AC84" s="33">
        <v>41.88</v>
      </c>
      <c r="AD84" s="33">
        <v>52.87</v>
      </c>
      <c r="AE84" s="33">
        <v>50.54</v>
      </c>
      <c r="AF84" s="33">
        <v>38.32</v>
      </c>
      <c r="AG84" s="33">
        <v>28.68</v>
      </c>
      <c r="AH84" s="33">
        <v>33.88</v>
      </c>
      <c r="AI84" s="33">
        <v>104.08</v>
      </c>
      <c r="AJ84" s="33">
        <v>140.46</v>
      </c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369</v>
      </c>
      <c r="D85" s="50" t="s">
        <v>42</v>
      </c>
      <c r="E85" s="32" t="s">
        <v>227</v>
      </c>
      <c r="F85" s="32" t="s">
        <v>441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3">
        <v>0</v>
      </c>
      <c r="W85" s="33">
        <v>159</v>
      </c>
      <c r="X85" s="33">
        <v>77.3</v>
      </c>
      <c r="Y85" s="33">
        <v>34.25</v>
      </c>
      <c r="Z85" s="33">
        <v>27.07</v>
      </c>
      <c r="AA85" s="33">
        <v>26.07</v>
      </c>
      <c r="AB85" s="33">
        <v>27.07</v>
      </c>
      <c r="AC85" s="33">
        <v>27.07</v>
      </c>
      <c r="AD85" s="33">
        <v>27.07</v>
      </c>
      <c r="AE85" s="33">
        <v>27.07</v>
      </c>
      <c r="AF85" s="33">
        <v>27.07</v>
      </c>
      <c r="AG85" s="33">
        <v>5.06</v>
      </c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369</v>
      </c>
      <c r="D86" s="50" t="s">
        <v>42</v>
      </c>
      <c r="E86" s="32" t="s">
        <v>227</v>
      </c>
      <c r="F86" s="32" t="s">
        <v>442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3">
        <v>42.86</v>
      </c>
      <c r="W86" s="33">
        <v>107.44</v>
      </c>
      <c r="X86" s="33">
        <v>88.45</v>
      </c>
      <c r="Y86" s="33">
        <v>82.66</v>
      </c>
      <c r="Z86" s="33">
        <v>27.07</v>
      </c>
      <c r="AA86" s="33">
        <v>27.07</v>
      </c>
      <c r="AB86" s="33">
        <v>27.07</v>
      </c>
      <c r="AC86" s="33">
        <v>27.07</v>
      </c>
      <c r="AD86" s="33">
        <v>36.13</v>
      </c>
      <c r="AE86" s="33">
        <v>27.07</v>
      </c>
      <c r="AF86" s="33">
        <v>35.97</v>
      </c>
      <c r="AG86" s="33">
        <v>109.43</v>
      </c>
      <c r="AH86" s="33">
        <v>66.1</v>
      </c>
      <c r="AI86" s="33">
        <v>100.48</v>
      </c>
      <c r="AJ86" s="33">
        <v>33.54</v>
      </c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369</v>
      </c>
      <c r="D87" s="50" t="s">
        <v>42</v>
      </c>
      <c r="E87" s="32" t="s">
        <v>227</v>
      </c>
      <c r="F87" s="32" t="s">
        <v>443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3">
        <v>27.07</v>
      </c>
      <c r="W87" s="33">
        <v>36.13</v>
      </c>
      <c r="X87" s="33">
        <v>68.11</v>
      </c>
      <c r="Y87" s="33">
        <v>62.99</v>
      </c>
      <c r="Z87" s="33">
        <v>27.07</v>
      </c>
      <c r="AA87" s="33">
        <v>27.07</v>
      </c>
      <c r="AB87" s="33">
        <v>31.53</v>
      </c>
      <c r="AC87" s="33">
        <v>27.07</v>
      </c>
      <c r="AD87" s="33">
        <v>35.44</v>
      </c>
      <c r="AE87" s="33">
        <v>27.07</v>
      </c>
      <c r="AF87" s="33">
        <v>28.95</v>
      </c>
      <c r="AG87" s="33">
        <v>57.24</v>
      </c>
      <c r="AH87" s="33">
        <v>59.58</v>
      </c>
      <c r="AI87" s="33">
        <v>39.82</v>
      </c>
      <c r="AJ87" s="33">
        <v>33.6</v>
      </c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369</v>
      </c>
      <c r="D88" s="50" t="s">
        <v>42</v>
      </c>
      <c r="E88" s="32" t="s">
        <v>227</v>
      </c>
      <c r="F88" s="32" t="s">
        <v>444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3">
        <v>35.22</v>
      </c>
      <c r="W88" s="33">
        <v>71.26</v>
      </c>
      <c r="X88" s="33">
        <v>63.24</v>
      </c>
      <c r="Y88" s="33">
        <v>75.98</v>
      </c>
      <c r="Z88" s="33">
        <v>31.11</v>
      </c>
      <c r="AA88" s="33">
        <v>26.07</v>
      </c>
      <c r="AB88" s="33">
        <v>27.07</v>
      </c>
      <c r="AC88" s="33">
        <v>27.07</v>
      </c>
      <c r="AD88" s="33">
        <v>27.07</v>
      </c>
      <c r="AE88" s="33">
        <v>27.07</v>
      </c>
      <c r="AF88" s="33">
        <f>27.07+-96.83</f>
        <v>-69.75999999999999</v>
      </c>
      <c r="AG88" s="32"/>
      <c r="AH88" s="32"/>
      <c r="AI88" s="32"/>
      <c r="AJ88" s="32"/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369</v>
      </c>
      <c r="D89" s="50" t="s">
        <v>42</v>
      </c>
      <c r="E89" s="32" t="s">
        <v>227</v>
      </c>
      <c r="F89" s="32" t="s">
        <v>445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3">
        <v>61.73</v>
      </c>
      <c r="W89" s="33">
        <v>108.1</v>
      </c>
      <c r="X89" s="33">
        <v>84.25</v>
      </c>
      <c r="Y89" s="33">
        <v>35.1</v>
      </c>
      <c r="Z89" s="33">
        <v>27.07</v>
      </c>
      <c r="AA89" s="33">
        <v>26.07</v>
      </c>
      <c r="AB89" s="33">
        <v>27.07</v>
      </c>
      <c r="AC89" s="33">
        <v>27.07</v>
      </c>
      <c r="AD89" s="33">
        <v>27.07</v>
      </c>
      <c r="AE89" s="33">
        <v>27.07</v>
      </c>
      <c r="AF89" s="32"/>
      <c r="AG89" s="32"/>
      <c r="AH89" s="32"/>
      <c r="AI89" s="32"/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369</v>
      </c>
      <c r="D90" s="50" t="s">
        <v>42</v>
      </c>
      <c r="E90" s="32" t="s">
        <v>227</v>
      </c>
      <c r="F90" s="32" t="s">
        <v>446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3">
        <v>32.07</v>
      </c>
      <c r="W90" s="33">
        <v>156.06</v>
      </c>
      <c r="X90" s="33">
        <v>138.01</v>
      </c>
      <c r="Y90" s="33">
        <v>135.77</v>
      </c>
      <c r="Z90" s="33">
        <v>27.07</v>
      </c>
      <c r="AA90" s="33">
        <v>26.07</v>
      </c>
      <c r="AB90" s="33">
        <v>27.07</v>
      </c>
      <c r="AC90" s="33">
        <v>27.07</v>
      </c>
      <c r="AD90" s="33">
        <v>27.07</v>
      </c>
      <c r="AE90" s="33">
        <v>27.07</v>
      </c>
      <c r="AF90" s="33">
        <v>27.07</v>
      </c>
      <c r="AG90" s="33">
        <v>27.07</v>
      </c>
      <c r="AH90" s="33">
        <f>32.50+-66.20</f>
        <v>-33.7</v>
      </c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369</v>
      </c>
      <c r="D91" s="50" t="s">
        <v>42</v>
      </c>
      <c r="E91" s="32" t="s">
        <v>227</v>
      </c>
      <c r="F91" s="32" t="s">
        <v>447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3">
        <v>60.02</v>
      </c>
      <c r="W91" s="33">
        <v>67.25</v>
      </c>
      <c r="X91" s="33">
        <v>67.1</v>
      </c>
      <c r="Y91" s="33">
        <v>60.59</v>
      </c>
      <c r="Z91" s="33">
        <v>43.09</v>
      </c>
      <c r="AA91" s="33">
        <v>40.03</v>
      </c>
      <c r="AB91" s="33">
        <v>35.65</v>
      </c>
      <c r="AC91" s="33">
        <v>36.72</v>
      </c>
      <c r="AD91" s="33">
        <v>42.06</v>
      </c>
      <c r="AE91" s="33">
        <v>38.61</v>
      </c>
      <c r="AF91" s="33">
        <v>38.02</v>
      </c>
      <c r="AG91" s="33">
        <v>46.25</v>
      </c>
      <c r="AH91" s="33">
        <v>55.49</v>
      </c>
      <c r="AI91" s="33">
        <v>84.08</v>
      </c>
      <c r="AJ91" s="33">
        <v>67.84</v>
      </c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369</v>
      </c>
      <c r="D92" s="50" t="s">
        <v>42</v>
      </c>
      <c r="E92" s="32" t="s">
        <v>227</v>
      </c>
      <c r="F92" s="32" t="s">
        <v>448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3">
        <v>227.02</v>
      </c>
      <c r="W92" s="33">
        <v>355.59</v>
      </c>
      <c r="X92" s="33">
        <v>195.57</v>
      </c>
      <c r="Y92" s="33">
        <v>214.68</v>
      </c>
      <c r="Z92" s="33">
        <v>213.23</v>
      </c>
      <c r="AA92" s="33">
        <v>363.11</v>
      </c>
      <c r="AB92" s="33">
        <v>382.51</v>
      </c>
      <c r="AC92" s="33">
        <v>468.99</v>
      </c>
      <c r="AD92" s="33">
        <v>453.93</v>
      </c>
      <c r="AE92" s="33">
        <v>345.88</v>
      </c>
      <c r="AF92" s="33">
        <v>300.85</v>
      </c>
      <c r="AG92" s="33">
        <v>202.65</v>
      </c>
      <c r="AH92" s="33">
        <v>177.17</v>
      </c>
      <c r="AI92" s="33">
        <v>427.21</v>
      </c>
      <c r="AJ92" s="33">
        <v>265.97</v>
      </c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369</v>
      </c>
      <c r="D93" s="50" t="s">
        <v>42</v>
      </c>
      <c r="E93" s="32" t="s">
        <v>227</v>
      </c>
      <c r="F93" s="32" t="s">
        <v>449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3">
        <f>29.03+0.00+100.00</f>
        <v>129.03</v>
      </c>
      <c r="AE93" s="33">
        <v>28.53</v>
      </c>
      <c r="AF93" s="33">
        <v>28.53</v>
      </c>
      <c r="AG93" s="33">
        <v>29.4</v>
      </c>
      <c r="AH93" s="33">
        <v>34.84</v>
      </c>
      <c r="AI93" s="33">
        <v>34.49</v>
      </c>
      <c r="AJ93" s="33">
        <v>34.34</v>
      </c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369</v>
      </c>
      <c r="D94" s="50" t="s">
        <v>42</v>
      </c>
      <c r="E94" s="32" t="s">
        <v>227</v>
      </c>
      <c r="F94" s="32" t="s">
        <v>450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3">
        <f>67.07+100.00</f>
        <v>167.07</v>
      </c>
      <c r="AJ94" s="32"/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369</v>
      </c>
      <c r="D95" s="50" t="s">
        <v>42</v>
      </c>
      <c r="E95" s="32" t="s">
        <v>227</v>
      </c>
      <c r="F95" s="32" t="s">
        <v>451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3">
        <f>100.00+26.79</f>
        <v>126.78999999999999</v>
      </c>
      <c r="AH95" s="33">
        <v>98.89</v>
      </c>
      <c r="AI95" s="33">
        <v>130.23</v>
      </c>
      <c r="AJ95" s="33">
        <v>108.72</v>
      </c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369</v>
      </c>
      <c r="D96" s="50" t="s">
        <v>42</v>
      </c>
      <c r="E96" s="32" t="s">
        <v>227</v>
      </c>
      <c r="F96" s="32" t="s">
        <v>452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3">
        <v>79.21</v>
      </c>
      <c r="AC96" s="33">
        <v>32.94</v>
      </c>
      <c r="AD96" s="33">
        <v>33.07</v>
      </c>
      <c r="AE96" s="33">
        <v>33.07</v>
      </c>
      <c r="AF96" s="33">
        <v>136.82</v>
      </c>
      <c r="AG96" s="33">
        <v>1050.74</v>
      </c>
      <c r="AH96" s="33">
        <v>1585.37</v>
      </c>
      <c r="AI96" s="33">
        <v>2179.81</v>
      </c>
      <c r="AJ96" s="33">
        <v>1029.01</v>
      </c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369</v>
      </c>
      <c r="D97" s="50" t="s">
        <v>42</v>
      </c>
      <c r="E97" s="32" t="s">
        <v>227</v>
      </c>
      <c r="F97" s="32" t="s">
        <v>453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3">
        <f>100.00+14.51</f>
        <v>114.51</v>
      </c>
      <c r="AI97" s="33">
        <v>95.53</v>
      </c>
      <c r="AJ97" s="33">
        <v>-65.05</v>
      </c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369</v>
      </c>
      <c r="D98" s="50" t="s">
        <v>42</v>
      </c>
      <c r="E98" s="32" t="s">
        <v>227</v>
      </c>
      <c r="F98" s="32" t="s">
        <v>454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3">
        <v>791.77</v>
      </c>
      <c r="W98" s="33">
        <v>798.54</v>
      </c>
      <c r="X98" s="33">
        <v>765.88</v>
      </c>
      <c r="Y98" s="33">
        <v>813.55</v>
      </c>
      <c r="Z98" s="33">
        <v>703.69</v>
      </c>
      <c r="AA98" s="33">
        <v>654.3</v>
      </c>
      <c r="AB98" s="33">
        <v>517.37</v>
      </c>
      <c r="AC98" s="33">
        <v>582.22</v>
      </c>
      <c r="AD98" s="33">
        <v>568.03</v>
      </c>
      <c r="AE98" s="33">
        <v>650.14</v>
      </c>
      <c r="AF98" s="33">
        <v>655.65</v>
      </c>
      <c r="AG98" s="33">
        <v>736.9</v>
      </c>
      <c r="AH98" s="33">
        <v>861.97</v>
      </c>
      <c r="AI98" s="33">
        <v>844.13</v>
      </c>
      <c r="AJ98" s="33">
        <v>851.74</v>
      </c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369</v>
      </c>
      <c r="D99" s="50" t="s">
        <v>42</v>
      </c>
      <c r="E99" s="32" t="s">
        <v>227</v>
      </c>
      <c r="F99" s="32" t="s">
        <v>455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3">
        <f>100.00+24.02</f>
        <v>124.02</v>
      </c>
      <c r="AH99" s="33">
        <v>84.56</v>
      </c>
      <c r="AI99" s="33">
        <v>106.98</v>
      </c>
      <c r="AJ99" s="33">
        <v>101.03</v>
      </c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369</v>
      </c>
      <c r="D100" s="50" t="s">
        <v>42</v>
      </c>
      <c r="E100" s="32" t="s">
        <v>227</v>
      </c>
      <c r="F100" s="32" t="s">
        <v>456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3">
        <v>33.34</v>
      </c>
      <c r="W100" s="33">
        <v>117.93</v>
      </c>
      <c r="X100" s="33">
        <v>97.87</v>
      </c>
      <c r="Y100" s="33">
        <v>82.13</v>
      </c>
      <c r="Z100" s="33">
        <v>29.05</v>
      </c>
      <c r="AA100" s="33">
        <v>28.2</v>
      </c>
      <c r="AB100" s="33">
        <v>28.1</v>
      </c>
      <c r="AC100" s="33">
        <v>28.14</v>
      </c>
      <c r="AD100" s="33">
        <v>28.2</v>
      </c>
      <c r="AE100" s="33">
        <v>28.14</v>
      </c>
      <c r="AF100" s="33">
        <v>28.53</v>
      </c>
      <c r="AG100" s="33">
        <v>28.95</v>
      </c>
      <c r="AH100" s="33">
        <v>37.91</v>
      </c>
      <c r="AI100" s="33">
        <v>101.96</v>
      </c>
      <c r="AJ100" s="33">
        <v>107.77</v>
      </c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369</v>
      </c>
      <c r="D101" s="50" t="s">
        <v>42</v>
      </c>
      <c r="E101" s="32" t="s">
        <v>227</v>
      </c>
      <c r="F101" s="32" t="s">
        <v>457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3">
        <f>32.83+100.00</f>
        <v>132.82999999999998</v>
      </c>
      <c r="AI101" s="33">
        <v>33.04</v>
      </c>
      <c r="AJ101" s="33">
        <v>32.5</v>
      </c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369</v>
      </c>
      <c r="D102" s="50" t="s">
        <v>42</v>
      </c>
      <c r="E102" s="32" t="s">
        <v>227</v>
      </c>
      <c r="F102" s="32" t="s">
        <v>458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3">
        <v>88.06</v>
      </c>
      <c r="X102" s="33">
        <v>64.47</v>
      </c>
      <c r="Y102" s="33">
        <v>47.91</v>
      </c>
      <c r="Z102" s="33">
        <v>27.07</v>
      </c>
      <c r="AA102" s="33">
        <v>27.07</v>
      </c>
      <c r="AB102" s="33">
        <v>27.07</v>
      </c>
      <c r="AC102" s="33">
        <v>27.07</v>
      </c>
      <c r="AD102" s="33">
        <v>27.07</v>
      </c>
      <c r="AE102" s="33">
        <v>27.07</v>
      </c>
      <c r="AF102" s="33">
        <v>27.07</v>
      </c>
      <c r="AG102" s="33">
        <v>27.07</v>
      </c>
      <c r="AH102" s="33">
        <v>32.5</v>
      </c>
      <c r="AI102" s="33">
        <v>40.58</v>
      </c>
      <c r="AJ102" s="33">
        <v>90.62</v>
      </c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369</v>
      </c>
      <c r="D103" s="50" t="s">
        <v>42</v>
      </c>
      <c r="E103" s="32" t="s">
        <v>227</v>
      </c>
      <c r="F103" s="32" t="s">
        <v>459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3">
        <v>32.11</v>
      </c>
      <c r="W103" s="33">
        <v>58.4</v>
      </c>
      <c r="X103" s="33">
        <v>57.36</v>
      </c>
      <c r="Y103" s="33">
        <v>40.29</v>
      </c>
      <c r="Z103" s="33">
        <v>27.07</v>
      </c>
      <c r="AA103" s="33">
        <v>27.07</v>
      </c>
      <c r="AB103" s="33">
        <v>27.72</v>
      </c>
      <c r="AC103" s="33">
        <v>27.18</v>
      </c>
      <c r="AD103" s="33">
        <v>27.36</v>
      </c>
      <c r="AE103" s="33">
        <v>27.18</v>
      </c>
      <c r="AF103" s="33">
        <v>28.25</v>
      </c>
      <c r="AG103" s="33">
        <v>27.07</v>
      </c>
      <c r="AH103" s="33">
        <v>32.5</v>
      </c>
      <c r="AI103" s="33">
        <v>65.71</v>
      </c>
      <c r="AJ103" s="33">
        <v>32.5</v>
      </c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369</v>
      </c>
      <c r="D104" s="50" t="s">
        <v>42</v>
      </c>
      <c r="E104" s="32" t="s">
        <v>227</v>
      </c>
      <c r="F104" s="32" t="s">
        <v>460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3">
        <v>28.15</v>
      </c>
      <c r="W104" s="33">
        <v>68.65</v>
      </c>
      <c r="X104" s="33">
        <v>62.59</v>
      </c>
      <c r="Y104" s="33">
        <v>58.81</v>
      </c>
      <c r="Z104" s="33">
        <v>22.53</v>
      </c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369</v>
      </c>
      <c r="D105" s="50" t="s">
        <v>42</v>
      </c>
      <c r="E105" s="32" t="s">
        <v>227</v>
      </c>
      <c r="F105" s="32" t="s">
        <v>461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3">
        <v>32.26</v>
      </c>
      <c r="W105" s="33">
        <v>66.66</v>
      </c>
      <c r="X105" s="33">
        <v>65.37</v>
      </c>
      <c r="Y105" s="33">
        <v>37.29</v>
      </c>
      <c r="Z105" s="33">
        <v>81.7</v>
      </c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369</v>
      </c>
      <c r="D106" s="50" t="s">
        <v>42</v>
      </c>
      <c r="E106" s="32" t="s">
        <v>227</v>
      </c>
      <c r="F106" s="32" t="s">
        <v>462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3">
        <v>30.43</v>
      </c>
      <c r="W106" s="33">
        <v>164.48</v>
      </c>
      <c r="X106" s="33">
        <v>122.41</v>
      </c>
      <c r="Y106" s="33">
        <v>118.89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369</v>
      </c>
      <c r="D107" s="50" t="s">
        <v>42</v>
      </c>
      <c r="E107" s="32" t="s">
        <v>227</v>
      </c>
      <c r="F107" s="32" t="s">
        <v>463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3">
        <f>18.12+0.00+100.00</f>
        <v>118.12</v>
      </c>
      <c r="AH107" s="33">
        <v>60.88</v>
      </c>
      <c r="AI107" s="33">
        <v>71.42</v>
      </c>
      <c r="AJ107" s="33">
        <v>50.17</v>
      </c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369</v>
      </c>
      <c r="D108" s="50" t="s">
        <v>42</v>
      </c>
      <c r="E108" s="32" t="s">
        <v>227</v>
      </c>
      <c r="F108" s="32" t="s">
        <v>464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3">
        <v>29.48</v>
      </c>
      <c r="W108" s="33">
        <v>29.47</v>
      </c>
      <c r="X108" s="33">
        <v>29.47</v>
      </c>
      <c r="Y108" s="33">
        <v>29.47</v>
      </c>
      <c r="Z108" s="33">
        <v>29.53</v>
      </c>
      <c r="AA108" s="33">
        <v>29.47</v>
      </c>
      <c r="AB108" s="33">
        <v>29.47</v>
      </c>
      <c r="AC108" s="33">
        <v>29.47</v>
      </c>
      <c r="AD108" s="33">
        <v>29.47</v>
      </c>
      <c r="AE108" s="33">
        <v>29.47</v>
      </c>
      <c r="AF108" s="33">
        <v>29.47</v>
      </c>
      <c r="AG108" s="33">
        <v>29.53</v>
      </c>
      <c r="AH108" s="33">
        <v>35.34</v>
      </c>
      <c r="AI108" s="33">
        <v>35.34</v>
      </c>
      <c r="AJ108" s="33">
        <v>35.34</v>
      </c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369</v>
      </c>
      <c r="D109" s="50" t="s">
        <v>42</v>
      </c>
      <c r="E109" s="32" t="s">
        <v>227</v>
      </c>
      <c r="F109" s="32" t="s">
        <v>465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3">
        <f>67.03+100.00</f>
        <v>167.03</v>
      </c>
      <c r="AJ109" s="33">
        <v>-38.68</v>
      </c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369</v>
      </c>
      <c r="D110" s="50" t="s">
        <v>42</v>
      </c>
      <c r="E110" s="32" t="s">
        <v>227</v>
      </c>
      <c r="F110" s="32" t="s">
        <v>466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3">
        <v>84.28</v>
      </c>
      <c r="W110" s="33">
        <v>102.35</v>
      </c>
      <c r="X110" s="33">
        <v>75.06</v>
      </c>
      <c r="Y110" s="33">
        <v>56.44</v>
      </c>
      <c r="Z110" s="33">
        <v>27.07</v>
      </c>
      <c r="AA110" s="33">
        <v>26.07</v>
      </c>
      <c r="AB110" s="33">
        <v>27.07</v>
      </c>
      <c r="AC110" s="33">
        <v>27.07</v>
      </c>
      <c r="AD110" s="33">
        <v>27.07</v>
      </c>
      <c r="AE110" s="33">
        <v>27.07</v>
      </c>
      <c r="AF110" s="33">
        <v>27.07</v>
      </c>
      <c r="AG110" s="33">
        <v>26.21</v>
      </c>
      <c r="AH110" s="33">
        <v>119.08</v>
      </c>
      <c r="AI110" s="33">
        <v>147.11</v>
      </c>
      <c r="AJ110" s="33">
        <v>125.33</v>
      </c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369</v>
      </c>
      <c r="D111" s="50" t="s">
        <v>42</v>
      </c>
      <c r="E111" s="32" t="s">
        <v>227</v>
      </c>
      <c r="F111" s="32" t="s">
        <v>467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3">
        <v>32.07</v>
      </c>
      <c r="W111" s="33">
        <v>95.12</v>
      </c>
      <c r="X111" s="33">
        <v>99.97</v>
      </c>
      <c r="Y111" s="33">
        <v>94.46</v>
      </c>
      <c r="Z111" s="33">
        <v>27.07</v>
      </c>
      <c r="AA111" s="33">
        <v>26.07</v>
      </c>
      <c r="AB111" s="33">
        <v>27.07</v>
      </c>
      <c r="AC111" s="33">
        <v>27.07</v>
      </c>
      <c r="AD111" s="33">
        <v>27.07</v>
      </c>
      <c r="AE111" s="33">
        <v>27.07</v>
      </c>
      <c r="AF111" s="33">
        <v>27.07</v>
      </c>
      <c r="AG111" s="33">
        <v>14.06</v>
      </c>
      <c r="AH111" s="33">
        <v>32.5</v>
      </c>
      <c r="AI111" s="33">
        <v>32.5</v>
      </c>
      <c r="AJ111" s="33">
        <v>32.5</v>
      </c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369</v>
      </c>
      <c r="D112" s="50" t="s">
        <v>42</v>
      </c>
      <c r="E112" s="32" t="s">
        <v>227</v>
      </c>
      <c r="F112" s="32" t="s">
        <v>468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3">
        <v>40.71</v>
      </c>
      <c r="W112" s="33">
        <v>151.35</v>
      </c>
      <c r="X112" s="33">
        <v>120.43</v>
      </c>
      <c r="Y112" s="33">
        <v>108.89</v>
      </c>
      <c r="Z112" s="33">
        <v>27.07</v>
      </c>
      <c r="AA112" s="33">
        <v>27.04</v>
      </c>
      <c r="AB112" s="33">
        <v>28.1</v>
      </c>
      <c r="AC112" s="33">
        <v>28.14</v>
      </c>
      <c r="AD112" s="33">
        <v>28.25</v>
      </c>
      <c r="AE112" s="33">
        <v>28.1</v>
      </c>
      <c r="AF112" s="33">
        <v>28.1</v>
      </c>
      <c r="AG112" s="33">
        <v>28.2</v>
      </c>
      <c r="AH112" s="33">
        <v>86.53</v>
      </c>
      <c r="AI112" s="33">
        <v>151.43</v>
      </c>
      <c r="AJ112" s="33">
        <v>134.33</v>
      </c>
      <c r="AK112" s="32"/>
      <c r="AL112" s="34">
        <f>SUM(G112:AK112)</f>
      </c>
      <c r="AM112" s="35"/>
    </row>
    <row r="113" ht="13.5" customHeight="1" spans="2:39" x14ac:dyDescent="0.25">
      <c r="B113" s="48" t="s">
        <v>3</v>
      </c>
      <c r="C113" s="49" t="s">
        <v>369</v>
      </c>
      <c r="D113" s="50" t="s">
        <v>42</v>
      </c>
      <c r="E113" s="32" t="s">
        <v>227</v>
      </c>
      <c r="F113" s="32" t="s">
        <v>469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3">
        <f>0.00+49.77</f>
        <v>49.77</v>
      </c>
      <c r="AE113" s="33">
        <v>33.1</v>
      </c>
      <c r="AF113" s="33">
        <f>33.10+2.82</f>
        <v>35.92</v>
      </c>
      <c r="AG113" s="32"/>
      <c r="AH113" s="32"/>
      <c r="AI113" s="32"/>
      <c r="AJ113" s="32"/>
      <c r="AK113" s="32"/>
      <c r="AL113" s="34">
        <f>SUM(G113:AK113)</f>
      </c>
      <c r="AM113" s="35"/>
    </row>
    <row r="114" ht="13.5" customHeight="1" spans="2:39" x14ac:dyDescent="0.25">
      <c r="B114" s="48" t="s">
        <v>3</v>
      </c>
      <c r="C114" s="49" t="s">
        <v>369</v>
      </c>
      <c r="D114" s="50" t="s">
        <v>42</v>
      </c>
      <c r="E114" s="32" t="s">
        <v>227</v>
      </c>
      <c r="F114" s="32" t="s">
        <v>470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3">
        <f>32.07+110.81</f>
        <v>142.88</v>
      </c>
      <c r="AH114" s="33">
        <v>37.5</v>
      </c>
      <c r="AI114" s="33">
        <v>32.59</v>
      </c>
      <c r="AJ114" s="33">
        <v>43.07</v>
      </c>
      <c r="AK114" s="32"/>
      <c r="AL114" s="34">
        <f>SUM(G114:AK114)</f>
      </c>
      <c r="AM114" s="35"/>
    </row>
    <row r="115" ht="13.5" customHeight="1" spans="2:39" x14ac:dyDescent="0.25">
      <c r="B115" s="48" t="s">
        <v>3</v>
      </c>
      <c r="C115" s="49" t="s">
        <v>369</v>
      </c>
      <c r="D115" s="50" t="s">
        <v>42</v>
      </c>
      <c r="E115" s="32" t="s">
        <v>227</v>
      </c>
      <c r="F115" s="32" t="s">
        <v>471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3">
        <v>172.21</v>
      </c>
      <c r="AG115" s="33">
        <v>52.27</v>
      </c>
      <c r="AH115" s="33">
        <v>37.5</v>
      </c>
      <c r="AI115" s="33">
        <v>49.12</v>
      </c>
      <c r="AJ115" s="33">
        <v>54.03</v>
      </c>
      <c r="AK115" s="32"/>
      <c r="AL115" s="34">
        <f>SUM(G115:AK115)</f>
      </c>
      <c r="AM115" s="35"/>
    </row>
    <row r="116" ht="13.5" customHeight="1" spans="2:39" x14ac:dyDescent="0.25">
      <c r="B116" s="48" t="s">
        <v>3</v>
      </c>
      <c r="C116" s="49" t="s">
        <v>369</v>
      </c>
      <c r="D116" s="50" t="s">
        <v>42</v>
      </c>
      <c r="E116" s="32" t="s">
        <v>227</v>
      </c>
      <c r="F116" s="32" t="s">
        <v>472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3">
        <v>-57.47</v>
      </c>
      <c r="W116" s="33">
        <v>114.16</v>
      </c>
      <c r="X116" s="33">
        <v>135.81</v>
      </c>
      <c r="Y116" s="33">
        <v>29.31</v>
      </c>
      <c r="Z116" s="33">
        <v>28.14</v>
      </c>
      <c r="AA116" s="33">
        <v>28.2</v>
      </c>
      <c r="AB116" s="33">
        <v>28.1</v>
      </c>
      <c r="AC116" s="33">
        <v>28.14</v>
      </c>
      <c r="AD116" s="33">
        <v>28.2</v>
      </c>
      <c r="AE116" s="33">
        <v>28.14</v>
      </c>
      <c r="AF116" s="33">
        <v>28.1</v>
      </c>
      <c r="AG116" s="33">
        <v>28.63</v>
      </c>
      <c r="AH116" s="33">
        <v>13.78</v>
      </c>
      <c r="AI116" s="33">
        <v>65.98</v>
      </c>
      <c r="AJ116" s="33">
        <v>68.49</v>
      </c>
      <c r="AK116" s="32"/>
      <c r="AL116" s="34">
        <f>SUM(G116:AK116)</f>
      </c>
      <c r="AM116" s="35"/>
    </row>
    <row r="117" ht="13.5" customHeight="1" spans="2:39" x14ac:dyDescent="0.25">
      <c r="B117" s="48" t="s">
        <v>3</v>
      </c>
      <c r="C117" s="49" t="s">
        <v>369</v>
      </c>
      <c r="D117" s="50" t="s">
        <v>42</v>
      </c>
      <c r="E117" s="32" t="s">
        <v>227</v>
      </c>
      <c r="F117" s="32" t="s">
        <v>473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3">
        <v>28.2</v>
      </c>
      <c r="W117" s="33">
        <v>53.02</v>
      </c>
      <c r="X117" s="33">
        <v>87.38</v>
      </c>
      <c r="Y117" s="33">
        <v>109.67</v>
      </c>
      <c r="Z117" s="33">
        <v>33.45</v>
      </c>
      <c r="AA117" s="33">
        <v>26.55</v>
      </c>
      <c r="AB117" s="33">
        <v>28.04</v>
      </c>
      <c r="AC117" s="33">
        <v>11.72</v>
      </c>
      <c r="AD117" s="33">
        <v>92.64</v>
      </c>
      <c r="AE117" s="33">
        <v>37.31</v>
      </c>
      <c r="AF117" s="33">
        <v>27.07</v>
      </c>
      <c r="AG117" s="33">
        <v>48.45</v>
      </c>
      <c r="AH117" s="33">
        <v>32.92</v>
      </c>
      <c r="AI117" s="33">
        <v>75.8</v>
      </c>
      <c r="AJ117" s="33">
        <v>90.79</v>
      </c>
      <c r="AK117" s="32"/>
      <c r="AL117" s="34">
        <f>SUM(G117:AK117)</f>
      </c>
      <c r="AM117" s="35"/>
    </row>
    <row r="118" ht="13.5" customHeight="1" spans="2:39" x14ac:dyDescent="0.25">
      <c r="B118" s="48" t="s">
        <v>3</v>
      </c>
      <c r="C118" s="49" t="s">
        <v>369</v>
      </c>
      <c r="D118" s="50" t="s">
        <v>42</v>
      </c>
      <c r="E118" s="32" t="s">
        <v>227</v>
      </c>
      <c r="F118" s="32" t="s">
        <v>474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3">
        <v>115.33</v>
      </c>
      <c r="AH118" s="33">
        <v>74.57</v>
      </c>
      <c r="AI118" s="33">
        <v>33.08</v>
      </c>
      <c r="AJ118" s="33">
        <v>35.87</v>
      </c>
      <c r="AK118" s="32"/>
      <c r="AL118" s="34">
        <f>SUM(G118:AK118)</f>
      </c>
      <c r="AM118" s="35"/>
    </row>
    <row r="119" ht="13.5" customHeight="1" spans="2:39" x14ac:dyDescent="0.25">
      <c r="B119" s="48" t="s">
        <v>3</v>
      </c>
      <c r="C119" s="49" t="s">
        <v>369</v>
      </c>
      <c r="D119" s="50" t="s">
        <v>42</v>
      </c>
      <c r="E119" s="32" t="s">
        <v>227</v>
      </c>
      <c r="F119" s="32" t="s">
        <v>475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3">
        <v>41.06</v>
      </c>
      <c r="W119" s="33">
        <v>48.01</v>
      </c>
      <c r="X119" s="33">
        <v>50.45</v>
      </c>
      <c r="Y119" s="33">
        <v>66.39</v>
      </c>
      <c r="Z119" s="33">
        <v>75.37</v>
      </c>
      <c r="AA119" s="33">
        <v>84.34</v>
      </c>
      <c r="AB119" s="33">
        <v>79.27</v>
      </c>
      <c r="AC119" s="33">
        <v>98.68</v>
      </c>
      <c r="AD119" s="33">
        <v>86.97</v>
      </c>
      <c r="AE119" s="33">
        <v>71.18</v>
      </c>
      <c r="AF119" s="33">
        <v>49.16</v>
      </c>
      <c r="AG119" s="33">
        <v>41.33</v>
      </c>
      <c r="AH119" s="33">
        <v>40.63</v>
      </c>
      <c r="AI119" s="33">
        <v>69.18</v>
      </c>
      <c r="AJ119" s="33">
        <v>59.97</v>
      </c>
      <c r="AK119" s="32"/>
      <c r="AL119" s="34">
        <f>SUM(G119:AK119)</f>
      </c>
      <c r="AM119" s="35"/>
    </row>
    <row r="120" ht="13.5" customHeight="1" spans="2:39" x14ac:dyDescent="0.25">
      <c r="B120" s="48" t="s">
        <v>3</v>
      </c>
      <c r="C120" s="49" t="s">
        <v>369</v>
      </c>
      <c r="D120" s="50" t="s">
        <v>42</v>
      </c>
      <c r="E120" s="32" t="s">
        <v>227</v>
      </c>
      <c r="F120" s="32" t="s">
        <v>476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3">
        <v>56.13</v>
      </c>
      <c r="AB120" s="33">
        <v>33.63</v>
      </c>
      <c r="AC120" s="33">
        <v>-56.56</v>
      </c>
      <c r="AD120" s="33">
        <v>-27.79</v>
      </c>
      <c r="AE120" s="33">
        <v>0.84</v>
      </c>
      <c r="AF120" s="33">
        <v>28.53</v>
      </c>
      <c r="AG120" s="33">
        <v>28.58</v>
      </c>
      <c r="AH120" s="33">
        <v>33.41</v>
      </c>
      <c r="AI120" s="33">
        <v>41.36</v>
      </c>
      <c r="AJ120" s="33">
        <v>65.04</v>
      </c>
      <c r="AK120" s="32"/>
      <c r="AL120" s="34">
        <f>SUM(G120:AK120)</f>
      </c>
      <c r="AM120" s="35"/>
    </row>
    <row r="121" ht="13.5" customHeight="1" spans="2:39" x14ac:dyDescent="0.25">
      <c r="B121" s="48" t="s">
        <v>3</v>
      </c>
      <c r="C121" s="49" t="s">
        <v>369</v>
      </c>
      <c r="D121" s="50" t="s">
        <v>42</v>
      </c>
      <c r="E121" s="32" t="s">
        <v>227</v>
      </c>
      <c r="F121" s="32" t="s">
        <v>477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3">
        <v>32.07</v>
      </c>
      <c r="W121" s="33">
        <v>65.63</v>
      </c>
      <c r="X121" s="33">
        <v>59.73</v>
      </c>
      <c r="Y121" s="33">
        <v>42.67</v>
      </c>
      <c r="Z121" s="33">
        <v>27.07</v>
      </c>
      <c r="AA121" s="33">
        <v>27.07</v>
      </c>
      <c r="AB121" s="33">
        <v>27.07</v>
      </c>
      <c r="AC121" s="33">
        <v>27.07</v>
      </c>
      <c r="AD121" s="33">
        <v>27.07</v>
      </c>
      <c r="AE121" s="33">
        <v>27.07</v>
      </c>
      <c r="AF121" s="33">
        <v>27.07</v>
      </c>
      <c r="AG121" s="33">
        <v>27.07</v>
      </c>
      <c r="AH121" s="33">
        <v>35.79</v>
      </c>
      <c r="AI121" s="33">
        <v>67.43</v>
      </c>
      <c r="AJ121" s="33">
        <v>42.72</v>
      </c>
      <c r="AK121" s="32"/>
      <c r="AL121" s="34">
        <f>SUM(G121:AK121)</f>
      </c>
      <c r="AM121" s="35"/>
    </row>
    <row r="122" ht="13.5" customHeight="1" spans="2:39" x14ac:dyDescent="0.25">
      <c r="B122" s="48" t="s">
        <v>3</v>
      </c>
      <c r="C122" s="49" t="s">
        <v>369</v>
      </c>
      <c r="D122" s="50" t="s">
        <v>42</v>
      </c>
      <c r="E122" s="32" t="s">
        <v>227</v>
      </c>
      <c r="F122" s="32" t="s">
        <v>478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3">
        <v>59.63</v>
      </c>
      <c r="W122" s="33">
        <v>137.23</v>
      </c>
      <c r="X122" s="33">
        <v>116.62</v>
      </c>
      <c r="Y122" s="33">
        <v>82.94</v>
      </c>
      <c r="Z122" s="33">
        <v>18.06</v>
      </c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4">
        <f>SUM(G122:AK122)</f>
      </c>
      <c r="AM122" s="35"/>
    </row>
    <row r="123" ht="13.5" customHeight="1" spans="2:39" x14ac:dyDescent="0.25">
      <c r="B123" s="51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40"/>
    </row>
    <row r="124" ht="13.5" customHeight="1" spans="2:39" x14ac:dyDescent="0.25">
      <c r="B124" s="20"/>
      <c r="C124" s="21"/>
      <c r="D124" s="21" t="s">
        <v>85</v>
      </c>
      <c r="E124" s="21"/>
      <c r="F124" s="21"/>
      <c r="G124" s="22">
        <f>SUM(G14:G122)</f>
      </c>
      <c r="H124" s="22">
        <f>SUM(H14:H122)</f>
      </c>
      <c r="I124" s="22">
        <f>SUM(I14:I122)</f>
      </c>
      <c r="J124" s="22">
        <f>SUM(J14:J122)</f>
      </c>
      <c r="K124" s="22">
        <f>SUM(K14:K122)</f>
      </c>
      <c r="L124" s="22">
        <f>SUM(L14:L122)</f>
      </c>
      <c r="M124" s="22">
        <f>SUM(M14:M122)</f>
      </c>
      <c r="N124" s="22">
        <f>SUM(N14:N122)</f>
      </c>
      <c r="O124" s="22">
        <f>SUM(O14:O122)</f>
      </c>
      <c r="P124" s="22">
        <f>SUM(P14:P122)</f>
      </c>
      <c r="Q124" s="22">
        <f>SUM(Q14:Q122)</f>
      </c>
      <c r="R124" s="22">
        <f>SUM(R14:R122)</f>
      </c>
      <c r="S124" s="22">
        <f>SUM(S14:S122)</f>
      </c>
      <c r="T124" s="22">
        <f>SUM(T14:T122)</f>
      </c>
      <c r="U124" s="22">
        <f>SUM(U14:U122)</f>
      </c>
      <c r="V124" s="22">
        <f>SUM(V14:V122)</f>
      </c>
      <c r="W124" s="22">
        <f>SUM(W14:W122)</f>
      </c>
      <c r="X124" s="22">
        <f>SUM(X14:X122)</f>
      </c>
      <c r="Y124" s="22">
        <f>SUM(Y14:Y122)</f>
      </c>
      <c r="Z124" s="22">
        <f>SUM(Z14:Z122)</f>
      </c>
      <c r="AA124" s="22">
        <f>SUM(AA14:AA122)</f>
      </c>
      <c r="AB124" s="22">
        <f>SUM(AB14:AB122)</f>
      </c>
      <c r="AC124" s="22">
        <f>SUM(AC14:AC122)</f>
      </c>
      <c r="AD124" s="22">
        <f>SUM(AD14:AD122)</f>
      </c>
      <c r="AE124" s="22">
        <f>SUM(AE14:AE122)</f>
      </c>
      <c r="AF124" s="22">
        <f>SUM(AF14:AF122)</f>
      </c>
      <c r="AG124" s="22">
        <f>SUM(AG14:AG122)</f>
      </c>
      <c r="AH124" s="22">
        <f>SUM(AH14:AH122)</f>
      </c>
      <c r="AI124" s="22">
        <f>SUM(AI14:AI122)</f>
      </c>
      <c r="AJ124" s="22">
        <f>SUM(AJ14:AJ122)</f>
      </c>
      <c r="AK124" s="22">
        <f>SUM(AK14:AK122)</f>
      </c>
      <c r="AL124" s="22">
        <f>SUM(AL14:AL122)</f>
      </c>
      <c r="AM124" s="23"/>
    </row>
    <row r="126" ht="13.5" customHeight="1" spans="2:39" x14ac:dyDescent="0.25">
      <c r="B126" s="46"/>
      <c r="C126" s="28"/>
      <c r="D126" s="47" t="s">
        <v>43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9"/>
    </row>
    <row r="127" ht="13.5" customHeight="1" spans="2:39" x14ac:dyDescent="0.25">
      <c r="B127" s="51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40"/>
    </row>
    <row r="128" ht="13.5" customHeight="1" spans="2:39" x14ac:dyDescent="0.25">
      <c r="B128" s="20"/>
      <c r="C128" s="21"/>
      <c r="D128" s="21" t="s">
        <v>89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3"/>
    </row>
    <row r="130" ht="13.5" customHeight="1" spans="2:39" x14ac:dyDescent="0.25">
      <c r="B130" s="46"/>
      <c r="C130" s="28"/>
      <c r="D130" s="47" t="s">
        <v>44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9"/>
    </row>
    <row r="131" ht="13.5" customHeight="1" spans="2:39" x14ac:dyDescent="0.25">
      <c r="B131" s="51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40"/>
    </row>
    <row r="132" ht="13.5" customHeight="1" spans="2:39" x14ac:dyDescent="0.25">
      <c r="B132" s="20"/>
      <c r="C132" s="21"/>
      <c r="D132" s="21" t="s">
        <v>90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3"/>
    </row>
    <row r="135" ht="12.75" customHeight="1" spans="2:39" x14ac:dyDescent="0.25">
      <c r="B135" s="11" t="s">
        <v>40</v>
      </c>
      <c r="C135" s="12"/>
      <c r="D135" s="12"/>
      <c r="E135" s="12"/>
      <c r="F135" s="12"/>
      <c r="G135" s="52" t="s">
        <v>7</v>
      </c>
      <c r="H135" s="52" t="s">
        <v>8</v>
      </c>
      <c r="I135" s="52" t="s">
        <v>9</v>
      </c>
      <c r="J135" s="52" t="s">
        <v>10</v>
      </c>
      <c r="K135" s="52" t="s">
        <v>11</v>
      </c>
      <c r="L135" s="52" t="s">
        <v>12</v>
      </c>
      <c r="M135" s="52" t="s">
        <v>13</v>
      </c>
      <c r="N135" s="52" t="s">
        <v>14</v>
      </c>
      <c r="O135" s="52" t="s">
        <v>15</v>
      </c>
      <c r="P135" s="52" t="s">
        <v>16</v>
      </c>
      <c r="Q135" s="52" t="s">
        <v>17</v>
      </c>
      <c r="R135" s="52" t="s">
        <v>18</v>
      </c>
      <c r="S135" s="52" t="s">
        <v>19</v>
      </c>
      <c r="T135" s="52" t="s">
        <v>20</v>
      </c>
      <c r="U135" s="52" t="s">
        <v>21</v>
      </c>
      <c r="V135" s="52" t="s">
        <v>22</v>
      </c>
      <c r="W135" s="52" t="s">
        <v>23</v>
      </c>
      <c r="X135" s="52" t="s">
        <v>24</v>
      </c>
      <c r="Y135" s="52" t="s">
        <v>25</v>
      </c>
      <c r="Z135" s="52" t="s">
        <v>26</v>
      </c>
      <c r="AA135" s="52" t="s">
        <v>27</v>
      </c>
      <c r="AB135" s="52" t="s">
        <v>28</v>
      </c>
      <c r="AC135" s="52" t="s">
        <v>29</v>
      </c>
      <c r="AD135" s="52" t="s">
        <v>30</v>
      </c>
      <c r="AE135" s="52" t="s">
        <v>31</v>
      </c>
      <c r="AF135" s="52" t="s">
        <v>32</v>
      </c>
      <c r="AG135" s="52" t="s">
        <v>33</v>
      </c>
      <c r="AH135" s="52" t="s">
        <v>34</v>
      </c>
      <c r="AI135" s="52" t="s">
        <v>35</v>
      </c>
      <c r="AJ135" s="52" t="s">
        <v>36</v>
      </c>
      <c r="AK135" s="52" t="s">
        <v>37</v>
      </c>
      <c r="AL135" s="52" t="s">
        <v>38</v>
      </c>
      <c r="AM135" s="15"/>
    </row>
    <row r="136" ht="12.75" customHeight="1" spans="2:39" x14ac:dyDescent="0.25">
      <c r="B136" s="16"/>
      <c r="C136" s="17"/>
      <c r="D136" s="17" t="s">
        <v>41</v>
      </c>
      <c r="E136" s="17"/>
      <c r="F136" s="17"/>
      <c r="G136" s="18">
        <f>G11</f>
      </c>
      <c r="H136" s="18">
        <f>H11</f>
      </c>
      <c r="I136" s="18">
        <f>I11</f>
      </c>
      <c r="J136" s="18">
        <f>J11</f>
      </c>
      <c r="K136" s="18">
        <f>K11</f>
      </c>
      <c r="L136" s="18">
        <f>L11</f>
      </c>
      <c r="M136" s="18">
        <f>M11</f>
      </c>
      <c r="N136" s="18">
        <f>N11</f>
      </c>
      <c r="O136" s="18">
        <f>O11</f>
      </c>
      <c r="P136" s="18">
        <f>P11</f>
      </c>
      <c r="Q136" s="18">
        <f>Q11</f>
      </c>
      <c r="R136" s="18">
        <f>R11</f>
      </c>
      <c r="S136" s="18">
        <f>S11</f>
      </c>
      <c r="T136" s="18">
        <f>T11</f>
      </c>
      <c r="U136" s="18">
        <f>U11</f>
      </c>
      <c r="V136" s="18">
        <f>V11</f>
      </c>
      <c r="W136" s="18">
        <f>W11</f>
      </c>
      <c r="X136" s="18">
        <f>X11</f>
      </c>
      <c r="Y136" s="18">
        <f>Y11</f>
      </c>
      <c r="Z136" s="18">
        <f>Z11</f>
      </c>
      <c r="AA136" s="18">
        <f>AA11</f>
      </c>
      <c r="AB136" s="18">
        <f>AB11</f>
      </c>
      <c r="AC136" s="18">
        <f>AC11</f>
      </c>
      <c r="AD136" s="18">
        <f>AD11</f>
      </c>
      <c r="AE136" s="18">
        <f>AE11</f>
      </c>
      <c r="AF136" s="18">
        <f>AF11</f>
      </c>
      <c r="AG136" s="18">
        <f>AG11</f>
      </c>
      <c r="AH136" s="18">
        <f>AH11</f>
      </c>
      <c r="AI136" s="18">
        <f>AI11</f>
      </c>
      <c r="AJ136" s="18">
        <f>AJ11</f>
      </c>
      <c r="AK136" s="18">
        <f>AK11</f>
      </c>
      <c r="AL136" s="18">
        <f>AL11</f>
      </c>
      <c r="AM136" s="19"/>
    </row>
    <row r="137" ht="12.75" customHeight="1" spans="2:39" x14ac:dyDescent="0.25">
      <c r="B137" s="16"/>
      <c r="C137" s="17"/>
      <c r="D137" s="17" t="s">
        <v>42</v>
      </c>
      <c r="E137" s="17"/>
      <c r="F137" s="17"/>
      <c r="G137" s="18">
        <f>G124</f>
      </c>
      <c r="H137" s="18">
        <f>H124</f>
      </c>
      <c r="I137" s="18">
        <f>I124</f>
      </c>
      <c r="J137" s="18">
        <f>J124</f>
      </c>
      <c r="K137" s="18">
        <f>K124</f>
      </c>
      <c r="L137" s="18">
        <f>L124</f>
      </c>
      <c r="M137" s="18">
        <f>M124</f>
      </c>
      <c r="N137" s="18">
        <f>N124</f>
      </c>
      <c r="O137" s="18">
        <f>O124</f>
      </c>
      <c r="P137" s="18">
        <f>P124</f>
      </c>
      <c r="Q137" s="18">
        <f>Q124</f>
      </c>
      <c r="R137" s="18">
        <f>R124</f>
      </c>
      <c r="S137" s="18">
        <f>S124</f>
      </c>
      <c r="T137" s="18">
        <f>T124</f>
      </c>
      <c r="U137" s="18">
        <f>U124</f>
      </c>
      <c r="V137" s="18">
        <f>V124</f>
      </c>
      <c r="W137" s="18">
        <f>W124</f>
      </c>
      <c r="X137" s="18">
        <f>X124</f>
      </c>
      <c r="Y137" s="18">
        <f>Y124</f>
      </c>
      <c r="Z137" s="18">
        <f>Z124</f>
      </c>
      <c r="AA137" s="18">
        <f>AA124</f>
      </c>
      <c r="AB137" s="18">
        <f>AB124</f>
      </c>
      <c r="AC137" s="18">
        <f>AC124</f>
      </c>
      <c r="AD137" s="18">
        <f>AD124</f>
      </c>
      <c r="AE137" s="18">
        <f>AE124</f>
      </c>
      <c r="AF137" s="18">
        <f>AF124</f>
      </c>
      <c r="AG137" s="18">
        <f>AG124</f>
      </c>
      <c r="AH137" s="18">
        <f>AH124</f>
      </c>
      <c r="AI137" s="18">
        <f>AI124</f>
      </c>
      <c r="AJ137" s="18">
        <f>AJ124</f>
      </c>
      <c r="AK137" s="18">
        <f>AK124</f>
      </c>
      <c r="AL137" s="18">
        <f>AL124</f>
      </c>
      <c r="AM137" s="19"/>
    </row>
    <row r="138" ht="12.75" customHeight="1" spans="2:39" x14ac:dyDescent="0.25">
      <c r="B138" s="16"/>
      <c r="C138" s="17"/>
      <c r="D138" s="17" t="s">
        <v>43</v>
      </c>
      <c r="E138" s="17"/>
      <c r="F138" s="17"/>
      <c r="G138" s="18">
        <f>G128</f>
      </c>
      <c r="H138" s="18">
        <f>H128</f>
      </c>
      <c r="I138" s="18">
        <f>I128</f>
      </c>
      <c r="J138" s="18">
        <f>J128</f>
      </c>
      <c r="K138" s="18">
        <f>K128</f>
      </c>
      <c r="L138" s="18">
        <f>L128</f>
      </c>
      <c r="M138" s="18">
        <f>M128</f>
      </c>
      <c r="N138" s="18">
        <f>N128</f>
      </c>
      <c r="O138" s="18">
        <f>O128</f>
      </c>
      <c r="P138" s="18">
        <f>P128</f>
      </c>
      <c r="Q138" s="18">
        <f>Q128</f>
      </c>
      <c r="R138" s="18">
        <f>R128</f>
      </c>
      <c r="S138" s="18">
        <f>S128</f>
      </c>
      <c r="T138" s="18">
        <f>T128</f>
      </c>
      <c r="U138" s="18">
        <f>U128</f>
      </c>
      <c r="V138" s="18">
        <f>V128</f>
      </c>
      <c r="W138" s="18">
        <f>W128</f>
      </c>
      <c r="X138" s="18">
        <f>X128</f>
      </c>
      <c r="Y138" s="18">
        <f>Y128</f>
      </c>
      <c r="Z138" s="18">
        <f>Z128</f>
      </c>
      <c r="AA138" s="18">
        <f>AA128</f>
      </c>
      <c r="AB138" s="18">
        <f>AB128</f>
      </c>
      <c r="AC138" s="18">
        <f>AC128</f>
      </c>
      <c r="AD138" s="18">
        <f>AD128</f>
      </c>
      <c r="AE138" s="18">
        <f>AE128</f>
      </c>
      <c r="AF138" s="18">
        <f>AF128</f>
      </c>
      <c r="AG138" s="18">
        <f>AG128</f>
      </c>
      <c r="AH138" s="18">
        <f>AH128</f>
      </c>
      <c r="AI138" s="18">
        <f>AI128</f>
      </c>
      <c r="AJ138" s="18">
        <f>AJ128</f>
      </c>
      <c r="AK138" s="18">
        <f>AK128</f>
      </c>
      <c r="AL138" s="18">
        <f>AL128</f>
      </c>
      <c r="AM138" s="19"/>
    </row>
    <row r="139" ht="12.75" customHeight="1" spans="2:39" x14ac:dyDescent="0.25">
      <c r="B139" s="16"/>
      <c r="C139" s="17"/>
      <c r="D139" s="17" t="s">
        <v>44</v>
      </c>
      <c r="E139" s="17"/>
      <c r="F139" s="17"/>
      <c r="G139" s="18">
        <f>G132</f>
      </c>
      <c r="H139" s="18">
        <f>H132</f>
      </c>
      <c r="I139" s="18">
        <f>I132</f>
      </c>
      <c r="J139" s="18">
        <f>J132</f>
      </c>
      <c r="K139" s="18">
        <f>K132</f>
      </c>
      <c r="L139" s="18">
        <f>L132</f>
      </c>
      <c r="M139" s="18">
        <f>M132</f>
      </c>
      <c r="N139" s="18">
        <f>N132</f>
      </c>
      <c r="O139" s="18">
        <f>O132</f>
      </c>
      <c r="P139" s="18">
        <f>P132</f>
      </c>
      <c r="Q139" s="18">
        <f>Q132</f>
      </c>
      <c r="R139" s="18">
        <f>R132</f>
      </c>
      <c r="S139" s="18">
        <f>S132</f>
      </c>
      <c r="T139" s="18">
        <f>T132</f>
      </c>
      <c r="U139" s="18">
        <f>U132</f>
      </c>
      <c r="V139" s="18">
        <f>V132</f>
      </c>
      <c r="W139" s="18">
        <f>W132</f>
      </c>
      <c r="X139" s="18">
        <f>X132</f>
      </c>
      <c r="Y139" s="18">
        <f>Y132</f>
      </c>
      <c r="Z139" s="18">
        <f>Z132</f>
      </c>
      <c r="AA139" s="18">
        <f>AA132</f>
      </c>
      <c r="AB139" s="18">
        <f>AB132</f>
      </c>
      <c r="AC139" s="18">
        <f>AC132</f>
      </c>
      <c r="AD139" s="18">
        <f>AD132</f>
      </c>
      <c r="AE139" s="18">
        <f>AE132</f>
      </c>
      <c r="AF139" s="18">
        <f>AF132</f>
      </c>
      <c r="AG139" s="18">
        <f>AG132</f>
      </c>
      <c r="AH139" s="18">
        <f>AH132</f>
      </c>
      <c r="AI139" s="18">
        <f>AI132</f>
      </c>
      <c r="AJ139" s="18">
        <f>AJ132</f>
      </c>
      <c r="AK139" s="18">
        <f>AK132</f>
      </c>
      <c r="AL139" s="18">
        <f>AL132</f>
      </c>
      <c r="AM139" s="19"/>
    </row>
    <row r="140" ht="12.75" customHeight="1" spans="2:39" x14ac:dyDescent="0.25">
      <c r="B140" s="20"/>
      <c r="C140" s="21"/>
      <c r="D140" s="21" t="s">
        <v>45</v>
      </c>
      <c r="E140" s="21"/>
      <c r="F140" s="21"/>
      <c r="G140" s="22">
        <f>G136+G137+G138+G139</f>
      </c>
      <c r="H140" s="22">
        <f>H136+H137+H138+H139</f>
      </c>
      <c r="I140" s="22">
        <f>I136+I137+I138+I139</f>
      </c>
      <c r="J140" s="22">
        <f>J136+J137+J138+J139</f>
      </c>
      <c r="K140" s="22">
        <f>K136+K137+K138+K139</f>
      </c>
      <c r="L140" s="22">
        <f>L136+L137+L138+L139</f>
      </c>
      <c r="M140" s="22">
        <f>M136+M137+M138+M139</f>
      </c>
      <c r="N140" s="22">
        <f>N136+N137+N138+N139</f>
      </c>
      <c r="O140" s="22">
        <f>O136+O137+O138+O139</f>
      </c>
      <c r="P140" s="22">
        <f>P136+P137+P138+P139</f>
      </c>
      <c r="Q140" s="22">
        <f>Q136+Q137+Q138+Q139</f>
      </c>
      <c r="R140" s="22">
        <f>R136+R137+R138+R139</f>
      </c>
      <c r="S140" s="22">
        <f>S136+S137+S138+S139</f>
      </c>
      <c r="T140" s="22">
        <f>T136+T137+T138+T139</f>
      </c>
      <c r="U140" s="22">
        <f>U136+U137+U138+U139</f>
      </c>
      <c r="V140" s="22">
        <f>V136+V137+V138+V139</f>
      </c>
      <c r="W140" s="22">
        <f>W136+W137+W138+W139</f>
      </c>
      <c r="X140" s="22">
        <f>X136+X137+X138+X139</f>
      </c>
      <c r="Y140" s="22">
        <f>Y136+Y137+Y138+Y139</f>
      </c>
      <c r="Z140" s="22">
        <f>Z136+Z137+Z138+Z139</f>
      </c>
      <c r="AA140" s="22">
        <f>AA136+AA137+AA138+AA139</f>
      </c>
      <c r="AB140" s="22">
        <f>AB136+AB137+AB138+AB139</f>
      </c>
      <c r="AC140" s="22">
        <f>AC136+AC137+AC138+AC139</f>
      </c>
      <c r="AD140" s="22">
        <f>AD136+AD137+AD138+AD139</f>
      </c>
      <c r="AE140" s="22">
        <f>AE136+AE137+AE138+AE139</f>
      </c>
      <c r="AF140" s="22">
        <f>AF136+AF137+AF138+AF139</f>
      </c>
      <c r="AG140" s="22">
        <f>AG136+AG137+AG138+AG139</f>
      </c>
      <c r="AH140" s="22">
        <f>AH136+AH137+AH138+AH139</f>
      </c>
      <c r="AI140" s="22">
        <f>AI136+AI137+AI138+AI139</f>
      </c>
      <c r="AJ140" s="22">
        <f>AJ136+AJ137+AJ138+AJ139</f>
      </c>
      <c r="AK140" s="22">
        <f>AK136+AK137+AK138+AK139</f>
      </c>
      <c r="AL140" s="22">
        <f>AL136+AL137+AL138+AL139</f>
      </c>
      <c r="AM140" s="23"/>
    </row>
    <row r="142" ht="12.75" customHeight="1" spans="2:39" x14ac:dyDescent="0.25">
      <c r="B142" s="11" t="s">
        <v>46</v>
      </c>
      <c r="C142" s="12"/>
      <c r="D142" s="12"/>
      <c r="E142" s="12"/>
      <c r="F142" s="12"/>
      <c r="G142" s="52" t="s">
        <v>7</v>
      </c>
      <c r="H142" s="52" t="s">
        <v>8</v>
      </c>
      <c r="I142" s="52" t="s">
        <v>9</v>
      </c>
      <c r="J142" s="52" t="s">
        <v>10</v>
      </c>
      <c r="K142" s="52" t="s">
        <v>11</v>
      </c>
      <c r="L142" s="52" t="s">
        <v>12</v>
      </c>
      <c r="M142" s="52" t="s">
        <v>13</v>
      </c>
      <c r="N142" s="52" t="s">
        <v>14</v>
      </c>
      <c r="O142" s="52" t="s">
        <v>15</v>
      </c>
      <c r="P142" s="52" t="s">
        <v>16</v>
      </c>
      <c r="Q142" s="52" t="s">
        <v>17</v>
      </c>
      <c r="R142" s="52" t="s">
        <v>18</v>
      </c>
      <c r="S142" s="52" t="s">
        <v>19</v>
      </c>
      <c r="T142" s="52" t="s">
        <v>20</v>
      </c>
      <c r="U142" s="52" t="s">
        <v>21</v>
      </c>
      <c r="V142" s="52" t="s">
        <v>22</v>
      </c>
      <c r="W142" s="52" t="s">
        <v>23</v>
      </c>
      <c r="X142" s="52" t="s">
        <v>24</v>
      </c>
      <c r="Y142" s="52" t="s">
        <v>25</v>
      </c>
      <c r="Z142" s="52" t="s">
        <v>26</v>
      </c>
      <c r="AA142" s="52" t="s">
        <v>27</v>
      </c>
      <c r="AB142" s="52" t="s">
        <v>28</v>
      </c>
      <c r="AC142" s="52" t="s">
        <v>29</v>
      </c>
      <c r="AD142" s="52" t="s">
        <v>30</v>
      </c>
      <c r="AE142" s="52" t="s">
        <v>31</v>
      </c>
      <c r="AF142" s="52" t="s">
        <v>32</v>
      </c>
      <c r="AG142" s="52" t="s">
        <v>33</v>
      </c>
      <c r="AH142" s="52" t="s">
        <v>34</v>
      </c>
      <c r="AI142" s="52" t="s">
        <v>35</v>
      </c>
      <c r="AJ142" s="52" t="s">
        <v>36</v>
      </c>
      <c r="AK142" s="52" t="s">
        <v>37</v>
      </c>
      <c r="AL142" s="52" t="s">
        <v>38</v>
      </c>
      <c r="AM142" s="15"/>
    </row>
    <row r="143" ht="12.75" customHeight="1" spans="2:39" x14ac:dyDescent="0.25">
      <c r="B143" s="16"/>
      <c r="C143" s="17"/>
      <c r="D143" s="17" t="s">
        <v>41</v>
      </c>
      <c r="E143" s="17"/>
      <c r="F143" s="1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9"/>
    </row>
    <row r="144" ht="12.75" customHeight="1" spans="2:39" x14ac:dyDescent="0.25">
      <c r="B144" s="16"/>
      <c r="C144" s="17"/>
      <c r="D144" s="17" t="s">
        <v>42</v>
      </c>
      <c r="E144" s="17"/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9"/>
    </row>
    <row r="145" ht="12.75" customHeight="1" spans="2:39" x14ac:dyDescent="0.25">
      <c r="B145" s="16"/>
      <c r="C145" s="17"/>
      <c r="D145" s="17" t="s">
        <v>43</v>
      </c>
      <c r="E145" s="17"/>
      <c r="F145" s="1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9"/>
    </row>
    <row r="146" ht="12.75" customHeight="1" spans="2:39" x14ac:dyDescent="0.25">
      <c r="B146" s="16"/>
      <c r="C146" s="17"/>
      <c r="D146" s="17" t="s">
        <v>44</v>
      </c>
      <c r="E146" s="17"/>
      <c r="F146" s="1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9"/>
    </row>
    <row r="147" ht="12.75" customHeight="1" spans="2:39" x14ac:dyDescent="0.25">
      <c r="B147" s="20"/>
      <c r="C147" s="21"/>
      <c r="D147" s="21" t="s">
        <v>45</v>
      </c>
      <c r="E147" s="21"/>
      <c r="F147" s="21"/>
      <c r="G147" s="22">
        <f>G143+G144+G145+G146</f>
      </c>
      <c r="H147" s="22">
        <f>H143+H144+H145+H146</f>
      </c>
      <c r="I147" s="22">
        <f>I143+I144+I145+I146</f>
      </c>
      <c r="J147" s="22">
        <f>J143+J144+J145+J146</f>
      </c>
      <c r="K147" s="22">
        <f>K143+K144+K145+K146</f>
      </c>
      <c r="L147" s="22">
        <f>L143+L144+L145+L146</f>
      </c>
      <c r="M147" s="22">
        <f>M143+M144+M145+M146</f>
      </c>
      <c r="N147" s="22">
        <f>N143+N144+N145+N146</f>
      </c>
      <c r="O147" s="22">
        <f>O143+O144+O145+O146</f>
      </c>
      <c r="P147" s="22">
        <f>P143+P144+P145+P146</f>
      </c>
      <c r="Q147" s="22">
        <f>Q143+Q144+Q145+Q146</f>
      </c>
      <c r="R147" s="22">
        <f>R143+R144+R145+R146</f>
      </c>
      <c r="S147" s="22">
        <f>S143+S144+S145+S146</f>
      </c>
      <c r="T147" s="22">
        <f>T143+T144+T145+T146</f>
      </c>
      <c r="U147" s="22">
        <f>U143+U144+U145+U146</f>
      </c>
      <c r="V147" s="22">
        <f>V143+V144+V145+V146</f>
      </c>
      <c r="W147" s="22">
        <f>W143+W144+W145+W146</f>
      </c>
      <c r="X147" s="22">
        <f>X143+X144+X145+X146</f>
      </c>
      <c r="Y147" s="22">
        <f>Y143+Y144+Y145+Y146</f>
      </c>
      <c r="Z147" s="22">
        <f>Z143+Z144+Z145+Z146</f>
      </c>
      <c r="AA147" s="22">
        <f>AA143+AA144+AA145+AA146</f>
      </c>
      <c r="AB147" s="22">
        <f>AB143+AB144+AB145+AB146</f>
      </c>
      <c r="AC147" s="22">
        <f>AC143+AC144+AC145+AC146</f>
      </c>
      <c r="AD147" s="22">
        <f>AD143+AD144+AD145+AD146</f>
      </c>
      <c r="AE147" s="22">
        <f>AE143+AE144+AE145+AE146</f>
      </c>
      <c r="AF147" s="22">
        <f>AF143+AF144+AF145+AF146</f>
      </c>
      <c r="AG147" s="22">
        <f>AG143+AG144+AG145+AG146</f>
      </c>
      <c r="AH147" s="22">
        <f>AH143+AH144+AH145+AH146</f>
      </c>
      <c r="AI147" s="22">
        <f>AI143+AI144+AI145+AI146</f>
      </c>
      <c r="AJ147" s="22">
        <f>AJ143+AJ144+AJ145+AJ146</f>
      </c>
      <c r="AK147" s="22">
        <f>AK143+AK144+AK145+AK146</f>
      </c>
      <c r="AL147" s="22">
        <f>AL143+AL144+AL145+AL146</f>
      </c>
      <c r="AM147" s="23"/>
    </row>
    <row r="149" ht="12.75" customHeight="1" spans="2:39" x14ac:dyDescent="0.25">
      <c r="B149" s="11" t="s">
        <v>47</v>
      </c>
      <c r="C149" s="12"/>
      <c r="D149" s="12"/>
      <c r="E149" s="12"/>
      <c r="F149" s="12"/>
      <c r="G149" s="52" t="s">
        <v>7</v>
      </c>
      <c r="H149" s="52" t="s">
        <v>8</v>
      </c>
      <c r="I149" s="52" t="s">
        <v>9</v>
      </c>
      <c r="J149" s="52" t="s">
        <v>10</v>
      </c>
      <c r="K149" s="52" t="s">
        <v>11</v>
      </c>
      <c r="L149" s="52" t="s">
        <v>12</v>
      </c>
      <c r="M149" s="52" t="s">
        <v>13</v>
      </c>
      <c r="N149" s="52" t="s">
        <v>14</v>
      </c>
      <c r="O149" s="52" t="s">
        <v>15</v>
      </c>
      <c r="P149" s="52" t="s">
        <v>16</v>
      </c>
      <c r="Q149" s="52" t="s">
        <v>17</v>
      </c>
      <c r="R149" s="52" t="s">
        <v>18</v>
      </c>
      <c r="S149" s="52" t="s">
        <v>19</v>
      </c>
      <c r="T149" s="52" t="s">
        <v>20</v>
      </c>
      <c r="U149" s="52" t="s">
        <v>21</v>
      </c>
      <c r="V149" s="52" t="s">
        <v>22</v>
      </c>
      <c r="W149" s="52" t="s">
        <v>23</v>
      </c>
      <c r="X149" s="52" t="s">
        <v>24</v>
      </c>
      <c r="Y149" s="52" t="s">
        <v>25</v>
      </c>
      <c r="Z149" s="52" t="s">
        <v>26</v>
      </c>
      <c r="AA149" s="52" t="s">
        <v>27</v>
      </c>
      <c r="AB149" s="52" t="s">
        <v>28</v>
      </c>
      <c r="AC149" s="52" t="s">
        <v>29</v>
      </c>
      <c r="AD149" s="52" t="s">
        <v>30</v>
      </c>
      <c r="AE149" s="52" t="s">
        <v>31</v>
      </c>
      <c r="AF149" s="52" t="s">
        <v>32</v>
      </c>
      <c r="AG149" s="52" t="s">
        <v>33</v>
      </c>
      <c r="AH149" s="52" t="s">
        <v>34</v>
      </c>
      <c r="AI149" s="52" t="s">
        <v>35</v>
      </c>
      <c r="AJ149" s="52" t="s">
        <v>36</v>
      </c>
      <c r="AK149" s="52" t="s">
        <v>37</v>
      </c>
      <c r="AL149" s="52" t="s">
        <v>38</v>
      </c>
      <c r="AM149" s="15"/>
    </row>
    <row r="150" ht="12.75" customHeight="1" spans="2:39" x14ac:dyDescent="0.25">
      <c r="B150" s="16"/>
      <c r="C150" s="17"/>
      <c r="D150" s="17" t="s">
        <v>41</v>
      </c>
      <c r="E150" s="17"/>
      <c r="F150" s="17"/>
      <c r="G150" s="24">
        <f>G143-G136</f>
      </c>
      <c r="H150" s="24">
        <f>H143-H136</f>
      </c>
      <c r="I150" s="24">
        <f>I143-I136</f>
      </c>
      <c r="J150" s="24">
        <f>J143-J136</f>
      </c>
      <c r="K150" s="24">
        <f>K143-K136</f>
      </c>
      <c r="L150" s="24">
        <f>L143-L136</f>
      </c>
      <c r="M150" s="24">
        <f>M143-M136</f>
      </c>
      <c r="N150" s="24">
        <f>N143-N136</f>
      </c>
      <c r="O150" s="24">
        <f>O143-O136</f>
      </c>
      <c r="P150" s="24">
        <f>P143-P136</f>
      </c>
      <c r="Q150" s="24">
        <f>Q143-Q136</f>
      </c>
      <c r="R150" s="24">
        <f>R143-R136</f>
      </c>
      <c r="S150" s="24">
        <f>S143-S136</f>
      </c>
      <c r="T150" s="24">
        <f>T143-T136</f>
      </c>
      <c r="U150" s="24">
        <f>U143-U136</f>
      </c>
      <c r="V150" s="24">
        <f>V143-V136</f>
      </c>
      <c r="W150" s="24">
        <f>W143-W136</f>
      </c>
      <c r="X150" s="24">
        <f>X143-X136</f>
      </c>
      <c r="Y150" s="24">
        <f>Y143-Y136</f>
      </c>
      <c r="Z150" s="24">
        <f>Z143-Z136</f>
      </c>
      <c r="AA150" s="24">
        <f>AA143-AA136</f>
      </c>
      <c r="AB150" s="24">
        <f>AB143-AB136</f>
      </c>
      <c r="AC150" s="24">
        <f>AC143-AC136</f>
      </c>
      <c r="AD150" s="24">
        <f>AD143-AD136</f>
      </c>
      <c r="AE150" s="24">
        <f>AE143-AE136</f>
      </c>
      <c r="AF150" s="24">
        <f>AF143-AF136</f>
      </c>
      <c r="AG150" s="24">
        <f>AG143-AG136</f>
      </c>
      <c r="AH150" s="24">
        <f>AH143-AH136</f>
      </c>
      <c r="AI150" s="24">
        <f>AI143-AI136</f>
      </c>
      <c r="AJ150" s="24">
        <f>AJ143-AJ136</f>
      </c>
      <c r="AK150" s="24">
        <f>AK143-AK136</f>
      </c>
      <c r="AL150" s="24">
        <f>AL143-AL136</f>
      </c>
      <c r="AM150" s="19"/>
    </row>
    <row r="151" ht="12.75" customHeight="1" spans="2:39" x14ac:dyDescent="0.25">
      <c r="B151" s="16"/>
      <c r="C151" s="17"/>
      <c r="D151" s="17" t="s">
        <v>42</v>
      </c>
      <c r="E151" s="17"/>
      <c r="F151" s="17"/>
      <c r="G151" s="24">
        <f>G144-G137</f>
      </c>
      <c r="H151" s="24">
        <f>H144-H137</f>
      </c>
      <c r="I151" s="24">
        <f>I144-I137</f>
      </c>
      <c r="J151" s="24">
        <f>J144-J137</f>
      </c>
      <c r="K151" s="24">
        <f>K144-K137</f>
      </c>
      <c r="L151" s="24">
        <f>L144-L137</f>
      </c>
      <c r="M151" s="24">
        <f>M144-M137</f>
      </c>
      <c r="N151" s="24">
        <f>N144-N137</f>
      </c>
      <c r="O151" s="24">
        <f>O144-O137</f>
      </c>
      <c r="P151" s="24">
        <f>P144-P137</f>
      </c>
      <c r="Q151" s="24">
        <f>Q144-Q137</f>
      </c>
      <c r="R151" s="24">
        <f>R144-R137</f>
      </c>
      <c r="S151" s="24">
        <f>S144-S137</f>
      </c>
      <c r="T151" s="24">
        <f>T144-T137</f>
      </c>
      <c r="U151" s="24">
        <f>U144-U137</f>
      </c>
      <c r="V151" s="24">
        <f>V144-V137</f>
      </c>
      <c r="W151" s="24">
        <f>W144-W137</f>
      </c>
      <c r="X151" s="24">
        <f>X144-X137</f>
      </c>
      <c r="Y151" s="24">
        <f>Y144-Y137</f>
      </c>
      <c r="Z151" s="24">
        <f>Z144-Z137</f>
      </c>
      <c r="AA151" s="24">
        <f>AA144-AA137</f>
      </c>
      <c r="AB151" s="24">
        <f>AB144-AB137</f>
      </c>
      <c r="AC151" s="24">
        <f>AC144-AC137</f>
      </c>
      <c r="AD151" s="24">
        <f>AD144-AD137</f>
      </c>
      <c r="AE151" s="24">
        <f>AE144-AE137</f>
      </c>
      <c r="AF151" s="24">
        <f>AF144-AF137</f>
      </c>
      <c r="AG151" s="24">
        <f>AG144-AG137</f>
      </c>
      <c r="AH151" s="24">
        <f>AH144-AH137</f>
      </c>
      <c r="AI151" s="24">
        <f>AI144-AI137</f>
      </c>
      <c r="AJ151" s="24">
        <f>AJ144-AJ137</f>
      </c>
      <c r="AK151" s="24">
        <f>AK144-AK137</f>
      </c>
      <c r="AL151" s="24">
        <f>AL144-AL137</f>
      </c>
      <c r="AM151" s="19"/>
    </row>
    <row r="152" ht="12.75" customHeight="1" spans="2:39" x14ac:dyDescent="0.25">
      <c r="B152" s="16"/>
      <c r="C152" s="17"/>
      <c r="D152" s="17" t="s">
        <v>43</v>
      </c>
      <c r="E152" s="17"/>
      <c r="F152" s="17"/>
      <c r="G152" s="24">
        <f>G145-G138</f>
      </c>
      <c r="H152" s="24">
        <f>H145-H138</f>
      </c>
      <c r="I152" s="24">
        <f>I145-I138</f>
      </c>
      <c r="J152" s="24">
        <f>J145-J138</f>
      </c>
      <c r="K152" s="24">
        <f>K145-K138</f>
      </c>
      <c r="L152" s="24">
        <f>L145-L138</f>
      </c>
      <c r="M152" s="24">
        <f>M145-M138</f>
      </c>
      <c r="N152" s="24">
        <f>N145-N138</f>
      </c>
      <c r="O152" s="24">
        <f>O145-O138</f>
      </c>
      <c r="P152" s="24">
        <f>P145-P138</f>
      </c>
      <c r="Q152" s="24">
        <f>Q145-Q138</f>
      </c>
      <c r="R152" s="24">
        <f>R145-R138</f>
      </c>
      <c r="S152" s="24">
        <f>S145-S138</f>
      </c>
      <c r="T152" s="24">
        <f>T145-T138</f>
      </c>
      <c r="U152" s="24">
        <f>U145-U138</f>
      </c>
      <c r="V152" s="24">
        <f>V145-V138</f>
      </c>
      <c r="W152" s="24">
        <f>W145-W138</f>
      </c>
      <c r="X152" s="24">
        <f>X145-X138</f>
      </c>
      <c r="Y152" s="24">
        <f>Y145-Y138</f>
      </c>
      <c r="Z152" s="24">
        <f>Z145-Z138</f>
      </c>
      <c r="AA152" s="24">
        <f>AA145-AA138</f>
      </c>
      <c r="AB152" s="24">
        <f>AB145-AB138</f>
      </c>
      <c r="AC152" s="24">
        <f>AC145-AC138</f>
      </c>
      <c r="AD152" s="24">
        <f>AD145-AD138</f>
      </c>
      <c r="AE152" s="24">
        <f>AE145-AE138</f>
      </c>
      <c r="AF152" s="24">
        <f>AF145-AF138</f>
      </c>
      <c r="AG152" s="24">
        <f>AG145-AG138</f>
      </c>
      <c r="AH152" s="24">
        <f>AH145-AH138</f>
      </c>
      <c r="AI152" s="24">
        <f>AI145-AI138</f>
      </c>
      <c r="AJ152" s="24">
        <f>AJ145-AJ138</f>
      </c>
      <c r="AK152" s="24">
        <f>AK145-AK138</f>
      </c>
      <c r="AL152" s="24">
        <f>AL145-AL138</f>
      </c>
      <c r="AM152" s="19"/>
    </row>
    <row r="153" ht="12.75" customHeight="1" spans="2:39" x14ac:dyDescent="0.25">
      <c r="B153" s="16"/>
      <c r="C153" s="17"/>
      <c r="D153" s="17" t="s">
        <v>44</v>
      </c>
      <c r="E153" s="17"/>
      <c r="F153" s="17"/>
      <c r="G153" s="24">
        <f>G146-G139</f>
      </c>
      <c r="H153" s="24">
        <f>H146-H139</f>
      </c>
      <c r="I153" s="24">
        <f>I146-I139</f>
      </c>
      <c r="J153" s="24">
        <f>J146-J139</f>
      </c>
      <c r="K153" s="24">
        <f>K146-K139</f>
      </c>
      <c r="L153" s="24">
        <f>L146-L139</f>
      </c>
      <c r="M153" s="24">
        <f>M146-M139</f>
      </c>
      <c r="N153" s="24">
        <f>N146-N139</f>
      </c>
      <c r="O153" s="24">
        <f>O146-O139</f>
      </c>
      <c r="P153" s="24">
        <f>P146-P139</f>
      </c>
      <c r="Q153" s="24">
        <f>Q146-Q139</f>
      </c>
      <c r="R153" s="24">
        <f>R146-R139</f>
      </c>
      <c r="S153" s="24">
        <f>S146-S139</f>
      </c>
      <c r="T153" s="24">
        <f>T146-T139</f>
      </c>
      <c r="U153" s="24">
        <f>U146-U139</f>
      </c>
      <c r="V153" s="24">
        <f>V146-V139</f>
      </c>
      <c r="W153" s="24">
        <f>W146-W139</f>
      </c>
      <c r="X153" s="24">
        <f>X146-X139</f>
      </c>
      <c r="Y153" s="24">
        <f>Y146-Y139</f>
      </c>
      <c r="Z153" s="24">
        <f>Z146-Z139</f>
      </c>
      <c r="AA153" s="24">
        <f>AA146-AA139</f>
      </c>
      <c r="AB153" s="24">
        <f>AB146-AB139</f>
      </c>
      <c r="AC153" s="24">
        <f>AC146-AC139</f>
      </c>
      <c r="AD153" s="24">
        <f>AD146-AD139</f>
      </c>
      <c r="AE153" s="24">
        <f>AE146-AE139</f>
      </c>
      <c r="AF153" s="24">
        <f>AF146-AF139</f>
      </c>
      <c r="AG153" s="24">
        <f>AG146-AG139</f>
      </c>
      <c r="AH153" s="24">
        <f>AH146-AH139</f>
      </c>
      <c r="AI153" s="24">
        <f>AI146-AI139</f>
      </c>
      <c r="AJ153" s="24">
        <f>AJ146-AJ139</f>
      </c>
      <c r="AK153" s="24">
        <f>AK146-AK139</f>
      </c>
      <c r="AL153" s="24">
        <f>AL146-AL139</f>
      </c>
      <c r="AM153" s="19"/>
    </row>
    <row r="154" ht="12.75" customHeight="1" spans="2:39" x14ac:dyDescent="0.25">
      <c r="B154" s="20"/>
      <c r="C154" s="21"/>
      <c r="D154" s="21" t="s">
        <v>45</v>
      </c>
      <c r="E154" s="21"/>
      <c r="F154" s="21"/>
      <c r="G154" s="25">
        <f>G150+G151+G152+G153</f>
      </c>
      <c r="H154" s="25">
        <f>H150+H151+H152+H153</f>
      </c>
      <c r="I154" s="25">
        <f>I150+I151+I152+I153</f>
      </c>
      <c r="J154" s="25">
        <f>J150+J151+J152+J153</f>
      </c>
      <c r="K154" s="25">
        <f>K150+K151+K152+K153</f>
      </c>
      <c r="L154" s="25">
        <f>L150+L151+L152+L153</f>
      </c>
      <c r="M154" s="25">
        <f>M150+M151+M152+M153</f>
      </c>
      <c r="N154" s="25">
        <f>N150+N151+N152+N153</f>
      </c>
      <c r="O154" s="25">
        <f>O150+O151+O152+O153</f>
      </c>
      <c r="P154" s="25">
        <f>P150+P151+P152+P153</f>
      </c>
      <c r="Q154" s="25">
        <f>Q150+Q151+Q152+Q153</f>
      </c>
      <c r="R154" s="25">
        <f>R150+R151+R152+R153</f>
      </c>
      <c r="S154" s="25">
        <f>S150+S151+S152+S153</f>
      </c>
      <c r="T154" s="25">
        <f>T150+T151+T152+T153</f>
      </c>
      <c r="U154" s="25">
        <f>U150+U151+U152+U153</f>
      </c>
      <c r="V154" s="25">
        <f>V150+V151+V152+V153</f>
      </c>
      <c r="W154" s="25">
        <f>W150+W151+W152+W153</f>
      </c>
      <c r="X154" s="25">
        <f>X150+X151+X152+X153</f>
      </c>
      <c r="Y154" s="25">
        <f>Y150+Y151+Y152+Y153</f>
      </c>
      <c r="Z154" s="25">
        <f>Z150+Z151+Z152+Z153</f>
      </c>
      <c r="AA154" s="25">
        <f>AA150+AA151+AA152+AA153</f>
      </c>
      <c r="AB154" s="25">
        <f>AB150+AB151+AB152+AB153</f>
      </c>
      <c r="AC154" s="25">
        <f>AC150+AC151+AC152+AC153</f>
      </c>
      <c r="AD154" s="25">
        <f>AD150+AD151+AD152+AD153</f>
      </c>
      <c r="AE154" s="25">
        <f>AE150+AE151+AE152+AE153</f>
      </c>
      <c r="AF154" s="25">
        <f>AF150+AF151+AF152+AF153</f>
      </c>
      <c r="AG154" s="25">
        <f>AG150+AG151+AG152+AG153</f>
      </c>
      <c r="AH154" s="25">
        <f>AH150+AH151+AH152+AH153</f>
      </c>
      <c r="AI154" s="25">
        <f>AI150+AI151+AI152+AI153</f>
      </c>
      <c r="AJ154" s="25">
        <f>AJ150+AJ151+AJ152+AJ153</f>
      </c>
      <c r="AK154" s="25">
        <f>AK150+AK151+AK152+AK153</f>
      </c>
      <c r="AL154" s="25">
        <f>AL150+AL151+AL152+AL153</f>
      </c>
      <c r="AM154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494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495</v>
      </c>
      <c r="D9" s="32" t="s">
        <v>496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6">
        <f>401.62+0.00</f>
        <v>401.62</v>
      </c>
      <c r="V9" s="36">
        <f>405.45+27.51</f>
        <v>432.96</v>
      </c>
      <c r="W9" s="36">
        <f>269.36+0.00</f>
        <v>269.36</v>
      </c>
      <c r="X9" s="36">
        <f>722.93+0.00</f>
        <v>722.93</v>
      </c>
      <c r="Y9" s="36">
        <f>755.15+0.00</f>
        <v>755.15</v>
      </c>
      <c r="Z9" s="36">
        <f>398.14+0.00</f>
        <v>398.14</v>
      </c>
      <c r="AA9" s="36">
        <f>291.99+24.56</f>
        <v>316.55</v>
      </c>
      <c r="AB9" s="36">
        <f>354.51+0.00</f>
        <v>354.51</v>
      </c>
      <c r="AC9" s="36">
        <f>337.63+0.00</f>
        <v>337.63</v>
      </c>
      <c r="AD9" s="36">
        <f>646.88+0.00</f>
        <v>646.88</v>
      </c>
      <c r="AE9" s="36">
        <f>323.92+26.96</f>
        <v>350.88</v>
      </c>
      <c r="AF9" s="36">
        <f>294.85+27.87</f>
        <v>322.72</v>
      </c>
      <c r="AG9" s="36">
        <f>512.82+0.00</f>
        <v>512.82</v>
      </c>
      <c r="AH9" s="36">
        <f>333.89+0.00</f>
        <v>333.89</v>
      </c>
      <c r="AI9" s="36">
        <f>218.41+35.77</f>
        <v>254.18</v>
      </c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497</v>
      </c>
      <c r="D14" s="32" t="s">
        <v>498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>
        <v>86.79</v>
      </c>
      <c r="V14" s="33">
        <v>75.02</v>
      </c>
      <c r="W14" s="33">
        <v>75.31</v>
      </c>
      <c r="X14" s="33">
        <v>83.37</v>
      </c>
      <c r="Y14" s="33">
        <v>100.68</v>
      </c>
      <c r="Z14" s="33">
        <v>99.19</v>
      </c>
      <c r="AA14" s="33">
        <v>91.87</v>
      </c>
      <c r="AB14" s="33">
        <v>88.2</v>
      </c>
      <c r="AC14" s="33">
        <v>93.05</v>
      </c>
      <c r="AD14" s="33">
        <v>94.68</v>
      </c>
      <c r="AE14" s="33">
        <v>85.05</v>
      </c>
      <c r="AF14" s="33">
        <v>90.12</v>
      </c>
      <c r="AG14" s="33">
        <v>97.95</v>
      </c>
      <c r="AH14" s="33">
        <v>95.89</v>
      </c>
      <c r="AI14" s="33">
        <v>87.95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497</v>
      </c>
      <c r="D15" s="32" t="s">
        <v>499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6">
        <f>68.70+554.21+105.04</f>
        <v>727.95</v>
      </c>
      <c r="V15" s="36">
        <f>63.48+449.03+83.63</f>
        <v>596.14</v>
      </c>
      <c r="W15" s="36">
        <f>61.35+430.03+80.01</f>
        <v>571.39</v>
      </c>
      <c r="X15" s="36">
        <f>68.90+461.33+80.74</f>
        <v>610.97</v>
      </c>
      <c r="Y15" s="36">
        <f>71.87+518.24+93.47</f>
        <v>683.58</v>
      </c>
      <c r="Z15" s="36">
        <f>72.96+545.83+176.77</f>
        <v>795.5600000000001</v>
      </c>
      <c r="AA15" s="36">
        <f>70.08+519.93+184.26</f>
        <v>774.27</v>
      </c>
      <c r="AB15" s="36">
        <f>71.08+393.25+191.17</f>
        <v>655.5</v>
      </c>
      <c r="AC15" s="36">
        <f>71.94+555.27+174.96</f>
        <v>802.1700000000001</v>
      </c>
      <c r="AD15" s="36">
        <f>72.96+507.54+137.70</f>
        <v>718.2</v>
      </c>
      <c r="AE15" s="36">
        <f>65.75+392.61+161.22</f>
        <v>619.58</v>
      </c>
      <c r="AF15" s="36">
        <f>63.15+445.90+298.90</f>
        <v>807.9499999999999</v>
      </c>
      <c r="AG15" s="36">
        <f>64.89+503.19+326.05</f>
        <v>894.1300000000001</v>
      </c>
      <c r="AH15" s="36">
        <f>59.73+461.12+282.09</f>
        <v>802.94</v>
      </c>
      <c r="AI15" s="36">
        <f>68.18+405.79+175.37</f>
        <v>649.34</v>
      </c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SUM(E14:E15)</f>
      </c>
      <c r="F17" s="22">
        <f>SUM(F14:F15)</f>
      </c>
      <c r="G17" s="22">
        <f>SUM(G14:G15)</f>
      </c>
      <c r="H17" s="22">
        <f>SUM(H14:H15)</f>
      </c>
      <c r="I17" s="22">
        <f>SUM(I14:I15)</f>
      </c>
      <c r="J17" s="22">
        <f>SUM(J14:J15)</f>
      </c>
      <c r="K17" s="22">
        <f>SUM(K14:K15)</f>
      </c>
      <c r="L17" s="22">
        <f>SUM(L14:L15)</f>
      </c>
      <c r="M17" s="22">
        <f>SUM(M14:M15)</f>
      </c>
      <c r="N17" s="22">
        <f>SUM(N14:N15)</f>
      </c>
      <c r="O17" s="22">
        <f>SUM(O14:O15)</f>
      </c>
      <c r="P17" s="22">
        <f>SUM(P14:P15)</f>
      </c>
      <c r="Q17" s="22">
        <f>SUM(Q14:Q15)</f>
      </c>
      <c r="R17" s="22">
        <f>SUM(R14:R15)</f>
      </c>
      <c r="S17" s="22">
        <f>SUM(S14:S15)</f>
      </c>
      <c r="T17" s="22">
        <f>SUM(T14:T15)</f>
      </c>
      <c r="U17" s="22">
        <f>SUM(U14:U15)</f>
      </c>
      <c r="V17" s="22">
        <f>SUM(V14:V15)</f>
      </c>
      <c r="W17" s="22">
        <f>SUM(W14:W15)</f>
      </c>
      <c r="X17" s="22">
        <f>SUM(X14:X15)</f>
      </c>
      <c r="Y17" s="22">
        <f>SUM(Y14:Y15)</f>
      </c>
      <c r="Z17" s="22">
        <f>SUM(Z14:Z15)</f>
      </c>
      <c r="AA17" s="22">
        <f>SUM(AA14:AA15)</f>
      </c>
      <c r="AB17" s="22">
        <f>SUM(AB14:AB15)</f>
      </c>
      <c r="AC17" s="22">
        <f>SUM(AC14:AC15)</f>
      </c>
      <c r="AD17" s="22">
        <f>SUM(AD14:AD15)</f>
      </c>
      <c r="AE17" s="22">
        <f>SUM(AE14:AE15)</f>
      </c>
      <c r="AF17" s="22">
        <f>SUM(AF14:AF15)</f>
      </c>
      <c r="AG17" s="22">
        <f>SUM(AG14:AG15)</f>
      </c>
      <c r="AH17" s="22">
        <f>SUM(AH14:AH15)</f>
      </c>
      <c r="AI17" s="22">
        <f>SUM(AI14:AI15)</f>
      </c>
      <c r="AJ17" s="22">
        <f>SUM(AJ14:AJ15)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500</v>
      </c>
      <c r="D20" s="32" t="s">
        <v>501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6">
        <f>1724.62+4708.00</f>
        <v>6432.62</v>
      </c>
      <c r="V20" s="36">
        <f>1487.74+4708.00+2056.65+4708.00</f>
        <v>12960.39</v>
      </c>
      <c r="W20" s="32"/>
      <c r="X20" s="36">
        <f>2321.86+4708.00+2368.43+4708.00</f>
        <v>14106.29</v>
      </c>
      <c r="Y20" s="32"/>
      <c r="Z20" s="36">
        <f>2511.16+4708.00+2912.04+4708.00</f>
        <v>14839.2</v>
      </c>
      <c r="AA20" s="32"/>
      <c r="AB20" s="36">
        <f>2958.14+4728.69</f>
        <v>7686.83</v>
      </c>
      <c r="AC20" s="36">
        <f>1922.58+4708.44+2957.14+4728.68</f>
        <v>14316.84</v>
      </c>
      <c r="AD20" s="36">
        <f>2303.65+4708.00</f>
        <v>7011.65</v>
      </c>
      <c r="AE20" s="32"/>
      <c r="AF20" s="36">
        <f>1903.79+4708.00</f>
        <v>6611.79</v>
      </c>
      <c r="AG20" s="36">
        <f>1906.82+4708.00</f>
        <v>6614.82</v>
      </c>
      <c r="AH20" s="36">
        <f>2424.10+4708.00</f>
        <v>7132.1</v>
      </c>
      <c r="AI20" s="36">
        <f>2207.48+4708.00</f>
        <v>6915.48</v>
      </c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44</v>
      </c>
      <c r="C25" s="31" t="s">
        <v>502</v>
      </c>
      <c r="D25" s="32" t="s">
        <v>503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3">
        <v>1416.94</v>
      </c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E11</f>
      </c>
      <c r="F31" s="18">
        <f>F11</f>
      </c>
      <c r="G31" s="18">
        <f>G11</f>
      </c>
      <c r="H31" s="18">
        <f>H11</f>
      </c>
      <c r="I31" s="18">
        <f>I11</f>
      </c>
      <c r="J31" s="18">
        <f>J11</f>
      </c>
      <c r="K31" s="18">
        <f>K11</f>
      </c>
      <c r="L31" s="18">
        <f>L11</f>
      </c>
      <c r="M31" s="18">
        <f>M11</f>
      </c>
      <c r="N31" s="18">
        <f>N11</f>
      </c>
      <c r="O31" s="18">
        <f>O11</f>
      </c>
      <c r="P31" s="18">
        <f>P11</f>
      </c>
      <c r="Q31" s="18">
        <f>Q11</f>
      </c>
      <c r="R31" s="18">
        <f>R11</f>
      </c>
      <c r="S31" s="18">
        <f>S11</f>
      </c>
      <c r="T31" s="18">
        <f>T11</f>
      </c>
      <c r="U31" s="18">
        <f>U11</f>
      </c>
      <c r="V31" s="18">
        <f>V11</f>
      </c>
      <c r="W31" s="18">
        <f>W11</f>
      </c>
      <c r="X31" s="18">
        <f>X11</f>
      </c>
      <c r="Y31" s="18">
        <f>Y11</f>
      </c>
      <c r="Z31" s="18">
        <f>Z11</f>
      </c>
      <c r="AA31" s="18">
        <f>AA11</f>
      </c>
      <c r="AB31" s="18">
        <f>AB11</f>
      </c>
      <c r="AC31" s="18">
        <f>AC11</f>
      </c>
      <c r="AD31" s="18">
        <f>AD11</f>
      </c>
      <c r="AE31" s="18">
        <f>AE11</f>
      </c>
      <c r="AF31" s="18">
        <f>AF11</f>
      </c>
      <c r="AG31" s="18">
        <f>AG11</f>
      </c>
      <c r="AH31" s="18">
        <f>AH11</f>
      </c>
      <c r="AI31" s="18">
        <f>AI11</f>
      </c>
      <c r="AJ31" s="18">
        <f>AJ11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E22</f>
      </c>
      <c r="F33" s="18">
        <f>F22</f>
      </c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494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504</v>
      </c>
      <c r="X8" s="44" t="s">
        <v>505</v>
      </c>
      <c r="Y8" s="44" t="s">
        <v>506</v>
      </c>
      <c r="Z8" s="44" t="s">
        <v>507</v>
      </c>
      <c r="AA8" s="44" t="s">
        <v>508</v>
      </c>
      <c r="AB8" s="44" t="s">
        <v>509</v>
      </c>
      <c r="AC8" s="44" t="s">
        <v>510</v>
      </c>
      <c r="AD8" s="44" t="s">
        <v>511</v>
      </c>
      <c r="AE8" s="44" t="s">
        <v>512</v>
      </c>
      <c r="AF8" s="44" t="s">
        <v>513</v>
      </c>
      <c r="AG8" s="44" t="s">
        <v>514</v>
      </c>
      <c r="AH8" s="44" t="s">
        <v>515</v>
      </c>
      <c r="AI8" s="44" t="s">
        <v>516</v>
      </c>
      <c r="AJ8" s="44" t="s">
        <v>517</v>
      </c>
      <c r="AK8" s="44" t="s">
        <v>518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494</v>
      </c>
      <c r="D10" s="50" t="s">
        <v>41</v>
      </c>
      <c r="E10" s="32" t="s">
        <v>495</v>
      </c>
      <c r="F10" s="32" t="s">
        <v>496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>
        <f>401.62+0.00</f>
        <v>401.62</v>
      </c>
      <c r="X10" s="33">
        <f>405.45+27.51</f>
        <v>432.96</v>
      </c>
      <c r="Y10" s="33">
        <f>269.36+0.00</f>
        <v>269.36</v>
      </c>
      <c r="Z10" s="33">
        <f>722.93+0.00</f>
        <v>722.93</v>
      </c>
      <c r="AA10" s="33">
        <f>755.15+0.00</f>
        <v>755.15</v>
      </c>
      <c r="AB10" s="33">
        <f>398.14+0.00</f>
        <v>398.14</v>
      </c>
      <c r="AC10" s="33">
        <f>291.99+24.56</f>
        <v>316.55</v>
      </c>
      <c r="AD10" s="33">
        <f>354.51+0.00</f>
        <v>354.51</v>
      </c>
      <c r="AE10" s="33">
        <f>337.63+0.00</f>
        <v>337.63</v>
      </c>
      <c r="AF10" s="33">
        <f>646.88+0.00</f>
        <v>646.88</v>
      </c>
      <c r="AG10" s="33">
        <f>323.92+26.96</f>
        <v>350.88</v>
      </c>
      <c r="AH10" s="33">
        <f>294.85+27.87</f>
        <v>322.72</v>
      </c>
      <c r="AI10" s="33">
        <f>512.82+0.00</f>
        <v>512.82</v>
      </c>
      <c r="AJ10" s="33">
        <f>333.89+0.00</f>
        <v>333.89</v>
      </c>
      <c r="AK10" s="33">
        <f>218.41+35.77</f>
        <v>254.18</v>
      </c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494</v>
      </c>
      <c r="D15" s="50" t="s">
        <v>42</v>
      </c>
      <c r="E15" s="32" t="s">
        <v>497</v>
      </c>
      <c r="F15" s="32" t="s">
        <v>498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v>86.79</v>
      </c>
      <c r="X15" s="33">
        <v>75.02</v>
      </c>
      <c r="Y15" s="33">
        <v>75.31</v>
      </c>
      <c r="Z15" s="33">
        <v>83.37</v>
      </c>
      <c r="AA15" s="33">
        <v>100.68</v>
      </c>
      <c r="AB15" s="33">
        <v>99.19</v>
      </c>
      <c r="AC15" s="33">
        <v>91.87</v>
      </c>
      <c r="AD15" s="33">
        <v>88.2</v>
      </c>
      <c r="AE15" s="33">
        <v>93.05</v>
      </c>
      <c r="AF15" s="33">
        <v>94.68</v>
      </c>
      <c r="AG15" s="33">
        <v>85.05</v>
      </c>
      <c r="AH15" s="33">
        <v>90.12</v>
      </c>
      <c r="AI15" s="33">
        <v>97.95</v>
      </c>
      <c r="AJ15" s="33">
        <v>95.89</v>
      </c>
      <c r="AK15" s="33">
        <v>87.95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494</v>
      </c>
      <c r="D16" s="50" t="s">
        <v>42</v>
      </c>
      <c r="E16" s="32" t="s">
        <v>497</v>
      </c>
      <c r="F16" s="32" t="s">
        <v>499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f>68.70+554.21+105.04</f>
        <v>727.95</v>
      </c>
      <c r="X16" s="33">
        <f>63.48+449.03+83.63</f>
        <v>596.14</v>
      </c>
      <c r="Y16" s="33">
        <f>61.35+430.03+80.01</f>
        <v>571.39</v>
      </c>
      <c r="Z16" s="33">
        <f>68.90+461.33+80.74</f>
        <v>610.97</v>
      </c>
      <c r="AA16" s="33">
        <f>71.87+518.24+93.47</f>
        <v>683.58</v>
      </c>
      <c r="AB16" s="33">
        <f>72.96+545.83+176.77</f>
        <v>795.5600000000001</v>
      </c>
      <c r="AC16" s="33">
        <f>70.08+519.93+184.26</f>
        <v>774.27</v>
      </c>
      <c r="AD16" s="33">
        <f>71.08+393.25+191.17</f>
        <v>655.5</v>
      </c>
      <c r="AE16" s="33">
        <f>71.94+555.27+174.96</f>
        <v>802.1700000000001</v>
      </c>
      <c r="AF16" s="33">
        <f>72.96+507.54+137.70</f>
        <v>718.2</v>
      </c>
      <c r="AG16" s="33">
        <f>65.75+392.61+161.22</f>
        <v>619.58</v>
      </c>
      <c r="AH16" s="33">
        <f>63.15+445.90+298.90</f>
        <v>807.9499999999999</v>
      </c>
      <c r="AI16" s="33">
        <f>64.89+503.19+326.05</f>
        <v>894.1300000000001</v>
      </c>
      <c r="AJ16" s="33">
        <f>59.73+461.12+282.09</f>
        <v>802.94</v>
      </c>
      <c r="AK16" s="33">
        <f>68.18+405.79+175.37</f>
        <v>649.34</v>
      </c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SUM(G15:G16)</f>
      </c>
      <c r="H18" s="22">
        <f>SUM(H15:H16)</f>
      </c>
      <c r="I18" s="22">
        <f>SUM(I15:I16)</f>
      </c>
      <c r="J18" s="22">
        <f>SUM(J15:J16)</f>
      </c>
      <c r="K18" s="22">
        <f>SUM(K15:K16)</f>
      </c>
      <c r="L18" s="22">
        <f>SUM(L15:L16)</f>
      </c>
      <c r="M18" s="22">
        <f>SUM(M15:M16)</f>
      </c>
      <c r="N18" s="22">
        <f>SUM(N15:N16)</f>
      </c>
      <c r="O18" s="22">
        <f>SUM(O15:O16)</f>
      </c>
      <c r="P18" s="22">
        <f>SUM(P15:P16)</f>
      </c>
      <c r="Q18" s="22">
        <f>SUM(Q15:Q16)</f>
      </c>
      <c r="R18" s="22">
        <f>SUM(R15:R16)</f>
      </c>
      <c r="S18" s="22">
        <f>SUM(S15:S16)</f>
      </c>
      <c r="T18" s="22">
        <f>SUM(T15:T16)</f>
      </c>
      <c r="U18" s="22">
        <f>SUM(U15:U16)</f>
      </c>
      <c r="V18" s="22">
        <f>SUM(V15:V16)</f>
      </c>
      <c r="W18" s="22">
        <f>SUM(W15:W16)</f>
      </c>
      <c r="X18" s="22">
        <f>SUM(X15:X16)</f>
      </c>
      <c r="Y18" s="22">
        <f>SUM(Y15:Y16)</f>
      </c>
      <c r="Z18" s="22">
        <f>SUM(Z15:Z16)</f>
      </c>
      <c r="AA18" s="22">
        <f>SUM(AA15:AA16)</f>
      </c>
      <c r="AB18" s="22">
        <f>SUM(AB15:AB16)</f>
      </c>
      <c r="AC18" s="22">
        <f>SUM(AC15:AC16)</f>
      </c>
      <c r="AD18" s="22">
        <f>SUM(AD15:AD16)</f>
      </c>
      <c r="AE18" s="22">
        <f>SUM(AE15:AE16)</f>
      </c>
      <c r="AF18" s="22">
        <f>SUM(AF15:AF16)</f>
      </c>
      <c r="AG18" s="22">
        <f>SUM(AG15:AG16)</f>
      </c>
      <c r="AH18" s="22">
        <f>SUM(AH15:AH16)</f>
      </c>
      <c r="AI18" s="22">
        <f>SUM(AI15:AI16)</f>
      </c>
      <c r="AJ18" s="22">
        <f>SUM(AJ15:AJ16)</f>
      </c>
      <c r="AK18" s="22">
        <f>SUM(AK15:AK16)</f>
      </c>
      <c r="AL18" s="22">
        <f>SUM(AL15:AL16)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494</v>
      </c>
      <c r="D21" s="50" t="s">
        <v>43</v>
      </c>
      <c r="E21" s="32" t="s">
        <v>500</v>
      </c>
      <c r="F21" s="32" t="s">
        <v>501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>
        <f>1724.62+4708.00</f>
        <v>6432.62</v>
      </c>
      <c r="X21" s="33">
        <f>1487.74+4708.00+2056.65+4708.00</f>
        <v>12960.39</v>
      </c>
      <c r="Y21" s="32"/>
      <c r="Z21" s="33">
        <f>2321.86+4708.00+2368.43+4708.00</f>
        <v>14106.29</v>
      </c>
      <c r="AA21" s="32"/>
      <c r="AB21" s="33">
        <f>2511.16+4708.00+2912.04+4708.00</f>
        <v>14839.2</v>
      </c>
      <c r="AC21" s="32"/>
      <c r="AD21" s="33">
        <f>2958.14+4728.69</f>
        <v>7686.83</v>
      </c>
      <c r="AE21" s="33">
        <f>1922.58+4708.44+2957.14+4728.68</f>
        <v>14316.84</v>
      </c>
      <c r="AF21" s="33">
        <f>2303.65+4708.00</f>
        <v>7011.65</v>
      </c>
      <c r="AG21" s="32"/>
      <c r="AH21" s="33">
        <f>1903.79+4708.00</f>
        <v>6611.79</v>
      </c>
      <c r="AI21" s="33">
        <f>1906.82+4708.00</f>
        <v>6614.82</v>
      </c>
      <c r="AJ21" s="33">
        <f>2424.10+4708.00</f>
        <v>7132.1</v>
      </c>
      <c r="AK21" s="33">
        <f>2207.48+4708.00</f>
        <v>6915.48</v>
      </c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494</v>
      </c>
      <c r="D26" s="50" t="s">
        <v>44</v>
      </c>
      <c r="E26" s="32" t="s">
        <v>502</v>
      </c>
      <c r="F26" s="32" t="s">
        <v>503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>
        <v>1416.94</v>
      </c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G12</f>
      </c>
      <c r="H32" s="18">
        <f>H12</f>
      </c>
      <c r="I32" s="18">
        <f>I12</f>
      </c>
      <c r="J32" s="18">
        <f>J12</f>
      </c>
      <c r="K32" s="18">
        <f>K12</f>
      </c>
      <c r="L32" s="18">
        <f>L12</f>
      </c>
      <c r="M32" s="18">
        <f>M12</f>
      </c>
      <c r="N32" s="18">
        <f>N12</f>
      </c>
      <c r="O32" s="18">
        <f>O12</f>
      </c>
      <c r="P32" s="18">
        <f>P12</f>
      </c>
      <c r="Q32" s="18">
        <f>Q12</f>
      </c>
      <c r="R32" s="18">
        <f>R12</f>
      </c>
      <c r="S32" s="18">
        <f>S12</f>
      </c>
      <c r="T32" s="18">
        <f>T12</f>
      </c>
      <c r="U32" s="18">
        <f>U12</f>
      </c>
      <c r="V32" s="18">
        <f>V12</f>
      </c>
      <c r="W32" s="18">
        <f>W12</f>
      </c>
      <c r="X32" s="18">
        <f>X12</f>
      </c>
      <c r="Y32" s="18">
        <f>Y12</f>
      </c>
      <c r="Z32" s="18">
        <f>Z12</f>
      </c>
      <c r="AA32" s="18">
        <f>AA12</f>
      </c>
      <c r="AB32" s="18">
        <f>AB12</f>
      </c>
      <c r="AC32" s="18">
        <f>AC12</f>
      </c>
      <c r="AD32" s="18">
        <f>AD12</f>
      </c>
      <c r="AE32" s="18">
        <f>AE12</f>
      </c>
      <c r="AF32" s="18">
        <f>AF12</f>
      </c>
      <c r="AG32" s="18">
        <f>AG12</f>
      </c>
      <c r="AH32" s="18">
        <f>AH12</f>
      </c>
      <c r="AI32" s="18">
        <f>AI12</f>
      </c>
      <c r="AJ32" s="18">
        <f>AJ12</f>
      </c>
      <c r="AK32" s="18">
        <f>AK12</f>
      </c>
      <c r="AL32" s="18">
        <f>AL12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G23</f>
      </c>
      <c r="H34" s="18">
        <f>H23</f>
      </c>
      <c r="I34" s="18">
        <f>I23</f>
      </c>
      <c r="J34" s="18">
        <f>J23</f>
      </c>
      <c r="K34" s="18">
        <f>K23</f>
      </c>
      <c r="L34" s="18">
        <f>L23</f>
      </c>
      <c r="M34" s="18">
        <f>M23</f>
      </c>
      <c r="N34" s="18">
        <f>N23</f>
      </c>
      <c r="O34" s="18">
        <f>O23</f>
      </c>
      <c r="P34" s="18">
        <f>P23</f>
      </c>
      <c r="Q34" s="18">
        <f>Q23</f>
      </c>
      <c r="R34" s="18">
        <f>R23</f>
      </c>
      <c r="S34" s="18">
        <f>S23</f>
      </c>
      <c r="T34" s="18">
        <f>T23</f>
      </c>
      <c r="U34" s="18">
        <f>U23</f>
      </c>
      <c r="V34" s="18">
        <f>V23</f>
      </c>
      <c r="W34" s="18">
        <f>W23</f>
      </c>
      <c r="X34" s="18">
        <f>X23</f>
      </c>
      <c r="Y34" s="18">
        <f>Y23</f>
      </c>
      <c r="Z34" s="18">
        <f>Z23</f>
      </c>
      <c r="AA34" s="18">
        <f>AA23</f>
      </c>
      <c r="AB34" s="18">
        <f>AB23</f>
      </c>
      <c r="AC34" s="18">
        <f>AC23</f>
      </c>
      <c r="AD34" s="18">
        <f>AD23</f>
      </c>
      <c r="AE34" s="18">
        <f>AE23</f>
      </c>
      <c r="AF34" s="18">
        <f>AF23</f>
      </c>
      <c r="AG34" s="18">
        <f>AG23</f>
      </c>
      <c r="AH34" s="18">
        <f>AH23</f>
      </c>
      <c r="AI34" s="18">
        <f>AI23</f>
      </c>
      <c r="AJ34" s="18">
        <f>AJ23</f>
      </c>
      <c r="AK34" s="18">
        <f>AK23</f>
      </c>
      <c r="AL34" s="18">
        <f>AL23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519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520</v>
      </c>
      <c r="E9" s="32"/>
      <c r="F9" s="32"/>
      <c r="G9" s="32"/>
      <c r="H9" s="32"/>
      <c r="I9" s="33">
        <v>308.7</v>
      </c>
      <c r="J9" s="33">
        <v>296.54</v>
      </c>
      <c r="K9" s="33">
        <v>202.65</v>
      </c>
      <c r="L9" s="33">
        <v>144.57</v>
      </c>
      <c r="M9" s="33">
        <v>53.61</v>
      </c>
      <c r="N9" s="33">
        <v>324.27</v>
      </c>
      <c r="O9" s="33">
        <v>190.18</v>
      </c>
      <c r="P9" s="33">
        <v>164.68</v>
      </c>
      <c r="Q9" s="33">
        <v>282.39</v>
      </c>
      <c r="R9" s="33">
        <v>385.6</v>
      </c>
      <c r="S9" s="33">
        <v>801.85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521</v>
      </c>
      <c r="E10" s="32"/>
      <c r="F10" s="32"/>
      <c r="G10" s="32"/>
      <c r="H10" s="32"/>
      <c r="I10" s="33">
        <v>103.76</v>
      </c>
      <c r="J10" s="33">
        <v>32.06</v>
      </c>
      <c r="K10" s="33">
        <v>29.33</v>
      </c>
      <c r="L10" s="33">
        <v>28.27</v>
      </c>
      <c r="M10" s="33">
        <v>26.8</v>
      </c>
      <c r="N10" s="33">
        <v>26</v>
      </c>
      <c r="O10" s="33">
        <v>24.42</v>
      </c>
      <c r="P10" s="33">
        <v>23.65</v>
      </c>
      <c r="Q10" s="33">
        <v>24.43</v>
      </c>
      <c r="R10" s="33">
        <v>24.42</v>
      </c>
      <c r="S10" s="33">
        <v>25.98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3</v>
      </c>
      <c r="D15" s="32" t="s">
        <v>498</v>
      </c>
      <c r="E15" s="32"/>
      <c r="F15" s="32"/>
      <c r="G15" s="32"/>
      <c r="H15" s="32"/>
      <c r="I15" s="33">
        <v>92.87</v>
      </c>
      <c r="J15" s="33">
        <v>84.34</v>
      </c>
      <c r="K15" s="33">
        <v>82.12</v>
      </c>
      <c r="L15" s="33">
        <v>92.18</v>
      </c>
      <c r="M15" s="33">
        <v>78.19</v>
      </c>
      <c r="N15" s="33">
        <v>74.13</v>
      </c>
      <c r="O15" s="33">
        <v>76.31</v>
      </c>
      <c r="P15" s="33">
        <v>79.76</v>
      </c>
      <c r="Q15" s="33">
        <v>90.09</v>
      </c>
      <c r="R15" s="33">
        <v>89.29</v>
      </c>
      <c r="S15" s="33">
        <v>81.24</v>
      </c>
      <c r="T15" s="33">
        <v>79.85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522</v>
      </c>
      <c r="E16" s="32"/>
      <c r="F16" s="32"/>
      <c r="G16" s="32"/>
      <c r="H16" s="32"/>
      <c r="I16" s="33">
        <v>2.11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523</v>
      </c>
      <c r="E17" s="32"/>
      <c r="F17" s="32"/>
      <c r="G17" s="32"/>
      <c r="H17" s="32"/>
      <c r="I17" s="33">
        <v>79.58</v>
      </c>
      <c r="J17" s="33">
        <v>67.78</v>
      </c>
      <c r="K17" s="33">
        <v>75.31</v>
      </c>
      <c r="L17" s="33">
        <v>87.05</v>
      </c>
      <c r="M17" s="33">
        <v>81.67</v>
      </c>
      <c r="N17" s="33">
        <v>95.47</v>
      </c>
      <c r="O17" s="33">
        <v>92.64</v>
      </c>
      <c r="P17" s="33">
        <v>85.49</v>
      </c>
      <c r="Q17" s="33">
        <v>92.19</v>
      </c>
      <c r="R17" s="33">
        <v>80.68</v>
      </c>
      <c r="S17" s="33">
        <v>63.5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524</v>
      </c>
      <c r="E18" s="32"/>
      <c r="F18" s="32"/>
      <c r="G18" s="32"/>
      <c r="H18" s="32"/>
      <c r="I18" s="33">
        <v>355.18</v>
      </c>
      <c r="J18" s="33">
        <v>259.96</v>
      </c>
      <c r="K18" s="33">
        <v>81.46</v>
      </c>
      <c r="L18" s="33">
        <v>85.83</v>
      </c>
      <c r="M18" s="33">
        <v>97.45</v>
      </c>
      <c r="N18" s="33">
        <v>93.74</v>
      </c>
      <c r="O18" s="33">
        <v>106.87</v>
      </c>
      <c r="P18" s="33">
        <v>179.71</v>
      </c>
      <c r="Q18" s="33">
        <v>156.78</v>
      </c>
      <c r="R18" s="33">
        <v>142.38</v>
      </c>
      <c r="S18" s="33">
        <v>96.88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525</v>
      </c>
      <c r="E19" s="32"/>
      <c r="F19" s="32"/>
      <c r="G19" s="32"/>
      <c r="H19" s="32"/>
      <c r="I19" s="33">
        <v>453.99</v>
      </c>
      <c r="J19" s="33">
        <v>400.91</v>
      </c>
      <c r="K19" s="33">
        <v>368.45</v>
      </c>
      <c r="L19" s="33">
        <v>371.95</v>
      </c>
      <c r="M19" s="33">
        <v>252.57</v>
      </c>
      <c r="N19" s="33">
        <v>442</v>
      </c>
      <c r="O19" s="33">
        <v>598.11</v>
      </c>
      <c r="P19" s="33">
        <v>560.67</v>
      </c>
      <c r="Q19" s="33">
        <v>541.6</v>
      </c>
      <c r="R19" s="33">
        <v>551.58</v>
      </c>
      <c r="S19" s="33">
        <v>460.73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7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40"/>
    </row>
    <row r="21" ht="12.75" customHeight="1" spans="2:37" x14ac:dyDescent="0.25">
      <c r="B21" s="20" t="s">
        <v>85</v>
      </c>
      <c r="C21" s="21"/>
      <c r="D21" s="21"/>
      <c r="E21" s="22">
        <f>SUM(E15:E19)</f>
      </c>
      <c r="F21" s="22">
        <f>SUM(F15:F19)</f>
      </c>
      <c r="G21" s="22">
        <f>SUM(G15:G19)</f>
      </c>
      <c r="H21" s="22">
        <f>SUM(H15:H19)</f>
      </c>
      <c r="I21" s="22">
        <f>SUM(I15:I19)</f>
      </c>
      <c r="J21" s="22">
        <f>SUM(J15:J19)</f>
      </c>
      <c r="K21" s="22">
        <f>SUM(K15:K19)</f>
      </c>
      <c r="L21" s="22">
        <f>SUM(L15:L19)</f>
      </c>
      <c r="M21" s="22">
        <f>SUM(M15:M19)</f>
      </c>
      <c r="N21" s="22">
        <f>SUM(N15:N19)</f>
      </c>
      <c r="O21" s="22">
        <f>SUM(O15:O19)</f>
      </c>
      <c r="P21" s="22">
        <f>SUM(P15:P19)</f>
      </c>
      <c r="Q21" s="22">
        <f>SUM(Q15:Q19)</f>
      </c>
      <c r="R21" s="22">
        <f>SUM(R15:R19)</f>
      </c>
      <c r="S21" s="22">
        <f>SUM(S15:S19)</f>
      </c>
      <c r="T21" s="22">
        <f>SUM(T15:T19)</f>
      </c>
      <c r="U21" s="22">
        <f>SUM(U15:U19)</f>
      </c>
      <c r="V21" s="22">
        <f>SUM(V15:V19)</f>
      </c>
      <c r="W21" s="22">
        <f>SUM(W15:W19)</f>
      </c>
      <c r="X21" s="22">
        <f>SUM(X15:X19)</f>
      </c>
      <c r="Y21" s="22">
        <f>SUM(Y15:Y19)</f>
      </c>
      <c r="Z21" s="22">
        <f>SUM(Z15:Z19)</f>
      </c>
      <c r="AA21" s="22">
        <f>SUM(AA15:AA19)</f>
      </c>
      <c r="AB21" s="22">
        <f>SUM(AB15:AB19)</f>
      </c>
      <c r="AC21" s="22">
        <f>SUM(AC15:AC19)</f>
      </c>
      <c r="AD21" s="22">
        <f>SUM(AD15:AD19)</f>
      </c>
      <c r="AE21" s="22">
        <f>SUM(AE15:AE19)</f>
      </c>
      <c r="AF21" s="22">
        <f>SUM(AF15:AF19)</f>
      </c>
      <c r="AG21" s="22">
        <f>SUM(AG15:AG19)</f>
      </c>
      <c r="AH21" s="22">
        <f>SUM(AH15:AH19)</f>
      </c>
      <c r="AI21" s="22">
        <f>SUM(AI15:AI19)</f>
      </c>
      <c r="AJ21" s="22">
        <f>SUM(AJ15:AJ19)</f>
      </c>
      <c r="AK21" s="23"/>
    </row>
    <row r="23" ht="12.75" customHeight="1" spans="2:37" x14ac:dyDescent="0.25">
      <c r="B23" s="26" t="s">
        <v>43</v>
      </c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9"/>
    </row>
    <row r="24" ht="12.75" customHeight="1" spans="2:37" x14ac:dyDescent="0.25">
      <c r="B24" s="30" t="s">
        <v>43</v>
      </c>
      <c r="C24" s="31" t="s">
        <v>3</v>
      </c>
      <c r="D24" s="32" t="s">
        <v>526</v>
      </c>
      <c r="E24" s="32"/>
      <c r="F24" s="32"/>
      <c r="G24" s="32"/>
      <c r="H24" s="32"/>
      <c r="I24" s="36">
        <f>4809.58+1802.21</f>
        <v>6611.79</v>
      </c>
      <c r="J24" s="36">
        <f>4723.39+2200.19</f>
        <v>6923.58</v>
      </c>
      <c r="K24" s="36">
        <f>4800.31+1599.91</f>
        <v>6400.22</v>
      </c>
      <c r="L24" s="36">
        <f>4803.35+1663.68</f>
        <v>6467.030000000001</v>
      </c>
      <c r="M24" s="36">
        <f>4725.76+2538.96</f>
        <v>7264.72</v>
      </c>
      <c r="N24" s="36">
        <f>4843.80+2908.83</f>
        <v>7752.63</v>
      </c>
      <c r="O24" s="36">
        <f>4840.69+2676.08</f>
        <v>7516.7699999999995</v>
      </c>
      <c r="P24" s="36">
        <f>4708.00+2200.38</f>
        <v>6908.38</v>
      </c>
      <c r="Q24" s="36">
        <f>4708.00+2873.55</f>
        <v>7581.55</v>
      </c>
      <c r="R24" s="36">
        <f>4708.00+2108.26</f>
        <v>6816.26</v>
      </c>
      <c r="S24" s="36">
        <f>4813.27+1918.99</f>
        <v>6732.26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ht="12.75" customHeight="1" spans="2:37" x14ac:dyDescent="0.25">
      <c r="B26" s="20" t="s">
        <v>89</v>
      </c>
      <c r="C26" s="21"/>
      <c r="D26" s="21"/>
      <c r="E26" s="22">
        <f>SUM(E24:E24)</f>
      </c>
      <c r="F26" s="22">
        <f>SUM(F24:F24)</f>
      </c>
      <c r="G26" s="22">
        <f>SUM(G24:G24)</f>
      </c>
      <c r="H26" s="22">
        <f>SUM(H24:H24)</f>
      </c>
      <c r="I26" s="22">
        <f>SUM(I24:I24)</f>
      </c>
      <c r="J26" s="22">
        <f>SUM(J24:J24)</f>
      </c>
      <c r="K26" s="22">
        <f>SUM(K24:K24)</f>
      </c>
      <c r="L26" s="22">
        <f>SUM(L24:L24)</f>
      </c>
      <c r="M26" s="22">
        <f>SUM(M24:M24)</f>
      </c>
      <c r="N26" s="22">
        <f>SUM(N24:N24)</f>
      </c>
      <c r="O26" s="22">
        <f>SUM(O24:O24)</f>
      </c>
      <c r="P26" s="22">
        <f>SUM(P24:P24)</f>
      </c>
      <c r="Q26" s="22">
        <f>SUM(Q24:Q24)</f>
      </c>
      <c r="R26" s="22">
        <f>SUM(R24:R24)</f>
      </c>
      <c r="S26" s="22">
        <f>SUM(S24:S24)</f>
      </c>
      <c r="T26" s="22">
        <f>SUM(T24:T24)</f>
      </c>
      <c r="U26" s="22">
        <f>SUM(U24:U24)</f>
      </c>
      <c r="V26" s="22">
        <f>SUM(V24:V24)</f>
      </c>
      <c r="W26" s="22">
        <f>SUM(W24:W24)</f>
      </c>
      <c r="X26" s="22">
        <f>SUM(X24:X24)</f>
      </c>
      <c r="Y26" s="22">
        <f>SUM(Y24:Y24)</f>
      </c>
      <c r="Z26" s="22">
        <f>SUM(Z24:Z24)</f>
      </c>
      <c r="AA26" s="22">
        <f>SUM(AA24:AA24)</f>
      </c>
      <c r="AB26" s="22">
        <f>SUM(AB24:AB24)</f>
      </c>
      <c r="AC26" s="22">
        <f>SUM(AC24:AC24)</f>
      </c>
      <c r="AD26" s="22">
        <f>SUM(AD24:AD24)</f>
      </c>
      <c r="AE26" s="22">
        <f>SUM(AE24:AE24)</f>
      </c>
      <c r="AF26" s="22">
        <f>SUM(AF24:AF24)</f>
      </c>
      <c r="AG26" s="22">
        <f>SUM(AG24:AG24)</f>
      </c>
      <c r="AH26" s="22">
        <f>SUM(AH24:AH24)</f>
      </c>
      <c r="AI26" s="22">
        <f>SUM(AI24:AI24)</f>
      </c>
      <c r="AJ26" s="22">
        <f>SUM(AJ24:AJ24)</f>
      </c>
      <c r="AK26" s="23"/>
    </row>
    <row r="28" ht="12.75" customHeight="1" spans="2:37" x14ac:dyDescent="0.25">
      <c r="B28" s="26" t="s">
        <v>44</v>
      </c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9"/>
    </row>
    <row r="29" ht="12.75" customHeight="1" spans="2:37" x14ac:dyDescent="0.25">
      <c r="B29" s="37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</row>
    <row r="30" ht="12.75" customHeight="1" spans="2:37" x14ac:dyDescent="0.25">
      <c r="B30" s="20" t="s">
        <v>90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3"/>
    </row>
    <row r="33" ht="12.75" customHeight="1" spans="2:37" x14ac:dyDescent="0.25">
      <c r="B33" s="11" t="s">
        <v>40</v>
      </c>
      <c r="C33" s="12"/>
      <c r="D33" s="13"/>
      <c r="E33" s="14" t="s">
        <v>7</v>
      </c>
      <c r="F33" s="14" t="s">
        <v>8</v>
      </c>
      <c r="G33" s="14" t="s">
        <v>9</v>
      </c>
      <c r="H33" s="14" t="s">
        <v>10</v>
      </c>
      <c r="I33" s="14" t="s">
        <v>11</v>
      </c>
      <c r="J33" s="14" t="s">
        <v>12</v>
      </c>
      <c r="K33" s="14" t="s">
        <v>13</v>
      </c>
      <c r="L33" s="14" t="s">
        <v>14</v>
      </c>
      <c r="M33" s="14" t="s">
        <v>15</v>
      </c>
      <c r="N33" s="14" t="s">
        <v>16</v>
      </c>
      <c r="O33" s="14" t="s">
        <v>17</v>
      </c>
      <c r="P33" s="14" t="s">
        <v>18</v>
      </c>
      <c r="Q33" s="14" t="s">
        <v>19</v>
      </c>
      <c r="R33" s="14" t="s">
        <v>20</v>
      </c>
      <c r="S33" s="14" t="s">
        <v>21</v>
      </c>
      <c r="T33" s="14" t="s">
        <v>22</v>
      </c>
      <c r="U33" s="14" t="s">
        <v>23</v>
      </c>
      <c r="V33" s="14" t="s">
        <v>24</v>
      </c>
      <c r="W33" s="14" t="s">
        <v>25</v>
      </c>
      <c r="X33" s="14" t="s">
        <v>26</v>
      </c>
      <c r="Y33" s="14" t="s">
        <v>27</v>
      </c>
      <c r="Z33" s="14" t="s">
        <v>28</v>
      </c>
      <c r="AA33" s="14" t="s">
        <v>29</v>
      </c>
      <c r="AB33" s="14" t="s">
        <v>30</v>
      </c>
      <c r="AC33" s="14" t="s">
        <v>31</v>
      </c>
      <c r="AD33" s="14" t="s">
        <v>32</v>
      </c>
      <c r="AE33" s="14" t="s">
        <v>33</v>
      </c>
      <c r="AF33" s="14" t="s">
        <v>34</v>
      </c>
      <c r="AG33" s="14" t="s">
        <v>35</v>
      </c>
      <c r="AH33" s="14" t="s">
        <v>36</v>
      </c>
      <c r="AI33" s="14" t="s">
        <v>37</v>
      </c>
      <c r="AJ33" s="14" t="s">
        <v>38</v>
      </c>
      <c r="AK33" s="15"/>
    </row>
    <row r="34" ht="12.75" customHeight="1" spans="2:37" x14ac:dyDescent="0.25">
      <c r="B34" s="16" t="s">
        <v>41</v>
      </c>
      <c r="C34" s="17"/>
      <c r="D34" s="17"/>
      <c r="E34" s="18">
        <f>E12</f>
      </c>
      <c r="F34" s="18">
        <f>F12</f>
      </c>
      <c r="G34" s="18">
        <f>G12</f>
      </c>
      <c r="H34" s="18">
        <f>H12</f>
      </c>
      <c r="I34" s="18">
        <f>I12</f>
      </c>
      <c r="J34" s="18">
        <f>J12</f>
      </c>
      <c r="K34" s="18">
        <f>K12</f>
      </c>
      <c r="L34" s="18">
        <f>L12</f>
      </c>
      <c r="M34" s="18">
        <f>M12</f>
      </c>
      <c r="N34" s="18">
        <f>N12</f>
      </c>
      <c r="O34" s="18">
        <f>O12</f>
      </c>
      <c r="P34" s="18">
        <f>P12</f>
      </c>
      <c r="Q34" s="18">
        <f>Q12</f>
      </c>
      <c r="R34" s="18">
        <f>R12</f>
      </c>
      <c r="S34" s="18">
        <f>S12</f>
      </c>
      <c r="T34" s="18">
        <f>T12</f>
      </c>
      <c r="U34" s="18">
        <f>U12</f>
      </c>
      <c r="V34" s="18">
        <f>V12</f>
      </c>
      <c r="W34" s="18">
        <f>W12</f>
      </c>
      <c r="X34" s="18">
        <f>X12</f>
      </c>
      <c r="Y34" s="18">
        <f>Y12</f>
      </c>
      <c r="Z34" s="18">
        <f>Z12</f>
      </c>
      <c r="AA34" s="18">
        <f>AA12</f>
      </c>
      <c r="AB34" s="18">
        <f>AB12</f>
      </c>
      <c r="AC34" s="18">
        <f>AC12</f>
      </c>
      <c r="AD34" s="18">
        <f>AD12</f>
      </c>
      <c r="AE34" s="18">
        <f>AE12</f>
      </c>
      <c r="AF34" s="18">
        <f>AF12</f>
      </c>
      <c r="AG34" s="18">
        <f>AG12</f>
      </c>
      <c r="AH34" s="18">
        <f>AH12</f>
      </c>
      <c r="AI34" s="18">
        <f>AI12</f>
      </c>
      <c r="AJ34" s="18">
        <f>AJ12</f>
      </c>
      <c r="AK34" s="19"/>
    </row>
    <row r="35" ht="12.75" customHeight="1" spans="2:37" x14ac:dyDescent="0.25">
      <c r="B35" s="16" t="s">
        <v>42</v>
      </c>
      <c r="C35" s="17"/>
      <c r="D35" s="17"/>
      <c r="E35" s="18">
        <f>E21</f>
      </c>
      <c r="F35" s="18">
        <f>F21</f>
      </c>
      <c r="G35" s="18">
        <f>G21</f>
      </c>
      <c r="H35" s="18">
        <f>H21</f>
      </c>
      <c r="I35" s="18">
        <f>I21</f>
      </c>
      <c r="J35" s="18">
        <f>J21</f>
      </c>
      <c r="K35" s="18">
        <f>K21</f>
      </c>
      <c r="L35" s="18">
        <f>L21</f>
      </c>
      <c r="M35" s="18">
        <f>M21</f>
      </c>
      <c r="N35" s="18">
        <f>N21</f>
      </c>
      <c r="O35" s="18">
        <f>O21</f>
      </c>
      <c r="P35" s="18">
        <f>P21</f>
      </c>
      <c r="Q35" s="18">
        <f>Q21</f>
      </c>
      <c r="R35" s="18">
        <f>R21</f>
      </c>
      <c r="S35" s="18">
        <f>S21</f>
      </c>
      <c r="T35" s="18">
        <f>T21</f>
      </c>
      <c r="U35" s="18">
        <f>U21</f>
      </c>
      <c r="V35" s="18">
        <f>V21</f>
      </c>
      <c r="W35" s="18">
        <f>W21</f>
      </c>
      <c r="X35" s="18">
        <f>X21</f>
      </c>
      <c r="Y35" s="18">
        <f>Y21</f>
      </c>
      <c r="Z35" s="18">
        <f>Z21</f>
      </c>
      <c r="AA35" s="18">
        <f>AA21</f>
      </c>
      <c r="AB35" s="18">
        <f>AB21</f>
      </c>
      <c r="AC35" s="18">
        <f>AC21</f>
      </c>
      <c r="AD35" s="18">
        <f>AD21</f>
      </c>
      <c r="AE35" s="18">
        <f>AE21</f>
      </c>
      <c r="AF35" s="18">
        <f>AF21</f>
      </c>
      <c r="AG35" s="18">
        <f>AG21</f>
      </c>
      <c r="AH35" s="18">
        <f>AH21</f>
      </c>
      <c r="AI35" s="18">
        <f>AI21</f>
      </c>
      <c r="AJ35" s="18">
        <f>AJ21</f>
      </c>
      <c r="AK35" s="19"/>
    </row>
    <row r="36" ht="12.75" customHeight="1" spans="2:37" x14ac:dyDescent="0.25">
      <c r="B36" s="16" t="s">
        <v>43</v>
      </c>
      <c r="C36" s="17"/>
      <c r="D36" s="17"/>
      <c r="E36" s="18">
        <f>E26</f>
      </c>
      <c r="F36" s="18">
        <f>F26</f>
      </c>
      <c r="G36" s="18">
        <f>G26</f>
      </c>
      <c r="H36" s="18">
        <f>H26</f>
      </c>
      <c r="I36" s="18">
        <f>I26</f>
      </c>
      <c r="J36" s="18">
        <f>J26</f>
      </c>
      <c r="K36" s="18">
        <f>K26</f>
      </c>
      <c r="L36" s="18">
        <f>L26</f>
      </c>
      <c r="M36" s="18">
        <f>M26</f>
      </c>
      <c r="N36" s="18">
        <f>N26</f>
      </c>
      <c r="O36" s="18">
        <f>O26</f>
      </c>
      <c r="P36" s="18">
        <f>P26</f>
      </c>
      <c r="Q36" s="18">
        <f>Q26</f>
      </c>
      <c r="R36" s="18">
        <f>R26</f>
      </c>
      <c r="S36" s="18">
        <f>S26</f>
      </c>
      <c r="T36" s="18">
        <f>T26</f>
      </c>
      <c r="U36" s="18">
        <f>U26</f>
      </c>
      <c r="V36" s="18">
        <f>V26</f>
      </c>
      <c r="W36" s="18">
        <f>W26</f>
      </c>
      <c r="X36" s="18">
        <f>X26</f>
      </c>
      <c r="Y36" s="18">
        <f>Y26</f>
      </c>
      <c r="Z36" s="18">
        <f>Z26</f>
      </c>
      <c r="AA36" s="18">
        <f>AA26</f>
      </c>
      <c r="AB36" s="18">
        <f>AB26</f>
      </c>
      <c r="AC36" s="18">
        <f>AC26</f>
      </c>
      <c r="AD36" s="18">
        <f>AD26</f>
      </c>
      <c r="AE36" s="18">
        <f>AE26</f>
      </c>
      <c r="AF36" s="18">
        <f>AF26</f>
      </c>
      <c r="AG36" s="18">
        <f>AG26</f>
      </c>
      <c r="AH36" s="18">
        <f>AH26</f>
      </c>
      <c r="AI36" s="18">
        <f>AI26</f>
      </c>
      <c r="AJ36" s="18">
        <f>AJ26</f>
      </c>
      <c r="AK36" s="19"/>
    </row>
    <row r="37" ht="12.75" customHeight="1" spans="2:37" x14ac:dyDescent="0.25">
      <c r="B37" s="16" t="s">
        <v>44</v>
      </c>
      <c r="C37" s="17"/>
      <c r="D37" s="17"/>
      <c r="E37" s="18">
        <f>E30</f>
      </c>
      <c r="F37" s="18">
        <f>F30</f>
      </c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9"/>
    </row>
    <row r="38" ht="12.75" customHeight="1" spans="2:37" x14ac:dyDescent="0.25">
      <c r="B38" s="20" t="s">
        <v>45</v>
      </c>
      <c r="C38" s="21"/>
      <c r="D38" s="21"/>
      <c r="E38" s="22">
        <f>E34+E35+E36+E37</f>
      </c>
      <c r="F38" s="22">
        <f>F34+F35+F36+F37</f>
      </c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3"/>
    </row>
    <row r="40" ht="12.75" customHeight="1" spans="2:37" x14ac:dyDescent="0.25">
      <c r="B40" s="11" t="s">
        <v>46</v>
      </c>
      <c r="C40" s="12"/>
      <c r="D40" s="13"/>
      <c r="E40" s="14" t="s">
        <v>7</v>
      </c>
      <c r="F40" s="14" t="s">
        <v>8</v>
      </c>
      <c r="G40" s="14" t="s">
        <v>9</v>
      </c>
      <c r="H40" s="14" t="s">
        <v>10</v>
      </c>
      <c r="I40" s="14" t="s">
        <v>11</v>
      </c>
      <c r="J40" s="14" t="s">
        <v>12</v>
      </c>
      <c r="K40" s="14" t="s">
        <v>13</v>
      </c>
      <c r="L40" s="14" t="s">
        <v>14</v>
      </c>
      <c r="M40" s="14" t="s">
        <v>15</v>
      </c>
      <c r="N40" s="14" t="s">
        <v>16</v>
      </c>
      <c r="O40" s="14" t="s">
        <v>17</v>
      </c>
      <c r="P40" s="14" t="s">
        <v>18</v>
      </c>
      <c r="Q40" s="14" t="s">
        <v>19</v>
      </c>
      <c r="R40" s="14" t="s">
        <v>20</v>
      </c>
      <c r="S40" s="14" t="s">
        <v>21</v>
      </c>
      <c r="T40" s="14" t="s">
        <v>22</v>
      </c>
      <c r="U40" s="14" t="s">
        <v>23</v>
      </c>
      <c r="V40" s="14" t="s">
        <v>24</v>
      </c>
      <c r="W40" s="14" t="s">
        <v>25</v>
      </c>
      <c r="X40" s="14" t="s">
        <v>26</v>
      </c>
      <c r="Y40" s="14" t="s">
        <v>27</v>
      </c>
      <c r="Z40" s="14" t="s">
        <v>28</v>
      </c>
      <c r="AA40" s="14" t="s">
        <v>29</v>
      </c>
      <c r="AB40" s="14" t="s">
        <v>30</v>
      </c>
      <c r="AC40" s="14" t="s">
        <v>31</v>
      </c>
      <c r="AD40" s="14" t="s">
        <v>32</v>
      </c>
      <c r="AE40" s="14" t="s">
        <v>33</v>
      </c>
      <c r="AF40" s="14" t="s">
        <v>34</v>
      </c>
      <c r="AG40" s="14" t="s">
        <v>35</v>
      </c>
      <c r="AH40" s="14" t="s">
        <v>36</v>
      </c>
      <c r="AI40" s="14" t="s">
        <v>37</v>
      </c>
      <c r="AJ40" s="14" t="s">
        <v>38</v>
      </c>
      <c r="AK40" s="15"/>
    </row>
    <row r="41" ht="12.75" customHeight="1" spans="2:37" x14ac:dyDescent="0.25">
      <c r="B41" s="16" t="s">
        <v>41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42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43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44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20" t="s">
        <v>45</v>
      </c>
      <c r="C45" s="21"/>
      <c r="D45" s="21"/>
      <c r="E45" s="22">
        <f>E41+E42+E43+E44</f>
      </c>
      <c r="F45" s="22">
        <f>F41+F42+F43+F44</f>
      </c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3"/>
    </row>
    <row r="47" ht="12.75" customHeight="1" spans="2:37" x14ac:dyDescent="0.25">
      <c r="B47" s="11" t="s">
        <v>47</v>
      </c>
      <c r="C47" s="12"/>
      <c r="D47" s="13"/>
      <c r="E47" s="14" t="s">
        <v>7</v>
      </c>
      <c r="F47" s="14" t="s">
        <v>8</v>
      </c>
      <c r="G47" s="14" t="s">
        <v>9</v>
      </c>
      <c r="H47" s="14" t="s">
        <v>10</v>
      </c>
      <c r="I47" s="14" t="s">
        <v>11</v>
      </c>
      <c r="J47" s="14" t="s">
        <v>12</v>
      </c>
      <c r="K47" s="14" t="s">
        <v>13</v>
      </c>
      <c r="L47" s="14" t="s">
        <v>14</v>
      </c>
      <c r="M47" s="14" t="s">
        <v>15</v>
      </c>
      <c r="N47" s="14" t="s">
        <v>16</v>
      </c>
      <c r="O47" s="14" t="s">
        <v>17</v>
      </c>
      <c r="P47" s="14" t="s">
        <v>18</v>
      </c>
      <c r="Q47" s="14" t="s">
        <v>19</v>
      </c>
      <c r="R47" s="14" t="s">
        <v>20</v>
      </c>
      <c r="S47" s="14" t="s">
        <v>21</v>
      </c>
      <c r="T47" s="14" t="s">
        <v>22</v>
      </c>
      <c r="U47" s="14" t="s">
        <v>23</v>
      </c>
      <c r="V47" s="14" t="s">
        <v>24</v>
      </c>
      <c r="W47" s="14" t="s">
        <v>25</v>
      </c>
      <c r="X47" s="14" t="s">
        <v>26</v>
      </c>
      <c r="Y47" s="14" t="s">
        <v>27</v>
      </c>
      <c r="Z47" s="14" t="s">
        <v>28</v>
      </c>
      <c r="AA47" s="14" t="s">
        <v>29</v>
      </c>
      <c r="AB47" s="14" t="s">
        <v>30</v>
      </c>
      <c r="AC47" s="14" t="s">
        <v>31</v>
      </c>
      <c r="AD47" s="14" t="s">
        <v>32</v>
      </c>
      <c r="AE47" s="14" t="s">
        <v>33</v>
      </c>
      <c r="AF47" s="14" t="s">
        <v>34</v>
      </c>
      <c r="AG47" s="14" t="s">
        <v>35</v>
      </c>
      <c r="AH47" s="14" t="s">
        <v>36</v>
      </c>
      <c r="AI47" s="14" t="s">
        <v>37</v>
      </c>
      <c r="AJ47" s="14" t="s">
        <v>38</v>
      </c>
      <c r="AK47" s="15"/>
    </row>
    <row r="48" ht="12.75" customHeight="1" spans="2:37" x14ac:dyDescent="0.25">
      <c r="B48" s="16" t="s">
        <v>41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42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43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44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20" t="s">
        <v>45</v>
      </c>
      <c r="C52" s="21"/>
      <c r="D52" s="21"/>
      <c r="E52" s="25">
        <f>E48+E49+E50+E51</f>
      </c>
      <c r="F52" s="25">
        <f>F48+F49+F50+F51</f>
      </c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519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527</v>
      </c>
      <c r="L8" s="44" t="s">
        <v>528</v>
      </c>
      <c r="M8" s="44" t="s">
        <v>529</v>
      </c>
      <c r="N8" s="44" t="s">
        <v>530</v>
      </c>
      <c r="O8" s="44" t="s">
        <v>531</v>
      </c>
      <c r="P8" s="44" t="s">
        <v>532</v>
      </c>
      <c r="Q8" s="44" t="s">
        <v>533</v>
      </c>
      <c r="R8" s="44" t="s">
        <v>534</v>
      </c>
      <c r="S8" s="44" t="s">
        <v>535</v>
      </c>
      <c r="T8" s="44" t="s">
        <v>536</v>
      </c>
      <c r="U8" s="44" t="s">
        <v>537</v>
      </c>
      <c r="V8" s="44" t="s">
        <v>142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519</v>
      </c>
      <c r="D10" s="50" t="s">
        <v>41</v>
      </c>
      <c r="E10" s="32" t="s">
        <v>3</v>
      </c>
      <c r="F10" s="32" t="s">
        <v>520</v>
      </c>
      <c r="G10" s="32"/>
      <c r="H10" s="32"/>
      <c r="I10" s="32"/>
      <c r="J10" s="32"/>
      <c r="K10" s="33">
        <v>308.7</v>
      </c>
      <c r="L10" s="33">
        <v>296.54</v>
      </c>
      <c r="M10" s="33">
        <v>202.65</v>
      </c>
      <c r="N10" s="33">
        <v>144.57</v>
      </c>
      <c r="O10" s="33">
        <v>53.61</v>
      </c>
      <c r="P10" s="33">
        <v>324.27</v>
      </c>
      <c r="Q10" s="33">
        <v>190.18</v>
      </c>
      <c r="R10" s="33">
        <v>164.68</v>
      </c>
      <c r="S10" s="33">
        <v>282.39</v>
      </c>
      <c r="T10" s="33">
        <v>385.6</v>
      </c>
      <c r="U10" s="33">
        <v>801.85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519</v>
      </c>
      <c r="D11" s="50" t="s">
        <v>41</v>
      </c>
      <c r="E11" s="32" t="s">
        <v>3</v>
      </c>
      <c r="F11" s="32" t="s">
        <v>521</v>
      </c>
      <c r="G11" s="32"/>
      <c r="H11" s="32"/>
      <c r="I11" s="32"/>
      <c r="J11" s="32"/>
      <c r="K11" s="33">
        <v>103.76</v>
      </c>
      <c r="L11" s="33">
        <v>32.06</v>
      </c>
      <c r="M11" s="33">
        <v>29.33</v>
      </c>
      <c r="N11" s="33">
        <v>28.27</v>
      </c>
      <c r="O11" s="33">
        <v>26.8</v>
      </c>
      <c r="P11" s="33">
        <v>26</v>
      </c>
      <c r="Q11" s="33">
        <v>24.42</v>
      </c>
      <c r="R11" s="33">
        <v>23.65</v>
      </c>
      <c r="S11" s="33">
        <v>24.43</v>
      </c>
      <c r="T11" s="33">
        <v>24.42</v>
      </c>
      <c r="U11" s="33">
        <v>25.98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519</v>
      </c>
      <c r="D16" s="50" t="s">
        <v>42</v>
      </c>
      <c r="E16" s="32" t="s">
        <v>3</v>
      </c>
      <c r="F16" s="32" t="s">
        <v>498</v>
      </c>
      <c r="G16" s="32"/>
      <c r="H16" s="32"/>
      <c r="I16" s="32"/>
      <c r="J16" s="32"/>
      <c r="K16" s="33">
        <v>92.87</v>
      </c>
      <c r="L16" s="33">
        <v>84.34</v>
      </c>
      <c r="M16" s="33">
        <v>82.12</v>
      </c>
      <c r="N16" s="33">
        <v>92.18</v>
      </c>
      <c r="O16" s="33">
        <v>78.19</v>
      </c>
      <c r="P16" s="33">
        <v>74.13</v>
      </c>
      <c r="Q16" s="33">
        <v>76.31</v>
      </c>
      <c r="R16" s="33">
        <v>79.76</v>
      </c>
      <c r="S16" s="33">
        <v>90.09</v>
      </c>
      <c r="T16" s="33">
        <v>89.29</v>
      </c>
      <c r="U16" s="33">
        <v>81.24</v>
      </c>
      <c r="V16" s="33">
        <v>79.85</v>
      </c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519</v>
      </c>
      <c r="D17" s="50" t="s">
        <v>42</v>
      </c>
      <c r="E17" s="32" t="s">
        <v>3</v>
      </c>
      <c r="F17" s="32" t="s">
        <v>522</v>
      </c>
      <c r="G17" s="32"/>
      <c r="H17" s="32"/>
      <c r="I17" s="32"/>
      <c r="J17" s="32"/>
      <c r="K17" s="33">
        <v>2.11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519</v>
      </c>
      <c r="D18" s="50" t="s">
        <v>42</v>
      </c>
      <c r="E18" s="32" t="s">
        <v>3</v>
      </c>
      <c r="F18" s="32" t="s">
        <v>523</v>
      </c>
      <c r="G18" s="32"/>
      <c r="H18" s="32"/>
      <c r="I18" s="32"/>
      <c r="J18" s="32"/>
      <c r="K18" s="33">
        <v>79.58</v>
      </c>
      <c r="L18" s="33">
        <v>67.78</v>
      </c>
      <c r="M18" s="33">
        <v>75.31</v>
      </c>
      <c r="N18" s="33">
        <v>87.05</v>
      </c>
      <c r="O18" s="33">
        <v>81.67</v>
      </c>
      <c r="P18" s="33">
        <v>95.47</v>
      </c>
      <c r="Q18" s="33">
        <v>92.64</v>
      </c>
      <c r="R18" s="33">
        <v>85.49</v>
      </c>
      <c r="S18" s="33">
        <v>92.19</v>
      </c>
      <c r="T18" s="33">
        <v>80.68</v>
      </c>
      <c r="U18" s="33">
        <v>63.5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519</v>
      </c>
      <c r="D19" s="50" t="s">
        <v>42</v>
      </c>
      <c r="E19" s="32" t="s">
        <v>3</v>
      </c>
      <c r="F19" s="32" t="s">
        <v>524</v>
      </c>
      <c r="G19" s="32"/>
      <c r="H19" s="32"/>
      <c r="I19" s="32"/>
      <c r="J19" s="32"/>
      <c r="K19" s="33">
        <v>355.18</v>
      </c>
      <c r="L19" s="33">
        <v>259.96</v>
      </c>
      <c r="M19" s="33">
        <v>81.46</v>
      </c>
      <c r="N19" s="33">
        <v>85.83</v>
      </c>
      <c r="O19" s="33">
        <v>97.45</v>
      </c>
      <c r="P19" s="33">
        <v>93.74</v>
      </c>
      <c r="Q19" s="33">
        <v>106.87</v>
      </c>
      <c r="R19" s="33">
        <v>179.71</v>
      </c>
      <c r="S19" s="33">
        <v>156.78</v>
      </c>
      <c r="T19" s="33">
        <v>142.38</v>
      </c>
      <c r="U19" s="33">
        <v>96.88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519</v>
      </c>
      <c r="D20" s="50" t="s">
        <v>42</v>
      </c>
      <c r="E20" s="32" t="s">
        <v>3</v>
      </c>
      <c r="F20" s="32" t="s">
        <v>525</v>
      </c>
      <c r="G20" s="32"/>
      <c r="H20" s="32"/>
      <c r="I20" s="32"/>
      <c r="J20" s="32"/>
      <c r="K20" s="33">
        <v>453.99</v>
      </c>
      <c r="L20" s="33">
        <v>400.91</v>
      </c>
      <c r="M20" s="33">
        <v>368.45</v>
      </c>
      <c r="N20" s="33">
        <v>371.95</v>
      </c>
      <c r="O20" s="33">
        <v>252.57</v>
      </c>
      <c r="P20" s="33">
        <v>442</v>
      </c>
      <c r="Q20" s="33">
        <v>598.11</v>
      </c>
      <c r="R20" s="33">
        <v>560.67</v>
      </c>
      <c r="S20" s="33">
        <v>541.6</v>
      </c>
      <c r="T20" s="33">
        <v>551.58</v>
      </c>
      <c r="U20" s="33">
        <v>460.73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51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0"/>
    </row>
    <row r="22" ht="13.5" customHeight="1" spans="2:39" x14ac:dyDescent="0.25">
      <c r="B22" s="20"/>
      <c r="C22" s="21"/>
      <c r="D22" s="21" t="s">
        <v>85</v>
      </c>
      <c r="E22" s="21"/>
      <c r="F22" s="21"/>
      <c r="G22" s="22">
        <f>SUM(G16:G20)</f>
      </c>
      <c r="H22" s="22">
        <f>SUM(H16:H20)</f>
      </c>
      <c r="I22" s="22">
        <f>SUM(I16:I20)</f>
      </c>
      <c r="J22" s="22">
        <f>SUM(J16:J20)</f>
      </c>
      <c r="K22" s="22">
        <f>SUM(K16:K20)</f>
      </c>
      <c r="L22" s="22">
        <f>SUM(L16:L20)</f>
      </c>
      <c r="M22" s="22">
        <f>SUM(M16:M20)</f>
      </c>
      <c r="N22" s="22">
        <f>SUM(N16:N20)</f>
      </c>
      <c r="O22" s="22">
        <f>SUM(O16:O20)</f>
      </c>
      <c r="P22" s="22">
        <f>SUM(P16:P20)</f>
      </c>
      <c r="Q22" s="22">
        <f>SUM(Q16:Q20)</f>
      </c>
      <c r="R22" s="22">
        <f>SUM(R16:R20)</f>
      </c>
      <c r="S22" s="22">
        <f>SUM(S16:S20)</f>
      </c>
      <c r="T22" s="22">
        <f>SUM(T16:T20)</f>
      </c>
      <c r="U22" s="22">
        <f>SUM(U16:U20)</f>
      </c>
      <c r="V22" s="22">
        <f>SUM(V16:V20)</f>
      </c>
      <c r="W22" s="22">
        <f>SUM(W16:W20)</f>
      </c>
      <c r="X22" s="22">
        <f>SUM(X16:X20)</f>
      </c>
      <c r="Y22" s="22">
        <f>SUM(Y16:Y20)</f>
      </c>
      <c r="Z22" s="22">
        <f>SUM(Z16:Z20)</f>
      </c>
      <c r="AA22" s="22">
        <f>SUM(AA16:AA20)</f>
      </c>
      <c r="AB22" s="22">
        <f>SUM(AB16:AB20)</f>
      </c>
      <c r="AC22" s="22">
        <f>SUM(AC16:AC20)</f>
      </c>
      <c r="AD22" s="22">
        <f>SUM(AD16:AD20)</f>
      </c>
      <c r="AE22" s="22">
        <f>SUM(AE16:AE20)</f>
      </c>
      <c r="AF22" s="22">
        <f>SUM(AF16:AF20)</f>
      </c>
      <c r="AG22" s="22">
        <f>SUM(AG16:AG20)</f>
      </c>
      <c r="AH22" s="22">
        <f>SUM(AH16:AH20)</f>
      </c>
      <c r="AI22" s="22">
        <f>SUM(AI16:AI20)</f>
      </c>
      <c r="AJ22" s="22">
        <f>SUM(AJ16:AJ20)</f>
      </c>
      <c r="AK22" s="22">
        <f>SUM(AK16:AK20)</f>
      </c>
      <c r="AL22" s="22">
        <f>SUM(AL16:AL20)</f>
      </c>
      <c r="AM22" s="23"/>
    </row>
    <row r="24" ht="13.5" customHeight="1" spans="2:39" x14ac:dyDescent="0.25">
      <c r="B24" s="46"/>
      <c r="C24" s="28"/>
      <c r="D24" s="47" t="s">
        <v>43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9"/>
    </row>
    <row r="25" ht="13.5" customHeight="1" spans="2:39" x14ac:dyDescent="0.25">
      <c r="B25" s="48" t="s">
        <v>3</v>
      </c>
      <c r="C25" s="49" t="s">
        <v>519</v>
      </c>
      <c r="D25" s="50" t="s">
        <v>43</v>
      </c>
      <c r="E25" s="32" t="s">
        <v>3</v>
      </c>
      <c r="F25" s="32" t="s">
        <v>526</v>
      </c>
      <c r="G25" s="32"/>
      <c r="H25" s="32"/>
      <c r="I25" s="32"/>
      <c r="J25" s="32"/>
      <c r="K25" s="33">
        <f>4809.58+1802.21</f>
        <v>6611.79</v>
      </c>
      <c r="L25" s="33">
        <f>4723.39+2200.19</f>
        <v>6923.58</v>
      </c>
      <c r="M25" s="33">
        <f>4800.31+1599.91</f>
        <v>6400.22</v>
      </c>
      <c r="N25" s="33">
        <f>4803.35+1663.68</f>
        <v>6467.030000000001</v>
      </c>
      <c r="O25" s="33">
        <f>4725.76+2538.96</f>
        <v>7264.72</v>
      </c>
      <c r="P25" s="33">
        <f>4843.80+2908.83</f>
        <v>7752.63</v>
      </c>
      <c r="Q25" s="33">
        <f>4840.69+2676.08</f>
        <v>7516.7699999999995</v>
      </c>
      <c r="R25" s="33">
        <f>4708.00+2200.38</f>
        <v>6908.38</v>
      </c>
      <c r="S25" s="33">
        <f>4708.00+2873.55</f>
        <v>7581.55</v>
      </c>
      <c r="T25" s="33">
        <f>4708.00+2108.26</f>
        <v>6816.26</v>
      </c>
      <c r="U25" s="33">
        <f>4813.27+1918.99</f>
        <v>6732.26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5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/>
    </row>
    <row r="27" ht="13.5" customHeight="1" spans="2:39" x14ac:dyDescent="0.25">
      <c r="B27" s="20"/>
      <c r="C27" s="21"/>
      <c r="D27" s="21" t="s">
        <v>89</v>
      </c>
      <c r="E27" s="21"/>
      <c r="F27" s="21"/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2">
        <f>SUM(AK25:AK25)</f>
      </c>
      <c r="AL27" s="22">
        <f>SUM(AL25:AL25)</f>
      </c>
      <c r="AM27" s="23"/>
    </row>
    <row r="29" ht="13.5" customHeight="1" spans="2:39" x14ac:dyDescent="0.25">
      <c r="B29" s="46"/>
      <c r="C29" s="28"/>
      <c r="D29" s="47" t="s">
        <v>44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9"/>
    </row>
    <row r="30" ht="13.5" customHeight="1" spans="2:39" x14ac:dyDescent="0.25">
      <c r="B30" s="51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40"/>
    </row>
    <row r="31" ht="13.5" customHeight="1" spans="2:39" x14ac:dyDescent="0.25">
      <c r="B31" s="20"/>
      <c r="C31" s="21"/>
      <c r="D31" s="21" t="s">
        <v>90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3"/>
    </row>
    <row r="34" ht="12.75" customHeight="1" spans="2:39" x14ac:dyDescent="0.25">
      <c r="B34" s="11" t="s">
        <v>40</v>
      </c>
      <c r="C34" s="12"/>
      <c r="D34" s="12"/>
      <c r="E34" s="12"/>
      <c r="F34" s="12"/>
      <c r="G34" s="52" t="s">
        <v>7</v>
      </c>
      <c r="H34" s="52" t="s">
        <v>8</v>
      </c>
      <c r="I34" s="52" t="s">
        <v>9</v>
      </c>
      <c r="J34" s="52" t="s">
        <v>10</v>
      </c>
      <c r="K34" s="52" t="s">
        <v>11</v>
      </c>
      <c r="L34" s="52" t="s">
        <v>12</v>
      </c>
      <c r="M34" s="52" t="s">
        <v>13</v>
      </c>
      <c r="N34" s="52" t="s">
        <v>14</v>
      </c>
      <c r="O34" s="52" t="s">
        <v>15</v>
      </c>
      <c r="P34" s="52" t="s">
        <v>16</v>
      </c>
      <c r="Q34" s="52" t="s">
        <v>17</v>
      </c>
      <c r="R34" s="52" t="s">
        <v>18</v>
      </c>
      <c r="S34" s="52" t="s">
        <v>19</v>
      </c>
      <c r="T34" s="52" t="s">
        <v>20</v>
      </c>
      <c r="U34" s="52" t="s">
        <v>21</v>
      </c>
      <c r="V34" s="52" t="s">
        <v>22</v>
      </c>
      <c r="W34" s="52" t="s">
        <v>23</v>
      </c>
      <c r="X34" s="52" t="s">
        <v>24</v>
      </c>
      <c r="Y34" s="52" t="s">
        <v>25</v>
      </c>
      <c r="Z34" s="52" t="s">
        <v>26</v>
      </c>
      <c r="AA34" s="52" t="s">
        <v>27</v>
      </c>
      <c r="AB34" s="52" t="s">
        <v>28</v>
      </c>
      <c r="AC34" s="52" t="s">
        <v>29</v>
      </c>
      <c r="AD34" s="52" t="s">
        <v>30</v>
      </c>
      <c r="AE34" s="52" t="s">
        <v>31</v>
      </c>
      <c r="AF34" s="52" t="s">
        <v>32</v>
      </c>
      <c r="AG34" s="52" t="s">
        <v>33</v>
      </c>
      <c r="AH34" s="52" t="s">
        <v>34</v>
      </c>
      <c r="AI34" s="52" t="s">
        <v>35</v>
      </c>
      <c r="AJ34" s="52" t="s">
        <v>36</v>
      </c>
      <c r="AK34" s="52" t="s">
        <v>37</v>
      </c>
      <c r="AL34" s="52" t="s">
        <v>38</v>
      </c>
      <c r="AM34" s="15"/>
    </row>
    <row r="35" ht="12.75" customHeight="1" spans="2:39" x14ac:dyDescent="0.25">
      <c r="B35" s="16"/>
      <c r="C35" s="17"/>
      <c r="D35" s="17" t="s">
        <v>41</v>
      </c>
      <c r="E35" s="17"/>
      <c r="F35" s="17"/>
      <c r="G35" s="18">
        <f>G13</f>
      </c>
      <c r="H35" s="18">
        <f>H13</f>
      </c>
      <c r="I35" s="18">
        <f>I13</f>
      </c>
      <c r="J35" s="18">
        <f>J13</f>
      </c>
      <c r="K35" s="18">
        <f>K13</f>
      </c>
      <c r="L35" s="18">
        <f>L13</f>
      </c>
      <c r="M35" s="18">
        <f>M13</f>
      </c>
      <c r="N35" s="18">
        <f>N13</f>
      </c>
      <c r="O35" s="18">
        <f>O13</f>
      </c>
      <c r="P35" s="18">
        <f>P13</f>
      </c>
      <c r="Q35" s="18">
        <f>Q13</f>
      </c>
      <c r="R35" s="18">
        <f>R13</f>
      </c>
      <c r="S35" s="18">
        <f>S13</f>
      </c>
      <c r="T35" s="18">
        <f>T13</f>
      </c>
      <c r="U35" s="18">
        <f>U13</f>
      </c>
      <c r="V35" s="18">
        <f>V13</f>
      </c>
      <c r="W35" s="18">
        <f>W13</f>
      </c>
      <c r="X35" s="18">
        <f>X13</f>
      </c>
      <c r="Y35" s="18">
        <f>Y13</f>
      </c>
      <c r="Z35" s="18">
        <f>Z13</f>
      </c>
      <c r="AA35" s="18">
        <f>AA13</f>
      </c>
      <c r="AB35" s="18">
        <f>AB13</f>
      </c>
      <c r="AC35" s="18">
        <f>AC13</f>
      </c>
      <c r="AD35" s="18">
        <f>AD13</f>
      </c>
      <c r="AE35" s="18">
        <f>AE13</f>
      </c>
      <c r="AF35" s="18">
        <f>AF13</f>
      </c>
      <c r="AG35" s="18">
        <f>AG13</f>
      </c>
      <c r="AH35" s="18">
        <f>AH13</f>
      </c>
      <c r="AI35" s="18">
        <f>AI13</f>
      </c>
      <c r="AJ35" s="18">
        <f>AJ13</f>
      </c>
      <c r="AK35" s="18">
        <f>AK13</f>
      </c>
      <c r="AL35" s="18">
        <f>AL13</f>
      </c>
      <c r="AM35" s="19"/>
    </row>
    <row r="36" ht="12.75" customHeight="1" spans="2:39" x14ac:dyDescent="0.25">
      <c r="B36" s="16"/>
      <c r="C36" s="17"/>
      <c r="D36" s="17" t="s">
        <v>42</v>
      </c>
      <c r="E36" s="17"/>
      <c r="F36" s="17"/>
      <c r="G36" s="18">
        <f>G22</f>
      </c>
      <c r="H36" s="18">
        <f>H22</f>
      </c>
      <c r="I36" s="18">
        <f>I22</f>
      </c>
      <c r="J36" s="18">
        <f>J22</f>
      </c>
      <c r="K36" s="18">
        <f>K22</f>
      </c>
      <c r="L36" s="18">
        <f>L22</f>
      </c>
      <c r="M36" s="18">
        <f>M22</f>
      </c>
      <c r="N36" s="18">
        <f>N22</f>
      </c>
      <c r="O36" s="18">
        <f>O22</f>
      </c>
      <c r="P36" s="18">
        <f>P22</f>
      </c>
      <c r="Q36" s="18">
        <f>Q22</f>
      </c>
      <c r="R36" s="18">
        <f>R22</f>
      </c>
      <c r="S36" s="18">
        <f>S22</f>
      </c>
      <c r="T36" s="18">
        <f>T22</f>
      </c>
      <c r="U36" s="18">
        <f>U22</f>
      </c>
      <c r="V36" s="18">
        <f>V22</f>
      </c>
      <c r="W36" s="18">
        <f>W22</f>
      </c>
      <c r="X36" s="18">
        <f>X22</f>
      </c>
      <c r="Y36" s="18">
        <f>Y22</f>
      </c>
      <c r="Z36" s="18">
        <f>Z22</f>
      </c>
      <c r="AA36" s="18">
        <f>AA22</f>
      </c>
      <c r="AB36" s="18">
        <f>AB22</f>
      </c>
      <c r="AC36" s="18">
        <f>AC22</f>
      </c>
      <c r="AD36" s="18">
        <f>AD22</f>
      </c>
      <c r="AE36" s="18">
        <f>AE22</f>
      </c>
      <c r="AF36" s="18">
        <f>AF22</f>
      </c>
      <c r="AG36" s="18">
        <f>AG22</f>
      </c>
      <c r="AH36" s="18">
        <f>AH22</f>
      </c>
      <c r="AI36" s="18">
        <f>AI22</f>
      </c>
      <c r="AJ36" s="18">
        <f>AJ22</f>
      </c>
      <c r="AK36" s="18">
        <f>AK22</f>
      </c>
      <c r="AL36" s="18">
        <f>AL22</f>
      </c>
      <c r="AM36" s="19"/>
    </row>
    <row r="37" ht="12.75" customHeight="1" spans="2:39" x14ac:dyDescent="0.25">
      <c r="B37" s="16"/>
      <c r="C37" s="17"/>
      <c r="D37" s="17" t="s">
        <v>43</v>
      </c>
      <c r="E37" s="17"/>
      <c r="F37" s="17"/>
      <c r="G37" s="18">
        <f>G27</f>
      </c>
      <c r="H37" s="18">
        <f>H27</f>
      </c>
      <c r="I37" s="18">
        <f>I27</f>
      </c>
      <c r="J37" s="18">
        <f>J27</f>
      </c>
      <c r="K37" s="18">
        <f>K27</f>
      </c>
      <c r="L37" s="18">
        <f>L27</f>
      </c>
      <c r="M37" s="18">
        <f>M27</f>
      </c>
      <c r="N37" s="18">
        <f>N27</f>
      </c>
      <c r="O37" s="18">
        <f>O27</f>
      </c>
      <c r="P37" s="18">
        <f>P27</f>
      </c>
      <c r="Q37" s="18">
        <f>Q27</f>
      </c>
      <c r="R37" s="18">
        <f>R27</f>
      </c>
      <c r="S37" s="18">
        <f>S27</f>
      </c>
      <c r="T37" s="18">
        <f>T27</f>
      </c>
      <c r="U37" s="18">
        <f>U27</f>
      </c>
      <c r="V37" s="18">
        <f>V27</f>
      </c>
      <c r="W37" s="18">
        <f>W27</f>
      </c>
      <c r="X37" s="18">
        <f>X27</f>
      </c>
      <c r="Y37" s="18">
        <f>Y27</f>
      </c>
      <c r="Z37" s="18">
        <f>Z27</f>
      </c>
      <c r="AA37" s="18">
        <f>AA27</f>
      </c>
      <c r="AB37" s="18">
        <f>AB27</f>
      </c>
      <c r="AC37" s="18">
        <f>AC27</f>
      </c>
      <c r="AD37" s="18">
        <f>AD27</f>
      </c>
      <c r="AE37" s="18">
        <f>AE27</f>
      </c>
      <c r="AF37" s="18">
        <f>AF27</f>
      </c>
      <c r="AG37" s="18">
        <f>AG27</f>
      </c>
      <c r="AH37" s="18">
        <f>AH27</f>
      </c>
      <c r="AI37" s="18">
        <f>AI27</f>
      </c>
      <c r="AJ37" s="18">
        <f>AJ27</f>
      </c>
      <c r="AK37" s="18">
        <f>AK27</f>
      </c>
      <c r="AL37" s="18">
        <f>AL27</f>
      </c>
      <c r="AM37" s="19"/>
    </row>
    <row r="38" ht="12.75" customHeight="1" spans="2:39" x14ac:dyDescent="0.25">
      <c r="B38" s="16"/>
      <c r="C38" s="17"/>
      <c r="D38" s="17" t="s">
        <v>44</v>
      </c>
      <c r="E38" s="17"/>
      <c r="F38" s="17"/>
      <c r="G38" s="18">
        <f>G31</f>
      </c>
      <c r="H38" s="18">
        <f>H31</f>
      </c>
      <c r="I38" s="18">
        <f>I31</f>
      </c>
      <c r="J38" s="18">
        <f>J31</f>
      </c>
      <c r="K38" s="18">
        <f>K31</f>
      </c>
      <c r="L38" s="18">
        <f>L31</f>
      </c>
      <c r="M38" s="18">
        <f>M31</f>
      </c>
      <c r="N38" s="18">
        <f>N31</f>
      </c>
      <c r="O38" s="18">
        <f>O31</f>
      </c>
      <c r="P38" s="18">
        <f>P31</f>
      </c>
      <c r="Q38" s="18">
        <f>Q31</f>
      </c>
      <c r="R38" s="18">
        <f>R31</f>
      </c>
      <c r="S38" s="18">
        <f>S31</f>
      </c>
      <c r="T38" s="18">
        <f>T31</f>
      </c>
      <c r="U38" s="18">
        <f>U31</f>
      </c>
      <c r="V38" s="18">
        <f>V31</f>
      </c>
      <c r="W38" s="18">
        <f>W31</f>
      </c>
      <c r="X38" s="18">
        <f>X31</f>
      </c>
      <c r="Y38" s="18">
        <f>Y31</f>
      </c>
      <c r="Z38" s="18">
        <f>Z31</f>
      </c>
      <c r="AA38" s="18">
        <f>AA31</f>
      </c>
      <c r="AB38" s="18">
        <f>AB31</f>
      </c>
      <c r="AC38" s="18">
        <f>AC31</f>
      </c>
      <c r="AD38" s="18">
        <f>AD31</f>
      </c>
      <c r="AE38" s="18">
        <f>AE31</f>
      </c>
      <c r="AF38" s="18">
        <f>AF31</f>
      </c>
      <c r="AG38" s="18">
        <f>AG31</f>
      </c>
      <c r="AH38" s="18">
        <f>AH31</f>
      </c>
      <c r="AI38" s="18">
        <f>AI31</f>
      </c>
      <c r="AJ38" s="18">
        <f>AJ31</f>
      </c>
      <c r="AK38" s="18">
        <f>AK31</f>
      </c>
      <c r="AL38" s="18">
        <f>AL31</f>
      </c>
      <c r="AM38" s="19"/>
    </row>
    <row r="39" ht="12.75" customHeight="1" spans="2:39" x14ac:dyDescent="0.25">
      <c r="B39" s="20"/>
      <c r="C39" s="21"/>
      <c r="D39" s="21" t="s">
        <v>45</v>
      </c>
      <c r="E39" s="21"/>
      <c r="F39" s="21"/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2">
        <f>AK35+AK36+AK37+AK38</f>
      </c>
      <c r="AL39" s="22">
        <f>AL35+AL36+AL37+AL38</f>
      </c>
      <c r="AM39" s="23"/>
    </row>
    <row r="41" ht="12.75" customHeight="1" spans="2:39" x14ac:dyDescent="0.25">
      <c r="B41" s="11" t="s">
        <v>46</v>
      </c>
      <c r="C41" s="12"/>
      <c r="D41" s="12"/>
      <c r="E41" s="12"/>
      <c r="F41" s="12"/>
      <c r="G41" s="52" t="s">
        <v>7</v>
      </c>
      <c r="H41" s="52" t="s">
        <v>8</v>
      </c>
      <c r="I41" s="52" t="s">
        <v>9</v>
      </c>
      <c r="J41" s="52" t="s">
        <v>10</v>
      </c>
      <c r="K41" s="52" t="s">
        <v>11</v>
      </c>
      <c r="L41" s="52" t="s">
        <v>12</v>
      </c>
      <c r="M41" s="52" t="s">
        <v>13</v>
      </c>
      <c r="N41" s="52" t="s">
        <v>14</v>
      </c>
      <c r="O41" s="52" t="s">
        <v>15</v>
      </c>
      <c r="P41" s="52" t="s">
        <v>16</v>
      </c>
      <c r="Q41" s="52" t="s">
        <v>17</v>
      </c>
      <c r="R41" s="52" t="s">
        <v>18</v>
      </c>
      <c r="S41" s="52" t="s">
        <v>19</v>
      </c>
      <c r="T41" s="52" t="s">
        <v>20</v>
      </c>
      <c r="U41" s="52" t="s">
        <v>21</v>
      </c>
      <c r="V41" s="52" t="s">
        <v>22</v>
      </c>
      <c r="W41" s="52" t="s">
        <v>23</v>
      </c>
      <c r="X41" s="52" t="s">
        <v>24</v>
      </c>
      <c r="Y41" s="52" t="s">
        <v>25</v>
      </c>
      <c r="Z41" s="52" t="s">
        <v>26</v>
      </c>
      <c r="AA41" s="52" t="s">
        <v>27</v>
      </c>
      <c r="AB41" s="52" t="s">
        <v>28</v>
      </c>
      <c r="AC41" s="52" t="s">
        <v>29</v>
      </c>
      <c r="AD41" s="52" t="s">
        <v>30</v>
      </c>
      <c r="AE41" s="52" t="s">
        <v>31</v>
      </c>
      <c r="AF41" s="52" t="s">
        <v>32</v>
      </c>
      <c r="AG41" s="52" t="s">
        <v>33</v>
      </c>
      <c r="AH41" s="52" t="s">
        <v>34</v>
      </c>
      <c r="AI41" s="52" t="s">
        <v>35</v>
      </c>
      <c r="AJ41" s="52" t="s">
        <v>36</v>
      </c>
      <c r="AK41" s="52" t="s">
        <v>37</v>
      </c>
      <c r="AL41" s="52" t="s">
        <v>38</v>
      </c>
      <c r="AM41" s="15"/>
    </row>
    <row r="42" ht="12.75" customHeight="1" spans="2:39" x14ac:dyDescent="0.25">
      <c r="B42" s="16"/>
      <c r="C42" s="17"/>
      <c r="D42" s="17" t="s">
        <v>41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42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43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44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20"/>
      <c r="C46" s="21"/>
      <c r="D46" s="21" t="s">
        <v>45</v>
      </c>
      <c r="E46" s="21"/>
      <c r="F46" s="21"/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2">
        <f>AK42+AK43+AK44+AK45</f>
      </c>
      <c r="AL46" s="22">
        <f>AL42+AL43+AL44+AL45</f>
      </c>
      <c r="AM46" s="23"/>
    </row>
    <row r="48" ht="12.75" customHeight="1" spans="2:39" x14ac:dyDescent="0.25">
      <c r="B48" s="11" t="s">
        <v>47</v>
      </c>
      <c r="C48" s="12"/>
      <c r="D48" s="12"/>
      <c r="E48" s="12"/>
      <c r="F48" s="12"/>
      <c r="G48" s="52" t="s">
        <v>7</v>
      </c>
      <c r="H48" s="52" t="s">
        <v>8</v>
      </c>
      <c r="I48" s="52" t="s">
        <v>9</v>
      </c>
      <c r="J48" s="52" t="s">
        <v>10</v>
      </c>
      <c r="K48" s="52" t="s">
        <v>11</v>
      </c>
      <c r="L48" s="52" t="s">
        <v>12</v>
      </c>
      <c r="M48" s="52" t="s">
        <v>13</v>
      </c>
      <c r="N48" s="52" t="s">
        <v>14</v>
      </c>
      <c r="O48" s="52" t="s">
        <v>15</v>
      </c>
      <c r="P48" s="52" t="s">
        <v>16</v>
      </c>
      <c r="Q48" s="52" t="s">
        <v>17</v>
      </c>
      <c r="R48" s="52" t="s">
        <v>18</v>
      </c>
      <c r="S48" s="52" t="s">
        <v>19</v>
      </c>
      <c r="T48" s="52" t="s">
        <v>20</v>
      </c>
      <c r="U48" s="52" t="s">
        <v>21</v>
      </c>
      <c r="V48" s="52" t="s">
        <v>22</v>
      </c>
      <c r="W48" s="52" t="s">
        <v>23</v>
      </c>
      <c r="X48" s="52" t="s">
        <v>24</v>
      </c>
      <c r="Y48" s="52" t="s">
        <v>25</v>
      </c>
      <c r="Z48" s="52" t="s">
        <v>26</v>
      </c>
      <c r="AA48" s="52" t="s">
        <v>27</v>
      </c>
      <c r="AB48" s="52" t="s">
        <v>28</v>
      </c>
      <c r="AC48" s="52" t="s">
        <v>29</v>
      </c>
      <c r="AD48" s="52" t="s">
        <v>30</v>
      </c>
      <c r="AE48" s="52" t="s">
        <v>31</v>
      </c>
      <c r="AF48" s="52" t="s">
        <v>32</v>
      </c>
      <c r="AG48" s="52" t="s">
        <v>33</v>
      </c>
      <c r="AH48" s="52" t="s">
        <v>34</v>
      </c>
      <c r="AI48" s="52" t="s">
        <v>35</v>
      </c>
      <c r="AJ48" s="52" t="s">
        <v>36</v>
      </c>
      <c r="AK48" s="52" t="s">
        <v>37</v>
      </c>
      <c r="AL48" s="52" t="s">
        <v>38</v>
      </c>
      <c r="AM48" s="15"/>
    </row>
    <row r="49" ht="12.75" customHeight="1" spans="2:39" x14ac:dyDescent="0.25">
      <c r="B49" s="16"/>
      <c r="C49" s="17"/>
      <c r="D49" s="17" t="s">
        <v>41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42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43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44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20"/>
      <c r="C53" s="21"/>
      <c r="D53" s="21" t="s">
        <v>45</v>
      </c>
      <c r="E53" s="21"/>
      <c r="F53" s="21"/>
      <c r="G53" s="25">
        <f>G49+G50+G51+G52</f>
      </c>
      <c r="H53" s="25">
        <f>H49+H50+H51+H52</f>
      </c>
      <c r="I53" s="25">
        <f>I49+I50+I51+I52</f>
      </c>
      <c r="J53" s="25">
        <f>J49+J50+J51+J52</f>
      </c>
      <c r="K53" s="25">
        <f>K49+K50+K51+K52</f>
      </c>
      <c r="L53" s="25">
        <f>L49+L50+L51+L52</f>
      </c>
      <c r="M53" s="25">
        <f>M49+M50+M51+M52</f>
      </c>
      <c r="N53" s="25">
        <f>N49+N50+N51+N52</f>
      </c>
      <c r="O53" s="25">
        <f>O49+O50+O51+O52</f>
      </c>
      <c r="P53" s="25">
        <f>P49+P50+P51+P52</f>
      </c>
      <c r="Q53" s="25">
        <f>Q49+Q50+Q51+Q52</f>
      </c>
      <c r="R53" s="25">
        <f>R49+R50+R51+R52</f>
      </c>
      <c r="S53" s="25">
        <f>S49+S50+S51+S52</f>
      </c>
      <c r="T53" s="25">
        <f>T49+T50+T51+T52</f>
      </c>
      <c r="U53" s="25">
        <f>U49+U50+U51+U52</f>
      </c>
      <c r="V53" s="25">
        <f>V49+V50+V51+V52</f>
      </c>
      <c r="W53" s="25">
        <f>W49+W50+W51+W52</f>
      </c>
      <c r="X53" s="25">
        <f>X49+X50+X51+X52</f>
      </c>
      <c r="Y53" s="25">
        <f>Y49+Y50+Y51+Y52</f>
      </c>
      <c r="Z53" s="25">
        <f>Z49+Z50+Z51+Z52</f>
      </c>
      <c r="AA53" s="25">
        <f>AA49+AA50+AA51+AA52</f>
      </c>
      <c r="AB53" s="25">
        <f>AB49+AB50+AB51+AB52</f>
      </c>
      <c r="AC53" s="25">
        <f>AC49+AC50+AC51+AC52</f>
      </c>
      <c r="AD53" s="25">
        <f>AD49+AD50+AD51+AD52</f>
      </c>
      <c r="AE53" s="25">
        <f>AE49+AE50+AE51+AE52</f>
      </c>
      <c r="AF53" s="25">
        <f>AF49+AF50+AF51+AF52</f>
      </c>
      <c r="AG53" s="25">
        <f>AG49+AG50+AG51+AG52</f>
      </c>
      <c r="AH53" s="25">
        <f>AH49+AH50+AH51+AH52</f>
      </c>
      <c r="AI53" s="25">
        <f>AI49+AI50+AI51+AI52</f>
      </c>
      <c r="AJ53" s="25">
        <f>AJ49+AJ50+AJ51+AJ52</f>
      </c>
      <c r="AK53" s="25">
        <f>AK49+AK50+AK51+AK52</f>
      </c>
      <c r="AL53" s="25">
        <f>AL49+AL50+AL51+AL52</f>
      </c>
      <c r="AM5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7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538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539</v>
      </c>
      <c r="E13" s="32"/>
      <c r="F13" s="32"/>
      <c r="G13" s="32"/>
      <c r="H13" s="32"/>
      <c r="I13" s="33">
        <v>25.66</v>
      </c>
      <c r="J13" s="33">
        <v>25.66</v>
      </c>
      <c r="K13" s="33">
        <v>25.66</v>
      </c>
      <c r="L13" s="33">
        <v>25.66</v>
      </c>
      <c r="M13" s="33">
        <v>25.66</v>
      </c>
      <c r="N13" s="33">
        <v>25.66</v>
      </c>
      <c r="O13" s="33">
        <v>25.66</v>
      </c>
      <c r="P13" s="33">
        <v>25.66</v>
      </c>
      <c r="Q13" s="33">
        <v>25.66</v>
      </c>
      <c r="R13" s="33">
        <v>25.66</v>
      </c>
      <c r="S13" s="33">
        <v>25.66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540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>
        <v>26.83</v>
      </c>
      <c r="P14" s="33">
        <v>26.88</v>
      </c>
      <c r="Q14" s="32"/>
      <c r="R14" s="36">
        <f>27.23+27.93</f>
        <v>55.16</v>
      </c>
      <c r="S14" s="33">
        <v>27.93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541</v>
      </c>
      <c r="E15" s="32"/>
      <c r="F15" s="32"/>
      <c r="G15" s="32"/>
      <c r="H15" s="32"/>
      <c r="I15" s="33">
        <v>526.28</v>
      </c>
      <c r="J15" s="33">
        <v>548.44</v>
      </c>
      <c r="K15" s="33">
        <v>591.63</v>
      </c>
      <c r="L15" s="33">
        <v>447.69</v>
      </c>
      <c r="M15" s="33">
        <v>566.79</v>
      </c>
      <c r="N15" s="33">
        <v>370.57</v>
      </c>
      <c r="O15" s="33">
        <v>199.44</v>
      </c>
      <c r="P15" s="33">
        <v>80.38</v>
      </c>
      <c r="Q15" s="33">
        <v>77.07</v>
      </c>
      <c r="R15" s="33">
        <v>28.65</v>
      </c>
      <c r="S15" s="33">
        <v>28.53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542</v>
      </c>
      <c r="E16" s="32"/>
      <c r="F16" s="32"/>
      <c r="G16" s="32"/>
      <c r="H16" s="32"/>
      <c r="I16" s="33">
        <v>1186.14</v>
      </c>
      <c r="J16" s="33">
        <v>1216.98</v>
      </c>
      <c r="K16" s="33">
        <v>1342.46</v>
      </c>
      <c r="L16" s="33">
        <v>989.38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543</v>
      </c>
      <c r="E17" s="32"/>
      <c r="F17" s="32"/>
      <c r="G17" s="32"/>
      <c r="H17" s="33">
        <v>26.15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544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>
        <v>50.74</v>
      </c>
      <c r="P18" s="33">
        <v>61.04</v>
      </c>
      <c r="Q18" s="32"/>
      <c r="R18" s="36">
        <f>116.74+97.92</f>
        <v>214.66</v>
      </c>
      <c r="S18" s="33">
        <v>69.39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545</v>
      </c>
      <c r="E19" s="32"/>
      <c r="F19" s="32"/>
      <c r="G19" s="32"/>
      <c r="H19" s="32"/>
      <c r="I19" s="33">
        <v>1417.69</v>
      </c>
      <c r="J19" s="33">
        <v>1453.78</v>
      </c>
      <c r="K19" s="33">
        <v>2021.69</v>
      </c>
      <c r="L19" s="33">
        <v>1061.81</v>
      </c>
      <c r="M19" s="33">
        <v>1168.67</v>
      </c>
      <c r="N19" s="33">
        <v>972.53</v>
      </c>
      <c r="O19" s="33">
        <v>1080.31</v>
      </c>
      <c r="P19" s="33">
        <v>1047.23</v>
      </c>
      <c r="Q19" s="33">
        <v>877.68</v>
      </c>
      <c r="R19" s="33">
        <v>772.03</v>
      </c>
      <c r="S19" s="33">
        <v>739.06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546</v>
      </c>
      <c r="E20" s="32"/>
      <c r="F20" s="32"/>
      <c r="G20" s="32"/>
      <c r="H20" s="33">
        <v>573.82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547</v>
      </c>
      <c r="E21" s="32"/>
      <c r="F21" s="32"/>
      <c r="G21" s="32"/>
      <c r="H21" s="32"/>
      <c r="I21" s="33">
        <v>620.96</v>
      </c>
      <c r="J21" s="33">
        <v>508.88</v>
      </c>
      <c r="K21" s="33">
        <v>699.77</v>
      </c>
      <c r="L21" s="33">
        <v>399</v>
      </c>
      <c r="M21" s="33">
        <v>358.37</v>
      </c>
      <c r="N21" s="33">
        <v>282.41</v>
      </c>
      <c r="O21" s="33">
        <v>212.48</v>
      </c>
      <c r="P21" s="33">
        <v>177.24</v>
      </c>
      <c r="Q21" s="33">
        <v>332.11</v>
      </c>
      <c r="R21" s="33">
        <v>299.93</v>
      </c>
      <c r="S21" s="33">
        <v>509.13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548</v>
      </c>
      <c r="E22" s="32"/>
      <c r="F22" s="32"/>
      <c r="G22" s="32"/>
      <c r="H22" s="32"/>
      <c r="I22" s="33">
        <v>534.24</v>
      </c>
      <c r="J22" s="33">
        <v>562.01</v>
      </c>
      <c r="K22" s="33">
        <v>737.58</v>
      </c>
      <c r="L22" s="33">
        <v>387.98</v>
      </c>
      <c r="M22" s="33">
        <v>638.15</v>
      </c>
      <c r="N22" s="33">
        <v>497.41</v>
      </c>
      <c r="O22" s="33">
        <v>487.24</v>
      </c>
      <c r="P22" s="33">
        <v>531.28</v>
      </c>
      <c r="Q22" s="33">
        <v>508.09</v>
      </c>
      <c r="R22" s="33">
        <v>471.95</v>
      </c>
      <c r="S22" s="33">
        <v>321.29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549</v>
      </c>
      <c r="E23" s="32"/>
      <c r="F23" s="32"/>
      <c r="G23" s="32"/>
      <c r="H23" s="36">
        <f>126.66+25.66</f>
        <v>152.32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550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>
        <v>91.9</v>
      </c>
      <c r="P24" s="33">
        <v>106.5</v>
      </c>
      <c r="Q24" s="33">
        <v>100.93</v>
      </c>
      <c r="R24" s="33">
        <v>120.97</v>
      </c>
      <c r="S24" s="33">
        <v>208.65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551</v>
      </c>
      <c r="E25" s="32"/>
      <c r="F25" s="32"/>
      <c r="G25" s="32"/>
      <c r="H25" s="32"/>
      <c r="I25" s="33">
        <v>167.02</v>
      </c>
      <c r="J25" s="33">
        <v>141</v>
      </c>
      <c r="K25" s="33">
        <v>171.67</v>
      </c>
      <c r="L25" s="33">
        <v>153.91</v>
      </c>
      <c r="M25" s="33">
        <v>195.01</v>
      </c>
      <c r="N25" s="33">
        <v>201.14</v>
      </c>
      <c r="O25" s="33">
        <v>223.03</v>
      </c>
      <c r="P25" s="33">
        <v>194.21</v>
      </c>
      <c r="Q25" s="33">
        <v>173.15</v>
      </c>
      <c r="R25" s="33">
        <v>152.86</v>
      </c>
      <c r="S25" s="33">
        <v>127.67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552</v>
      </c>
      <c r="E26" s="32"/>
      <c r="F26" s="32"/>
      <c r="G26" s="32"/>
      <c r="H26" s="32"/>
      <c r="I26" s="33">
        <v>1710.96</v>
      </c>
      <c r="J26" s="33">
        <v>1777.19</v>
      </c>
      <c r="K26" s="33">
        <v>2022.01</v>
      </c>
      <c r="L26" s="33">
        <v>1732.1</v>
      </c>
      <c r="M26" s="33">
        <v>1500.13</v>
      </c>
      <c r="N26" s="33">
        <v>1292.03</v>
      </c>
      <c r="O26" s="33">
        <v>1401.34</v>
      </c>
      <c r="P26" s="33">
        <v>1067.76</v>
      </c>
      <c r="Q26" s="33">
        <v>920.56</v>
      </c>
      <c r="R26" s="33">
        <v>872.42</v>
      </c>
      <c r="S26" s="33">
        <v>740.12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553</v>
      </c>
      <c r="E27" s="32"/>
      <c r="F27" s="32"/>
      <c r="G27" s="32"/>
      <c r="H27" s="32"/>
      <c r="I27" s="33">
        <v>655.89</v>
      </c>
      <c r="J27" s="33">
        <v>632.96</v>
      </c>
      <c r="K27" s="33">
        <v>793.98</v>
      </c>
      <c r="L27" s="33">
        <v>576.75</v>
      </c>
      <c r="M27" s="33">
        <v>244.53</v>
      </c>
      <c r="N27" s="33">
        <v>157.63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554</v>
      </c>
      <c r="E28" s="32"/>
      <c r="F28" s="32"/>
      <c r="G28" s="32"/>
      <c r="H28" s="32"/>
      <c r="I28" s="33">
        <v>76.11</v>
      </c>
      <c r="J28" s="33">
        <v>76.5</v>
      </c>
      <c r="K28" s="33">
        <v>76.5</v>
      </c>
      <c r="L28" s="33">
        <v>72.15</v>
      </c>
      <c r="M28" s="33">
        <v>70.14</v>
      </c>
      <c r="N28" s="33">
        <v>70.14</v>
      </c>
      <c r="O28" s="33">
        <v>70.14</v>
      </c>
      <c r="P28" s="33">
        <v>68.45</v>
      </c>
      <c r="Q28" s="33">
        <v>70.14</v>
      </c>
      <c r="R28" s="33">
        <v>70.14</v>
      </c>
      <c r="S28" s="33">
        <v>70.14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555</v>
      </c>
      <c r="E29" s="32"/>
      <c r="F29" s="32"/>
      <c r="G29" s="32"/>
      <c r="H29" s="32"/>
      <c r="I29" s="33">
        <v>751.98</v>
      </c>
      <c r="J29" s="33">
        <v>646.06</v>
      </c>
      <c r="K29" s="33">
        <v>795.83</v>
      </c>
      <c r="L29" s="33">
        <v>722.17</v>
      </c>
      <c r="M29" s="33">
        <v>1148.36</v>
      </c>
      <c r="N29" s="33">
        <v>1004.98</v>
      </c>
      <c r="O29" s="33">
        <v>1257.73</v>
      </c>
      <c r="P29" s="33">
        <v>1106.13</v>
      </c>
      <c r="Q29" s="33">
        <v>922.67</v>
      </c>
      <c r="R29" s="33">
        <v>668.23</v>
      </c>
      <c r="S29" s="33">
        <v>387.79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556</v>
      </c>
      <c r="E30" s="32"/>
      <c r="F30" s="32"/>
      <c r="G30" s="32"/>
      <c r="H30" s="33">
        <v>54.77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557</v>
      </c>
      <c r="E31" s="32"/>
      <c r="F31" s="32"/>
      <c r="G31" s="32"/>
      <c r="H31" s="32"/>
      <c r="I31" s="33">
        <v>703.58</v>
      </c>
      <c r="J31" s="33">
        <v>550.88</v>
      </c>
      <c r="K31" s="33">
        <v>667.08</v>
      </c>
      <c r="L31" s="33">
        <v>412.63</v>
      </c>
      <c r="M31" s="33">
        <v>573.84</v>
      </c>
      <c r="N31" s="33">
        <v>480.43</v>
      </c>
      <c r="O31" s="33">
        <v>402.76</v>
      </c>
      <c r="P31" s="33">
        <v>286.62</v>
      </c>
      <c r="Q31" s="33">
        <v>260.01</v>
      </c>
      <c r="R31" s="33">
        <v>277.2</v>
      </c>
      <c r="S31" s="33">
        <v>272.92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558</v>
      </c>
      <c r="E32" s="32"/>
      <c r="F32" s="32"/>
      <c r="G32" s="32"/>
      <c r="H32" s="33">
        <v>27.7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559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>
        <v>28.29</v>
      </c>
      <c r="P33" s="33">
        <v>27.46</v>
      </c>
      <c r="Q33" s="32"/>
      <c r="R33" s="36">
        <f>28.80+54.91</f>
        <v>83.71</v>
      </c>
      <c r="S33" s="33">
        <v>149.69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560</v>
      </c>
      <c r="E34" s="32"/>
      <c r="F34" s="32"/>
      <c r="G34" s="32"/>
      <c r="H34" s="33">
        <v>372.84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561</v>
      </c>
      <c r="E35" s="32"/>
      <c r="F35" s="32"/>
      <c r="G35" s="32"/>
      <c r="H35" s="32"/>
      <c r="I35" s="33">
        <v>624.77</v>
      </c>
      <c r="J35" s="33">
        <v>637.71</v>
      </c>
      <c r="K35" s="33">
        <v>623.22</v>
      </c>
      <c r="L35" s="33">
        <v>583.42</v>
      </c>
      <c r="M35" s="33">
        <v>396.09</v>
      </c>
      <c r="N35" s="33">
        <v>370.09</v>
      </c>
      <c r="O35" s="33">
        <v>483.02</v>
      </c>
      <c r="P35" s="33">
        <v>549.63</v>
      </c>
      <c r="Q35" s="33">
        <v>440.54</v>
      </c>
      <c r="R35" s="33">
        <v>347.67</v>
      </c>
      <c r="S35" s="33">
        <v>358.37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562</v>
      </c>
      <c r="E36" s="32"/>
      <c r="F36" s="32"/>
      <c r="G36" s="32"/>
      <c r="H36" s="32"/>
      <c r="I36" s="33">
        <v>40.88</v>
      </c>
      <c r="J36" s="33">
        <v>37.69</v>
      </c>
      <c r="K36" s="33">
        <v>81.43</v>
      </c>
      <c r="L36" s="33">
        <v>97.41</v>
      </c>
      <c r="M36" s="33">
        <v>201.52</v>
      </c>
      <c r="N36" s="33">
        <v>180.4</v>
      </c>
      <c r="O36" s="36">
        <f>195.52+0.00</f>
        <v>195.52</v>
      </c>
      <c r="P36" s="33">
        <v>115.62</v>
      </c>
      <c r="Q36" s="33">
        <v>115.76</v>
      </c>
      <c r="R36" s="33">
        <v>114.53</v>
      </c>
      <c r="S36" s="33">
        <v>96.71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563</v>
      </c>
      <c r="E37" s="36">
        <f>0.00+0.00+0.00</f>
        <v>0</v>
      </c>
      <c r="F37" s="32"/>
      <c r="G37" s="32"/>
      <c r="H37" s="32"/>
      <c r="I37" s="32"/>
      <c r="J37" s="32"/>
      <c r="K37" s="32"/>
      <c r="L37" s="32"/>
      <c r="M37" s="36">
        <f>602.29+0.00</f>
        <v>602.29</v>
      </c>
      <c r="N37" s="33">
        <v>839.53</v>
      </c>
      <c r="O37" s="33">
        <v>814.32</v>
      </c>
      <c r="P37" s="36">
        <f>0.00+724.91</f>
        <v>724.91</v>
      </c>
      <c r="Q37" s="33">
        <v>865.18</v>
      </c>
      <c r="R37" s="33">
        <v>793.52</v>
      </c>
      <c r="S37" s="33">
        <v>674.3</v>
      </c>
      <c r="T37" s="33">
        <v>0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7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40"/>
    </row>
    <row r="39" ht="12.75" customHeight="1" spans="2:37" x14ac:dyDescent="0.25">
      <c r="B39" s="20" t="s">
        <v>85</v>
      </c>
      <c r="C39" s="21"/>
      <c r="D39" s="21"/>
      <c r="E39" s="22">
        <f>SUM(E13:E37)</f>
      </c>
      <c r="F39" s="22">
        <f>SUM(F13:F37)</f>
      </c>
      <c r="G39" s="22">
        <f>SUM(G13:G37)</f>
      </c>
      <c r="H39" s="22">
        <f>SUM(H13:H37)</f>
      </c>
      <c r="I39" s="22">
        <f>SUM(I13:I37)</f>
      </c>
      <c r="J39" s="22">
        <f>SUM(J13:J37)</f>
      </c>
      <c r="K39" s="22">
        <f>SUM(K13:K37)</f>
      </c>
      <c r="L39" s="22">
        <f>SUM(L13:L37)</f>
      </c>
      <c r="M39" s="22">
        <f>SUM(M13:M37)</f>
      </c>
      <c r="N39" s="22">
        <f>SUM(N13:N37)</f>
      </c>
      <c r="O39" s="22">
        <f>SUM(O13:O37)</f>
      </c>
      <c r="P39" s="22">
        <f>SUM(P13:P37)</f>
      </c>
      <c r="Q39" s="22">
        <f>SUM(Q13:Q37)</f>
      </c>
      <c r="R39" s="22">
        <f>SUM(R13:R37)</f>
      </c>
      <c r="S39" s="22">
        <f>SUM(S13:S37)</f>
      </c>
      <c r="T39" s="22">
        <f>SUM(T13:T37)</f>
      </c>
      <c r="U39" s="22">
        <f>SUM(U13:U37)</f>
      </c>
      <c r="V39" s="22">
        <f>SUM(V13:V37)</f>
      </c>
      <c r="W39" s="22">
        <f>SUM(W13:W37)</f>
      </c>
      <c r="X39" s="22">
        <f>SUM(X13:X37)</f>
      </c>
      <c r="Y39" s="22">
        <f>SUM(Y13:Y37)</f>
      </c>
      <c r="Z39" s="22">
        <f>SUM(Z13:Z37)</f>
      </c>
      <c r="AA39" s="22">
        <f>SUM(AA13:AA37)</f>
      </c>
      <c r="AB39" s="22">
        <f>SUM(AB13:AB37)</f>
      </c>
      <c r="AC39" s="22">
        <f>SUM(AC13:AC37)</f>
      </c>
      <c r="AD39" s="22">
        <f>SUM(AD13:AD37)</f>
      </c>
      <c r="AE39" s="22">
        <f>SUM(AE13:AE37)</f>
      </c>
      <c r="AF39" s="22">
        <f>SUM(AF13:AF37)</f>
      </c>
      <c r="AG39" s="22">
        <f>SUM(AG13:AG37)</f>
      </c>
      <c r="AH39" s="22">
        <f>SUM(AH13:AH37)</f>
      </c>
      <c r="AI39" s="22">
        <f>SUM(AI13:AI37)</f>
      </c>
      <c r="AJ39" s="22">
        <f>SUM(AJ13:AJ37)</f>
      </c>
      <c r="AK39" s="23"/>
    </row>
    <row r="41" ht="12.75" customHeight="1" spans="2:37" x14ac:dyDescent="0.25">
      <c r="B41" s="26" t="s">
        <v>43</v>
      </c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9"/>
    </row>
    <row r="42" ht="12.75" customHeight="1" spans="2:37" x14ac:dyDescent="0.25">
      <c r="B42" s="30" t="s">
        <v>43</v>
      </c>
      <c r="C42" s="31" t="s">
        <v>3</v>
      </c>
      <c r="D42" s="32" t="s">
        <v>564</v>
      </c>
      <c r="E42" s="32"/>
      <c r="F42" s="32"/>
      <c r="G42" s="32"/>
      <c r="H42" s="36">
        <f>3304.19+6301.65</f>
        <v>9605.84</v>
      </c>
      <c r="I42" s="36">
        <f>3579.07+6771.15</f>
        <v>10350.22</v>
      </c>
      <c r="J42" s="36">
        <f>3682.43+7031.15</f>
        <v>10713.58</v>
      </c>
      <c r="K42" s="36">
        <f>3934.37+7664.90</f>
        <v>11599.27</v>
      </c>
      <c r="L42" s="36">
        <f>4703.11+9598.65</f>
        <v>14301.759999999998</v>
      </c>
      <c r="M42" s="36">
        <f>3869.77+7502.40</f>
        <v>11372.17</v>
      </c>
      <c r="N42" s="36">
        <f>3656.59+6966.15</f>
        <v>10622.74</v>
      </c>
      <c r="O42" s="36">
        <f>2803.87+4821.15</f>
        <v>7625.0199999999995</v>
      </c>
      <c r="P42" s="36">
        <f>3346.51+6186.15</f>
        <v>9532.66</v>
      </c>
      <c r="Q42" s="36">
        <f>2390.43+3781.15</f>
        <v>6171.58</v>
      </c>
      <c r="R42" s="36">
        <f>2686.18+4240.29</f>
        <v>6926.469999999999</v>
      </c>
      <c r="S42" s="36">
        <f>2804.16+4528.95</f>
        <v>7333.11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7"/>
      <c r="C43" s="38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40"/>
    </row>
    <row r="44" ht="12.75" customHeight="1" spans="2:37" x14ac:dyDescent="0.25">
      <c r="B44" s="20" t="s">
        <v>89</v>
      </c>
      <c r="C44" s="21"/>
      <c r="D44" s="21"/>
      <c r="E44" s="22">
        <f>SUM(E42:E42)</f>
      </c>
      <c r="F44" s="22">
        <f>SUM(F42:F42)</f>
      </c>
      <c r="G44" s="22">
        <f>SUM(G42:G42)</f>
      </c>
      <c r="H44" s="22">
        <f>SUM(H42:H42)</f>
      </c>
      <c r="I44" s="22">
        <f>SUM(I42:I42)</f>
      </c>
      <c r="J44" s="22">
        <f>SUM(J42:J42)</f>
      </c>
      <c r="K44" s="22">
        <f>SUM(K42:K42)</f>
      </c>
      <c r="L44" s="22">
        <f>SUM(L42:L42)</f>
      </c>
      <c r="M44" s="22">
        <f>SUM(M42:M42)</f>
      </c>
      <c r="N44" s="22">
        <f>SUM(N42:N42)</f>
      </c>
      <c r="O44" s="22">
        <f>SUM(O42:O42)</f>
      </c>
      <c r="P44" s="22">
        <f>SUM(P42:P42)</f>
      </c>
      <c r="Q44" s="22">
        <f>SUM(Q42:Q42)</f>
      </c>
      <c r="R44" s="22">
        <f>SUM(R42:R42)</f>
      </c>
      <c r="S44" s="22">
        <f>SUM(S42:S42)</f>
      </c>
      <c r="T44" s="22">
        <f>SUM(T42:T42)</f>
      </c>
      <c r="U44" s="22">
        <f>SUM(U42:U42)</f>
      </c>
      <c r="V44" s="22">
        <f>SUM(V42:V42)</f>
      </c>
      <c r="W44" s="22">
        <f>SUM(W42:W42)</f>
      </c>
      <c r="X44" s="22">
        <f>SUM(X42:X42)</f>
      </c>
      <c r="Y44" s="22">
        <f>SUM(Y42:Y42)</f>
      </c>
      <c r="Z44" s="22">
        <f>SUM(Z42:Z42)</f>
      </c>
      <c r="AA44" s="22">
        <f>SUM(AA42:AA42)</f>
      </c>
      <c r="AB44" s="22">
        <f>SUM(AB42:AB42)</f>
      </c>
      <c r="AC44" s="22">
        <f>SUM(AC42:AC42)</f>
      </c>
      <c r="AD44" s="22">
        <f>SUM(AD42:AD42)</f>
      </c>
      <c r="AE44" s="22">
        <f>SUM(AE42:AE42)</f>
      </c>
      <c r="AF44" s="22">
        <f>SUM(AF42:AF42)</f>
      </c>
      <c r="AG44" s="22">
        <f>SUM(AG42:AG42)</f>
      </c>
      <c r="AH44" s="22">
        <f>SUM(AH42:AH42)</f>
      </c>
      <c r="AI44" s="22">
        <f>SUM(AI42:AI42)</f>
      </c>
      <c r="AJ44" s="22">
        <f>SUM(AJ42:AJ42)</f>
      </c>
      <c r="AK44" s="23"/>
    </row>
    <row r="46" ht="12.75" customHeight="1" spans="2:37" x14ac:dyDescent="0.25">
      <c r="B46" s="26" t="s">
        <v>44</v>
      </c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9"/>
    </row>
    <row r="47" ht="12.75" customHeight="1" spans="2:37" x14ac:dyDescent="0.25">
      <c r="B47" s="37"/>
      <c r="C47" s="38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40"/>
    </row>
    <row r="48" ht="12.75" customHeight="1" spans="2:37" x14ac:dyDescent="0.25">
      <c r="B48" s="20" t="s">
        <v>90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3"/>
    </row>
    <row r="51" ht="12.75" customHeight="1" spans="2:37" x14ac:dyDescent="0.25">
      <c r="B51" s="11" t="s">
        <v>40</v>
      </c>
      <c r="C51" s="12"/>
      <c r="D51" s="13"/>
      <c r="E51" s="14" t="s">
        <v>7</v>
      </c>
      <c r="F51" s="14" t="s">
        <v>8</v>
      </c>
      <c r="G51" s="14" t="s">
        <v>9</v>
      </c>
      <c r="H51" s="14" t="s">
        <v>10</v>
      </c>
      <c r="I51" s="14" t="s">
        <v>11</v>
      </c>
      <c r="J51" s="14" t="s">
        <v>12</v>
      </c>
      <c r="K51" s="14" t="s">
        <v>13</v>
      </c>
      <c r="L51" s="14" t="s">
        <v>14</v>
      </c>
      <c r="M51" s="14" t="s">
        <v>15</v>
      </c>
      <c r="N51" s="14" t="s">
        <v>16</v>
      </c>
      <c r="O51" s="14" t="s">
        <v>17</v>
      </c>
      <c r="P51" s="14" t="s">
        <v>18</v>
      </c>
      <c r="Q51" s="14" t="s">
        <v>19</v>
      </c>
      <c r="R51" s="14" t="s">
        <v>20</v>
      </c>
      <c r="S51" s="14" t="s">
        <v>21</v>
      </c>
      <c r="T51" s="14" t="s">
        <v>22</v>
      </c>
      <c r="U51" s="14" t="s">
        <v>23</v>
      </c>
      <c r="V51" s="14" t="s">
        <v>24</v>
      </c>
      <c r="W51" s="14" t="s">
        <v>25</v>
      </c>
      <c r="X51" s="14" t="s">
        <v>26</v>
      </c>
      <c r="Y51" s="14" t="s">
        <v>27</v>
      </c>
      <c r="Z51" s="14" t="s">
        <v>28</v>
      </c>
      <c r="AA51" s="14" t="s">
        <v>29</v>
      </c>
      <c r="AB51" s="14" t="s">
        <v>30</v>
      </c>
      <c r="AC51" s="14" t="s">
        <v>31</v>
      </c>
      <c r="AD51" s="14" t="s">
        <v>32</v>
      </c>
      <c r="AE51" s="14" t="s">
        <v>33</v>
      </c>
      <c r="AF51" s="14" t="s">
        <v>34</v>
      </c>
      <c r="AG51" s="14" t="s">
        <v>35</v>
      </c>
      <c r="AH51" s="14" t="s">
        <v>36</v>
      </c>
      <c r="AI51" s="14" t="s">
        <v>37</v>
      </c>
      <c r="AJ51" s="14" t="s">
        <v>38</v>
      </c>
      <c r="AK51" s="15"/>
    </row>
    <row r="52" ht="12.75" customHeight="1" spans="2:37" x14ac:dyDescent="0.25">
      <c r="B52" s="16" t="s">
        <v>41</v>
      </c>
      <c r="C52" s="17"/>
      <c r="D52" s="17"/>
      <c r="E52" s="18">
        <f>E10</f>
      </c>
      <c r="F52" s="18">
        <f>F10</f>
      </c>
      <c r="G52" s="18">
        <f>G10</f>
      </c>
      <c r="H52" s="18">
        <f>H10</f>
      </c>
      <c r="I52" s="18">
        <f>I10</f>
      </c>
      <c r="J52" s="18">
        <f>J10</f>
      </c>
      <c r="K52" s="18">
        <f>K10</f>
      </c>
      <c r="L52" s="18">
        <f>L10</f>
      </c>
      <c r="M52" s="18">
        <f>M10</f>
      </c>
      <c r="N52" s="18">
        <f>N10</f>
      </c>
      <c r="O52" s="18">
        <f>O10</f>
      </c>
      <c r="P52" s="18">
        <f>P10</f>
      </c>
      <c r="Q52" s="18">
        <f>Q10</f>
      </c>
      <c r="R52" s="18">
        <f>R10</f>
      </c>
      <c r="S52" s="18">
        <f>S10</f>
      </c>
      <c r="T52" s="18">
        <f>T10</f>
      </c>
      <c r="U52" s="18">
        <f>U10</f>
      </c>
      <c r="V52" s="18">
        <f>V10</f>
      </c>
      <c r="W52" s="18">
        <f>W10</f>
      </c>
      <c r="X52" s="18">
        <f>X10</f>
      </c>
      <c r="Y52" s="18">
        <f>Y10</f>
      </c>
      <c r="Z52" s="18">
        <f>Z10</f>
      </c>
      <c r="AA52" s="18">
        <f>AA10</f>
      </c>
      <c r="AB52" s="18">
        <f>AB10</f>
      </c>
      <c r="AC52" s="18">
        <f>AC10</f>
      </c>
      <c r="AD52" s="18">
        <f>AD10</f>
      </c>
      <c r="AE52" s="18">
        <f>AE10</f>
      </c>
      <c r="AF52" s="18">
        <f>AF10</f>
      </c>
      <c r="AG52" s="18">
        <f>AG10</f>
      </c>
      <c r="AH52" s="18">
        <f>AH10</f>
      </c>
      <c r="AI52" s="18">
        <f>AI10</f>
      </c>
      <c r="AJ52" s="18">
        <f>AJ10</f>
      </c>
      <c r="AK52" s="19"/>
    </row>
    <row r="53" ht="12.75" customHeight="1" spans="2:37" x14ac:dyDescent="0.25">
      <c r="B53" s="16" t="s">
        <v>42</v>
      </c>
      <c r="C53" s="17"/>
      <c r="D53" s="17"/>
      <c r="E53" s="18">
        <f>E39</f>
      </c>
      <c r="F53" s="18">
        <f>F39</f>
      </c>
      <c r="G53" s="18">
        <f>G39</f>
      </c>
      <c r="H53" s="18">
        <f>H39</f>
      </c>
      <c r="I53" s="18">
        <f>I39</f>
      </c>
      <c r="J53" s="18">
        <f>J39</f>
      </c>
      <c r="K53" s="18">
        <f>K39</f>
      </c>
      <c r="L53" s="18">
        <f>L39</f>
      </c>
      <c r="M53" s="18">
        <f>M39</f>
      </c>
      <c r="N53" s="18">
        <f>N39</f>
      </c>
      <c r="O53" s="18">
        <f>O39</f>
      </c>
      <c r="P53" s="18">
        <f>P39</f>
      </c>
      <c r="Q53" s="18">
        <f>Q39</f>
      </c>
      <c r="R53" s="18">
        <f>R39</f>
      </c>
      <c r="S53" s="18">
        <f>S39</f>
      </c>
      <c r="T53" s="18">
        <f>T39</f>
      </c>
      <c r="U53" s="18">
        <f>U39</f>
      </c>
      <c r="V53" s="18">
        <f>V39</f>
      </c>
      <c r="W53" s="18">
        <f>W39</f>
      </c>
      <c r="X53" s="18">
        <f>X39</f>
      </c>
      <c r="Y53" s="18">
        <f>Y39</f>
      </c>
      <c r="Z53" s="18">
        <f>Z39</f>
      </c>
      <c r="AA53" s="18">
        <f>AA39</f>
      </c>
      <c r="AB53" s="18">
        <f>AB39</f>
      </c>
      <c r="AC53" s="18">
        <f>AC39</f>
      </c>
      <c r="AD53" s="18">
        <f>AD39</f>
      </c>
      <c r="AE53" s="18">
        <f>AE39</f>
      </c>
      <c r="AF53" s="18">
        <f>AF39</f>
      </c>
      <c r="AG53" s="18">
        <f>AG39</f>
      </c>
      <c r="AH53" s="18">
        <f>AH39</f>
      </c>
      <c r="AI53" s="18">
        <f>AI39</f>
      </c>
      <c r="AJ53" s="18">
        <f>AJ39</f>
      </c>
      <c r="AK53" s="19"/>
    </row>
    <row r="54" ht="12.75" customHeight="1" spans="2:37" x14ac:dyDescent="0.25">
      <c r="B54" s="16" t="s">
        <v>43</v>
      </c>
      <c r="C54" s="17"/>
      <c r="D54" s="17"/>
      <c r="E54" s="18">
        <f>E44</f>
      </c>
      <c r="F54" s="18">
        <f>F44</f>
      </c>
      <c r="G54" s="18">
        <f>G44</f>
      </c>
      <c r="H54" s="18">
        <f>H44</f>
      </c>
      <c r="I54" s="18">
        <f>I44</f>
      </c>
      <c r="J54" s="18">
        <f>J44</f>
      </c>
      <c r="K54" s="18">
        <f>K44</f>
      </c>
      <c r="L54" s="18">
        <f>L44</f>
      </c>
      <c r="M54" s="18">
        <f>M44</f>
      </c>
      <c r="N54" s="18">
        <f>N44</f>
      </c>
      <c r="O54" s="18">
        <f>O44</f>
      </c>
      <c r="P54" s="18">
        <f>P44</f>
      </c>
      <c r="Q54" s="18">
        <f>Q44</f>
      </c>
      <c r="R54" s="18">
        <f>R44</f>
      </c>
      <c r="S54" s="18">
        <f>S44</f>
      </c>
      <c r="T54" s="18">
        <f>T44</f>
      </c>
      <c r="U54" s="18">
        <f>U44</f>
      </c>
      <c r="V54" s="18">
        <f>V44</f>
      </c>
      <c r="W54" s="18">
        <f>W44</f>
      </c>
      <c r="X54" s="18">
        <f>X44</f>
      </c>
      <c r="Y54" s="18">
        <f>Y44</f>
      </c>
      <c r="Z54" s="18">
        <f>Z44</f>
      </c>
      <c r="AA54" s="18">
        <f>AA44</f>
      </c>
      <c r="AB54" s="18">
        <f>AB44</f>
      </c>
      <c r="AC54" s="18">
        <f>AC44</f>
      </c>
      <c r="AD54" s="18">
        <f>AD44</f>
      </c>
      <c r="AE54" s="18">
        <f>AE44</f>
      </c>
      <c r="AF54" s="18">
        <f>AF44</f>
      </c>
      <c r="AG54" s="18">
        <f>AG44</f>
      </c>
      <c r="AH54" s="18">
        <f>AH44</f>
      </c>
      <c r="AI54" s="18">
        <f>AI44</f>
      </c>
      <c r="AJ54" s="18">
        <f>AJ44</f>
      </c>
      <c r="AK54" s="19"/>
    </row>
    <row r="55" ht="12.75" customHeight="1" spans="2:37" x14ac:dyDescent="0.25">
      <c r="B55" s="16" t="s">
        <v>44</v>
      </c>
      <c r="C55" s="17"/>
      <c r="D55" s="17"/>
      <c r="E55" s="18">
        <f>E48</f>
      </c>
      <c r="F55" s="18">
        <f>F48</f>
      </c>
      <c r="G55" s="18">
        <f>G48</f>
      </c>
      <c r="H55" s="18">
        <f>H48</f>
      </c>
      <c r="I55" s="18">
        <f>I48</f>
      </c>
      <c r="J55" s="18">
        <f>J48</f>
      </c>
      <c r="K55" s="18">
        <f>K48</f>
      </c>
      <c r="L55" s="18">
        <f>L48</f>
      </c>
      <c r="M55" s="18">
        <f>M48</f>
      </c>
      <c r="N55" s="18">
        <f>N48</f>
      </c>
      <c r="O55" s="18">
        <f>O48</f>
      </c>
      <c r="P55" s="18">
        <f>P48</f>
      </c>
      <c r="Q55" s="18">
        <f>Q48</f>
      </c>
      <c r="R55" s="18">
        <f>R48</f>
      </c>
      <c r="S55" s="18">
        <f>S48</f>
      </c>
      <c r="T55" s="18">
        <f>T48</f>
      </c>
      <c r="U55" s="18">
        <f>U48</f>
      </c>
      <c r="V55" s="18">
        <f>V48</f>
      </c>
      <c r="W55" s="18">
        <f>W48</f>
      </c>
      <c r="X55" s="18">
        <f>X48</f>
      </c>
      <c r="Y55" s="18">
        <f>Y48</f>
      </c>
      <c r="Z55" s="18">
        <f>Z48</f>
      </c>
      <c r="AA55" s="18">
        <f>AA48</f>
      </c>
      <c r="AB55" s="18">
        <f>AB48</f>
      </c>
      <c r="AC55" s="18">
        <f>AC48</f>
      </c>
      <c r="AD55" s="18">
        <f>AD48</f>
      </c>
      <c r="AE55" s="18">
        <f>AE48</f>
      </c>
      <c r="AF55" s="18">
        <f>AF48</f>
      </c>
      <c r="AG55" s="18">
        <f>AG48</f>
      </c>
      <c r="AH55" s="18">
        <f>AH48</f>
      </c>
      <c r="AI55" s="18">
        <f>AI48</f>
      </c>
      <c r="AJ55" s="18">
        <f>AJ48</f>
      </c>
      <c r="AK55" s="19"/>
    </row>
    <row r="56" ht="12.75" customHeight="1" spans="2:37" x14ac:dyDescent="0.25">
      <c r="B56" s="20" t="s">
        <v>45</v>
      </c>
      <c r="C56" s="21"/>
      <c r="D56" s="21"/>
      <c r="E56" s="22">
        <f>E52+E53+E54+E55</f>
      </c>
      <c r="F56" s="22">
        <f>F52+F53+F54+F55</f>
      </c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3"/>
    </row>
    <row r="58" ht="12.75" customHeight="1" spans="2:37" x14ac:dyDescent="0.25">
      <c r="B58" s="11" t="s">
        <v>46</v>
      </c>
      <c r="C58" s="12"/>
      <c r="D58" s="13"/>
      <c r="E58" s="14" t="s">
        <v>7</v>
      </c>
      <c r="F58" s="14" t="s">
        <v>8</v>
      </c>
      <c r="G58" s="14" t="s">
        <v>9</v>
      </c>
      <c r="H58" s="14" t="s">
        <v>10</v>
      </c>
      <c r="I58" s="14" t="s">
        <v>11</v>
      </c>
      <c r="J58" s="14" t="s">
        <v>12</v>
      </c>
      <c r="K58" s="14" t="s">
        <v>13</v>
      </c>
      <c r="L58" s="14" t="s">
        <v>14</v>
      </c>
      <c r="M58" s="14" t="s">
        <v>15</v>
      </c>
      <c r="N58" s="14" t="s">
        <v>16</v>
      </c>
      <c r="O58" s="14" t="s">
        <v>17</v>
      </c>
      <c r="P58" s="14" t="s">
        <v>18</v>
      </c>
      <c r="Q58" s="14" t="s">
        <v>19</v>
      </c>
      <c r="R58" s="14" t="s">
        <v>20</v>
      </c>
      <c r="S58" s="14" t="s">
        <v>21</v>
      </c>
      <c r="T58" s="14" t="s">
        <v>22</v>
      </c>
      <c r="U58" s="14" t="s">
        <v>23</v>
      </c>
      <c r="V58" s="14" t="s">
        <v>24</v>
      </c>
      <c r="W58" s="14" t="s">
        <v>25</v>
      </c>
      <c r="X58" s="14" t="s">
        <v>26</v>
      </c>
      <c r="Y58" s="14" t="s">
        <v>27</v>
      </c>
      <c r="Z58" s="14" t="s">
        <v>28</v>
      </c>
      <c r="AA58" s="14" t="s">
        <v>29</v>
      </c>
      <c r="AB58" s="14" t="s">
        <v>30</v>
      </c>
      <c r="AC58" s="14" t="s">
        <v>31</v>
      </c>
      <c r="AD58" s="14" t="s">
        <v>32</v>
      </c>
      <c r="AE58" s="14" t="s">
        <v>33</v>
      </c>
      <c r="AF58" s="14" t="s">
        <v>34</v>
      </c>
      <c r="AG58" s="14" t="s">
        <v>35</v>
      </c>
      <c r="AH58" s="14" t="s">
        <v>36</v>
      </c>
      <c r="AI58" s="14" t="s">
        <v>37</v>
      </c>
      <c r="AJ58" s="14" t="s">
        <v>38</v>
      </c>
      <c r="AK58" s="15"/>
    </row>
    <row r="59" ht="12.75" customHeight="1" spans="2:37" x14ac:dyDescent="0.25">
      <c r="B59" s="16" t="s">
        <v>41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</row>
    <row r="60" ht="12.75" customHeight="1" spans="2:37" x14ac:dyDescent="0.25">
      <c r="B60" s="16" t="s">
        <v>42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</row>
    <row r="61" ht="12.75" customHeight="1" spans="2:37" x14ac:dyDescent="0.25">
      <c r="B61" s="16" t="s">
        <v>43</v>
      </c>
      <c r="C61" s="17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9"/>
    </row>
    <row r="62" ht="12.75" customHeight="1" spans="2:37" x14ac:dyDescent="0.25">
      <c r="B62" s="16" t="s">
        <v>44</v>
      </c>
      <c r="C62" s="17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9"/>
    </row>
    <row r="63" ht="12.75" customHeight="1" spans="2:37" x14ac:dyDescent="0.25">
      <c r="B63" s="20" t="s">
        <v>45</v>
      </c>
      <c r="C63" s="21"/>
      <c r="D63" s="21"/>
      <c r="E63" s="22">
        <f>E59+E60+E61+E62</f>
      </c>
      <c r="F63" s="22">
        <f>F59+F60+F61+F62</f>
      </c>
      <c r="G63" s="22">
        <f>G59+G60+G61+G62</f>
      </c>
      <c r="H63" s="22">
        <f>H59+H60+H61+H62</f>
      </c>
      <c r="I63" s="22">
        <f>I59+I60+I61+I62</f>
      </c>
      <c r="J63" s="22">
        <f>J59+J60+J61+J62</f>
      </c>
      <c r="K63" s="22">
        <f>K59+K60+K61+K62</f>
      </c>
      <c r="L63" s="22">
        <f>L59+L60+L61+L62</f>
      </c>
      <c r="M63" s="22">
        <f>M59+M60+M61+M62</f>
      </c>
      <c r="N63" s="22">
        <f>N59+N60+N61+N62</f>
      </c>
      <c r="O63" s="22">
        <f>O59+O60+O61+O62</f>
      </c>
      <c r="P63" s="22">
        <f>P59+P60+P61+P62</f>
      </c>
      <c r="Q63" s="22">
        <f>Q59+Q60+Q61+Q62</f>
      </c>
      <c r="R63" s="22">
        <f>R59+R60+R61+R62</f>
      </c>
      <c r="S63" s="22">
        <f>S59+S60+S61+S62</f>
      </c>
      <c r="T63" s="22">
        <f>T59+T60+T61+T62</f>
      </c>
      <c r="U63" s="22">
        <f>U59+U60+U61+U62</f>
      </c>
      <c r="V63" s="22">
        <f>V59+V60+V61+V62</f>
      </c>
      <c r="W63" s="22">
        <f>W59+W60+W61+W62</f>
      </c>
      <c r="X63" s="22">
        <f>X59+X60+X61+X62</f>
      </c>
      <c r="Y63" s="22">
        <f>Y59+Y60+Y61+Y62</f>
      </c>
      <c r="Z63" s="22">
        <f>Z59+Z60+Z61+Z62</f>
      </c>
      <c r="AA63" s="22">
        <f>AA59+AA60+AA61+AA62</f>
      </c>
      <c r="AB63" s="22">
        <f>AB59+AB60+AB61+AB62</f>
      </c>
      <c r="AC63" s="22">
        <f>AC59+AC60+AC61+AC62</f>
      </c>
      <c r="AD63" s="22">
        <f>AD59+AD60+AD61+AD62</f>
      </c>
      <c r="AE63" s="22">
        <f>AE59+AE60+AE61+AE62</f>
      </c>
      <c r="AF63" s="22">
        <f>AF59+AF60+AF61+AF62</f>
      </c>
      <c r="AG63" s="22">
        <f>AG59+AG60+AG61+AG62</f>
      </c>
      <c r="AH63" s="22">
        <f>AH59+AH60+AH61+AH62</f>
      </c>
      <c r="AI63" s="22">
        <f>AI59+AI60+AI61+AI62</f>
      </c>
      <c r="AJ63" s="22">
        <f>AJ59+AJ60+AJ61+AJ62</f>
      </c>
      <c r="AK63" s="23"/>
    </row>
    <row r="65" ht="12.75" customHeight="1" spans="2:37" x14ac:dyDescent="0.25">
      <c r="B65" s="11" t="s">
        <v>47</v>
      </c>
      <c r="C65" s="12"/>
      <c r="D65" s="13"/>
      <c r="E65" s="14" t="s">
        <v>7</v>
      </c>
      <c r="F65" s="14" t="s">
        <v>8</v>
      </c>
      <c r="G65" s="14" t="s">
        <v>9</v>
      </c>
      <c r="H65" s="14" t="s">
        <v>10</v>
      </c>
      <c r="I65" s="14" t="s">
        <v>11</v>
      </c>
      <c r="J65" s="14" t="s">
        <v>12</v>
      </c>
      <c r="K65" s="14" t="s">
        <v>13</v>
      </c>
      <c r="L65" s="14" t="s">
        <v>14</v>
      </c>
      <c r="M65" s="14" t="s">
        <v>15</v>
      </c>
      <c r="N65" s="14" t="s">
        <v>16</v>
      </c>
      <c r="O65" s="14" t="s">
        <v>17</v>
      </c>
      <c r="P65" s="14" t="s">
        <v>18</v>
      </c>
      <c r="Q65" s="14" t="s">
        <v>19</v>
      </c>
      <c r="R65" s="14" t="s">
        <v>20</v>
      </c>
      <c r="S65" s="14" t="s">
        <v>21</v>
      </c>
      <c r="T65" s="14" t="s">
        <v>22</v>
      </c>
      <c r="U65" s="14" t="s">
        <v>23</v>
      </c>
      <c r="V65" s="14" t="s">
        <v>24</v>
      </c>
      <c r="W65" s="14" t="s">
        <v>25</v>
      </c>
      <c r="X65" s="14" t="s">
        <v>26</v>
      </c>
      <c r="Y65" s="14" t="s">
        <v>27</v>
      </c>
      <c r="Z65" s="14" t="s">
        <v>28</v>
      </c>
      <c r="AA65" s="14" t="s">
        <v>29</v>
      </c>
      <c r="AB65" s="14" t="s">
        <v>30</v>
      </c>
      <c r="AC65" s="14" t="s">
        <v>31</v>
      </c>
      <c r="AD65" s="14" t="s">
        <v>32</v>
      </c>
      <c r="AE65" s="14" t="s">
        <v>33</v>
      </c>
      <c r="AF65" s="14" t="s">
        <v>34</v>
      </c>
      <c r="AG65" s="14" t="s">
        <v>35</v>
      </c>
      <c r="AH65" s="14" t="s">
        <v>36</v>
      </c>
      <c r="AI65" s="14" t="s">
        <v>37</v>
      </c>
      <c r="AJ65" s="14" t="s">
        <v>38</v>
      </c>
      <c r="AK65" s="15"/>
    </row>
    <row r="66" ht="12.75" customHeight="1" spans="2:37" x14ac:dyDescent="0.25">
      <c r="B66" s="16" t="s">
        <v>41</v>
      </c>
      <c r="C66" s="17"/>
      <c r="D66" s="17"/>
      <c r="E66" s="24">
        <f>E59-E52</f>
      </c>
      <c r="F66" s="24">
        <f>F59-F52</f>
      </c>
      <c r="G66" s="24">
        <f>G59-G52</f>
      </c>
      <c r="H66" s="24">
        <f>H59-H52</f>
      </c>
      <c r="I66" s="24">
        <f>I59-I52</f>
      </c>
      <c r="J66" s="24">
        <f>J59-J52</f>
      </c>
      <c r="K66" s="24">
        <f>K59-K52</f>
      </c>
      <c r="L66" s="24">
        <f>L59-L52</f>
      </c>
      <c r="M66" s="24">
        <f>M59-M52</f>
      </c>
      <c r="N66" s="24">
        <f>N59-N52</f>
      </c>
      <c r="O66" s="24">
        <f>O59-O52</f>
      </c>
      <c r="P66" s="24">
        <f>P59-P52</f>
      </c>
      <c r="Q66" s="24">
        <f>Q59-Q52</f>
      </c>
      <c r="R66" s="24">
        <f>R59-R52</f>
      </c>
      <c r="S66" s="24">
        <f>S59-S52</f>
      </c>
      <c r="T66" s="24">
        <f>T59-T52</f>
      </c>
      <c r="U66" s="24">
        <f>U59-U52</f>
      </c>
      <c r="V66" s="24">
        <f>V59-V52</f>
      </c>
      <c r="W66" s="24">
        <f>W59-W52</f>
      </c>
      <c r="X66" s="24">
        <f>X59-X52</f>
      </c>
      <c r="Y66" s="24">
        <f>Y59-Y52</f>
      </c>
      <c r="Z66" s="24">
        <f>Z59-Z52</f>
      </c>
      <c r="AA66" s="24">
        <f>AA59-AA52</f>
      </c>
      <c r="AB66" s="24">
        <f>AB59-AB52</f>
      </c>
      <c r="AC66" s="24">
        <f>AC59-AC52</f>
      </c>
      <c r="AD66" s="24">
        <f>AD59-AD52</f>
      </c>
      <c r="AE66" s="24">
        <f>AE59-AE52</f>
      </c>
      <c r="AF66" s="24">
        <f>AF59-AF52</f>
      </c>
      <c r="AG66" s="24">
        <f>AG59-AG52</f>
      </c>
      <c r="AH66" s="24">
        <f>AH59-AH52</f>
      </c>
      <c r="AI66" s="24">
        <f>AI59-AI52</f>
      </c>
      <c r="AJ66" s="24">
        <f>AJ59-AJ52</f>
      </c>
      <c r="AK66" s="19"/>
    </row>
    <row r="67" ht="12.75" customHeight="1" spans="2:37" x14ac:dyDescent="0.25">
      <c r="B67" s="16" t="s">
        <v>42</v>
      </c>
      <c r="C67" s="17"/>
      <c r="D67" s="17"/>
      <c r="E67" s="24">
        <f>E60-E53</f>
      </c>
      <c r="F67" s="24">
        <f>F60-F53</f>
      </c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19"/>
    </row>
    <row r="68" ht="12.75" customHeight="1" spans="2:37" x14ac:dyDescent="0.25">
      <c r="B68" s="16" t="s">
        <v>43</v>
      </c>
      <c r="C68" s="17"/>
      <c r="D68" s="17"/>
      <c r="E68" s="24">
        <f>E61-E54</f>
      </c>
      <c r="F68" s="24">
        <f>F61-F54</f>
      </c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19"/>
    </row>
    <row r="69" ht="12.75" customHeight="1" spans="2:37" x14ac:dyDescent="0.25">
      <c r="B69" s="16" t="s">
        <v>44</v>
      </c>
      <c r="C69" s="17"/>
      <c r="D69" s="17"/>
      <c r="E69" s="24">
        <f>E62-E55</f>
      </c>
      <c r="F69" s="24">
        <f>F62-F55</f>
      </c>
      <c r="G69" s="24">
        <f>G62-G55</f>
      </c>
      <c r="H69" s="24">
        <f>H62-H55</f>
      </c>
      <c r="I69" s="24">
        <f>I62-I55</f>
      </c>
      <c r="J69" s="24">
        <f>J62-J55</f>
      </c>
      <c r="K69" s="24">
        <f>K62-K55</f>
      </c>
      <c r="L69" s="24">
        <f>L62-L55</f>
      </c>
      <c r="M69" s="24">
        <f>M62-M55</f>
      </c>
      <c r="N69" s="24">
        <f>N62-N55</f>
      </c>
      <c r="O69" s="24">
        <f>O62-O55</f>
      </c>
      <c r="P69" s="24">
        <f>P62-P55</f>
      </c>
      <c r="Q69" s="24">
        <f>Q62-Q55</f>
      </c>
      <c r="R69" s="24">
        <f>R62-R55</f>
      </c>
      <c r="S69" s="24">
        <f>S62-S55</f>
      </c>
      <c r="T69" s="24">
        <f>T62-T55</f>
      </c>
      <c r="U69" s="24">
        <f>U62-U55</f>
      </c>
      <c r="V69" s="24">
        <f>V62-V55</f>
      </c>
      <c r="W69" s="24">
        <f>W62-W55</f>
      </c>
      <c r="X69" s="24">
        <f>X62-X55</f>
      </c>
      <c r="Y69" s="24">
        <f>Y62-Y55</f>
      </c>
      <c r="Z69" s="24">
        <f>Z62-Z55</f>
      </c>
      <c r="AA69" s="24">
        <f>AA62-AA55</f>
      </c>
      <c r="AB69" s="24">
        <f>AB62-AB55</f>
      </c>
      <c r="AC69" s="24">
        <f>AC62-AC55</f>
      </c>
      <c r="AD69" s="24">
        <f>AD62-AD55</f>
      </c>
      <c r="AE69" s="24">
        <f>AE62-AE55</f>
      </c>
      <c r="AF69" s="24">
        <f>AF62-AF55</f>
      </c>
      <c r="AG69" s="24">
        <f>AG62-AG55</f>
      </c>
      <c r="AH69" s="24">
        <f>AH62-AH55</f>
      </c>
      <c r="AI69" s="24">
        <f>AI62-AI55</f>
      </c>
      <c r="AJ69" s="24">
        <f>AJ62-AJ55</f>
      </c>
      <c r="AK69" s="19"/>
    </row>
    <row r="70" ht="12.75" customHeight="1" spans="2:37" x14ac:dyDescent="0.25">
      <c r="B70" s="20" t="s">
        <v>45</v>
      </c>
      <c r="C70" s="21"/>
      <c r="D70" s="21"/>
      <c r="E70" s="25">
        <f>E66+E67+E68+E69</f>
      </c>
      <c r="F70" s="25">
        <f>F66+F67+F68+F69</f>
      </c>
      <c r="G70" s="25">
        <f>G66+G67+G68+G69</f>
      </c>
      <c r="H70" s="25">
        <f>H66+H67+H68+H69</f>
      </c>
      <c r="I70" s="25">
        <f>I66+I67+I68+I69</f>
      </c>
      <c r="J70" s="25">
        <f>J66+J67+J68+J69</f>
      </c>
      <c r="K70" s="25">
        <f>K66+K67+K68+K69</f>
      </c>
      <c r="L70" s="25">
        <f>L66+L67+L68+L69</f>
      </c>
      <c r="M70" s="25">
        <f>M66+M67+M68+M69</f>
      </c>
      <c r="N70" s="25">
        <f>N66+N67+N68+N69</f>
      </c>
      <c r="O70" s="25">
        <f>O66+O67+O68+O69</f>
      </c>
      <c r="P70" s="25">
        <f>P66+P67+P68+P69</f>
      </c>
      <c r="Q70" s="25">
        <f>Q66+Q67+Q68+Q69</f>
      </c>
      <c r="R70" s="25">
        <f>R66+R67+R68+R69</f>
      </c>
      <c r="S70" s="25">
        <f>S66+S67+S68+S69</f>
      </c>
      <c r="T70" s="25">
        <f>T66+T67+T68+T69</f>
      </c>
      <c r="U70" s="25">
        <f>U66+U67+U68+U69</f>
      </c>
      <c r="V70" s="25">
        <f>V66+V67+V68+V69</f>
      </c>
      <c r="W70" s="25">
        <f>W66+W67+W68+W69</f>
      </c>
      <c r="X70" s="25">
        <f>X66+X67+X68+X69</f>
      </c>
      <c r="Y70" s="25">
        <f>Y66+Y67+Y68+Y69</f>
      </c>
      <c r="Z70" s="25">
        <f>Z66+Z67+Z68+Z69</f>
      </c>
      <c r="AA70" s="25">
        <f>AA66+AA67+AA68+AA69</f>
      </c>
      <c r="AB70" s="25">
        <f>AB66+AB67+AB68+AB69</f>
      </c>
      <c r="AC70" s="25">
        <f>AC66+AC67+AC68+AC69</f>
      </c>
      <c r="AD70" s="25">
        <f>AD66+AD67+AD68+AD69</f>
      </c>
      <c r="AE70" s="25">
        <f>AE66+AE67+AE68+AE69</f>
      </c>
      <c r="AF70" s="25">
        <f>AF66+AF67+AF68+AF69</f>
      </c>
      <c r="AG70" s="25">
        <f>AG66+AG67+AG68+AG69</f>
      </c>
      <c r="AH70" s="25">
        <f>AH66+AH67+AH68+AH69</f>
      </c>
      <c r="AI70" s="25">
        <f>AI66+AI67+AI68+AI69</f>
      </c>
      <c r="AJ70" s="25">
        <f>AJ66+AJ67+AJ68+AJ69</f>
      </c>
      <c r="AK70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7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538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565</v>
      </c>
      <c r="K8" s="44" t="s">
        <v>566</v>
      </c>
      <c r="L8" s="44" t="s">
        <v>567</v>
      </c>
      <c r="M8" s="44" t="s">
        <v>568</v>
      </c>
      <c r="N8" s="44" t="s">
        <v>569</v>
      </c>
      <c r="O8" s="44" t="s">
        <v>570</v>
      </c>
      <c r="P8" s="44" t="s">
        <v>571</v>
      </c>
      <c r="Q8" s="44" t="s">
        <v>572</v>
      </c>
      <c r="R8" s="44" t="s">
        <v>573</v>
      </c>
      <c r="S8" s="44" t="s">
        <v>574</v>
      </c>
      <c r="T8" s="44" t="s">
        <v>575</v>
      </c>
      <c r="U8" s="44" t="s">
        <v>576</v>
      </c>
      <c r="V8" s="44" t="s">
        <v>577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538</v>
      </c>
      <c r="D14" s="50" t="s">
        <v>42</v>
      </c>
      <c r="E14" s="32" t="s">
        <v>3</v>
      </c>
      <c r="F14" s="32" t="s">
        <v>539</v>
      </c>
      <c r="G14" s="32"/>
      <c r="H14" s="32"/>
      <c r="I14" s="32"/>
      <c r="J14" s="32"/>
      <c r="K14" s="33">
        <v>25.66</v>
      </c>
      <c r="L14" s="33">
        <v>25.66</v>
      </c>
      <c r="M14" s="33">
        <v>25.66</v>
      </c>
      <c r="N14" s="33">
        <v>25.66</v>
      </c>
      <c r="O14" s="33">
        <v>25.66</v>
      </c>
      <c r="P14" s="33">
        <v>25.66</v>
      </c>
      <c r="Q14" s="33">
        <v>25.66</v>
      </c>
      <c r="R14" s="33">
        <v>25.66</v>
      </c>
      <c r="S14" s="33">
        <v>25.66</v>
      </c>
      <c r="T14" s="33">
        <v>25.66</v>
      </c>
      <c r="U14" s="33">
        <v>25.66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538</v>
      </c>
      <c r="D15" s="50" t="s">
        <v>42</v>
      </c>
      <c r="E15" s="32" t="s">
        <v>3</v>
      </c>
      <c r="F15" s="32" t="s">
        <v>540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>
        <v>26.83</v>
      </c>
      <c r="R15" s="33">
        <v>26.88</v>
      </c>
      <c r="S15" s="32"/>
      <c r="T15" s="33">
        <f>27.23+27.93</f>
        <v>55.16</v>
      </c>
      <c r="U15" s="33">
        <v>27.93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538</v>
      </c>
      <c r="D16" s="50" t="s">
        <v>42</v>
      </c>
      <c r="E16" s="32" t="s">
        <v>3</v>
      </c>
      <c r="F16" s="32" t="s">
        <v>541</v>
      </c>
      <c r="G16" s="32"/>
      <c r="H16" s="32"/>
      <c r="I16" s="32"/>
      <c r="J16" s="32"/>
      <c r="K16" s="33">
        <v>526.28</v>
      </c>
      <c r="L16" s="33">
        <v>548.44</v>
      </c>
      <c r="M16" s="33">
        <v>591.63</v>
      </c>
      <c r="N16" s="33">
        <v>447.69</v>
      </c>
      <c r="O16" s="33">
        <v>566.79</v>
      </c>
      <c r="P16" s="33">
        <v>370.57</v>
      </c>
      <c r="Q16" s="33">
        <v>199.44</v>
      </c>
      <c r="R16" s="33">
        <v>80.38</v>
      </c>
      <c r="S16" s="33">
        <v>77.07</v>
      </c>
      <c r="T16" s="33">
        <v>28.65</v>
      </c>
      <c r="U16" s="33">
        <v>28.53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538</v>
      </c>
      <c r="D17" s="50" t="s">
        <v>42</v>
      </c>
      <c r="E17" s="32" t="s">
        <v>3</v>
      </c>
      <c r="F17" s="32" t="s">
        <v>542</v>
      </c>
      <c r="G17" s="32"/>
      <c r="H17" s="32"/>
      <c r="I17" s="32"/>
      <c r="J17" s="32"/>
      <c r="K17" s="33">
        <v>1186.14</v>
      </c>
      <c r="L17" s="33">
        <v>1216.98</v>
      </c>
      <c r="M17" s="33">
        <v>1342.46</v>
      </c>
      <c r="N17" s="33">
        <v>989.38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538</v>
      </c>
      <c r="D18" s="50" t="s">
        <v>42</v>
      </c>
      <c r="E18" s="32" t="s">
        <v>3</v>
      </c>
      <c r="F18" s="32" t="s">
        <v>543</v>
      </c>
      <c r="G18" s="32"/>
      <c r="H18" s="32"/>
      <c r="I18" s="32"/>
      <c r="J18" s="33">
        <v>26.15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538</v>
      </c>
      <c r="D19" s="50" t="s">
        <v>42</v>
      </c>
      <c r="E19" s="32" t="s">
        <v>3</v>
      </c>
      <c r="F19" s="32" t="s">
        <v>544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>
        <v>50.74</v>
      </c>
      <c r="R19" s="33">
        <v>61.04</v>
      </c>
      <c r="S19" s="32"/>
      <c r="T19" s="33">
        <f>116.74+97.92</f>
        <v>214.66</v>
      </c>
      <c r="U19" s="33">
        <v>69.39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538</v>
      </c>
      <c r="D20" s="50" t="s">
        <v>42</v>
      </c>
      <c r="E20" s="32" t="s">
        <v>3</v>
      </c>
      <c r="F20" s="32" t="s">
        <v>545</v>
      </c>
      <c r="G20" s="32"/>
      <c r="H20" s="32"/>
      <c r="I20" s="32"/>
      <c r="J20" s="32"/>
      <c r="K20" s="33">
        <v>1417.69</v>
      </c>
      <c r="L20" s="33">
        <v>1453.78</v>
      </c>
      <c r="M20" s="33">
        <v>2021.69</v>
      </c>
      <c r="N20" s="33">
        <v>1061.81</v>
      </c>
      <c r="O20" s="33">
        <v>1168.67</v>
      </c>
      <c r="P20" s="33">
        <v>972.53</v>
      </c>
      <c r="Q20" s="33">
        <v>1080.31</v>
      </c>
      <c r="R20" s="33">
        <v>1047.23</v>
      </c>
      <c r="S20" s="33">
        <v>877.68</v>
      </c>
      <c r="T20" s="33">
        <v>772.03</v>
      </c>
      <c r="U20" s="33">
        <v>739.06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538</v>
      </c>
      <c r="D21" s="50" t="s">
        <v>42</v>
      </c>
      <c r="E21" s="32" t="s">
        <v>3</v>
      </c>
      <c r="F21" s="32" t="s">
        <v>546</v>
      </c>
      <c r="G21" s="32"/>
      <c r="H21" s="32"/>
      <c r="I21" s="32"/>
      <c r="J21" s="33">
        <v>573.82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538</v>
      </c>
      <c r="D22" s="50" t="s">
        <v>42</v>
      </c>
      <c r="E22" s="32" t="s">
        <v>3</v>
      </c>
      <c r="F22" s="32" t="s">
        <v>547</v>
      </c>
      <c r="G22" s="32"/>
      <c r="H22" s="32"/>
      <c r="I22" s="32"/>
      <c r="J22" s="32"/>
      <c r="K22" s="33">
        <v>620.96</v>
      </c>
      <c r="L22" s="33">
        <v>508.88</v>
      </c>
      <c r="M22" s="33">
        <v>699.77</v>
      </c>
      <c r="N22" s="33">
        <v>399</v>
      </c>
      <c r="O22" s="33">
        <v>358.37</v>
      </c>
      <c r="P22" s="33">
        <v>282.41</v>
      </c>
      <c r="Q22" s="33">
        <v>212.48</v>
      </c>
      <c r="R22" s="33">
        <v>177.24</v>
      </c>
      <c r="S22" s="33">
        <v>332.11</v>
      </c>
      <c r="T22" s="33">
        <v>299.93</v>
      </c>
      <c r="U22" s="33">
        <v>509.13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538</v>
      </c>
      <c r="D23" s="50" t="s">
        <v>42</v>
      </c>
      <c r="E23" s="32" t="s">
        <v>3</v>
      </c>
      <c r="F23" s="32" t="s">
        <v>548</v>
      </c>
      <c r="G23" s="32"/>
      <c r="H23" s="32"/>
      <c r="I23" s="32"/>
      <c r="J23" s="32"/>
      <c r="K23" s="33">
        <v>534.24</v>
      </c>
      <c r="L23" s="33">
        <v>562.01</v>
      </c>
      <c r="M23" s="33">
        <v>737.58</v>
      </c>
      <c r="N23" s="33">
        <v>387.98</v>
      </c>
      <c r="O23" s="33">
        <v>638.15</v>
      </c>
      <c r="P23" s="33">
        <v>497.41</v>
      </c>
      <c r="Q23" s="33">
        <v>487.24</v>
      </c>
      <c r="R23" s="33">
        <v>531.28</v>
      </c>
      <c r="S23" s="33">
        <v>508.09</v>
      </c>
      <c r="T23" s="33">
        <v>471.95</v>
      </c>
      <c r="U23" s="33">
        <v>321.29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538</v>
      </c>
      <c r="D24" s="50" t="s">
        <v>42</v>
      </c>
      <c r="E24" s="32" t="s">
        <v>3</v>
      </c>
      <c r="F24" s="32" t="s">
        <v>549</v>
      </c>
      <c r="G24" s="32"/>
      <c r="H24" s="32"/>
      <c r="I24" s="32"/>
      <c r="J24" s="33">
        <f>126.66+25.66</f>
        <v>152.32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538</v>
      </c>
      <c r="D25" s="50" t="s">
        <v>42</v>
      </c>
      <c r="E25" s="32" t="s">
        <v>3</v>
      </c>
      <c r="F25" s="32" t="s">
        <v>550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>
        <v>91.9</v>
      </c>
      <c r="R25" s="33">
        <v>106.5</v>
      </c>
      <c r="S25" s="33">
        <v>100.93</v>
      </c>
      <c r="T25" s="33">
        <v>120.97</v>
      </c>
      <c r="U25" s="33">
        <v>208.65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538</v>
      </c>
      <c r="D26" s="50" t="s">
        <v>42</v>
      </c>
      <c r="E26" s="32" t="s">
        <v>3</v>
      </c>
      <c r="F26" s="32" t="s">
        <v>551</v>
      </c>
      <c r="G26" s="32"/>
      <c r="H26" s="32"/>
      <c r="I26" s="32"/>
      <c r="J26" s="32"/>
      <c r="K26" s="33">
        <v>167.02</v>
      </c>
      <c r="L26" s="33">
        <v>141</v>
      </c>
      <c r="M26" s="33">
        <v>171.67</v>
      </c>
      <c r="N26" s="33">
        <v>153.91</v>
      </c>
      <c r="O26" s="33">
        <v>195.01</v>
      </c>
      <c r="P26" s="33">
        <v>201.14</v>
      </c>
      <c r="Q26" s="33">
        <v>223.03</v>
      </c>
      <c r="R26" s="33">
        <v>194.21</v>
      </c>
      <c r="S26" s="33">
        <v>173.15</v>
      </c>
      <c r="T26" s="33">
        <v>152.86</v>
      </c>
      <c r="U26" s="33">
        <v>127.67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538</v>
      </c>
      <c r="D27" s="50" t="s">
        <v>42</v>
      </c>
      <c r="E27" s="32" t="s">
        <v>3</v>
      </c>
      <c r="F27" s="32" t="s">
        <v>552</v>
      </c>
      <c r="G27" s="32"/>
      <c r="H27" s="32"/>
      <c r="I27" s="32"/>
      <c r="J27" s="32"/>
      <c r="K27" s="33">
        <v>1710.96</v>
      </c>
      <c r="L27" s="33">
        <v>1777.19</v>
      </c>
      <c r="M27" s="33">
        <v>2022.01</v>
      </c>
      <c r="N27" s="33">
        <v>1732.1</v>
      </c>
      <c r="O27" s="33">
        <v>1500.13</v>
      </c>
      <c r="P27" s="33">
        <v>1292.03</v>
      </c>
      <c r="Q27" s="33">
        <v>1401.34</v>
      </c>
      <c r="R27" s="33">
        <v>1067.76</v>
      </c>
      <c r="S27" s="33">
        <v>920.56</v>
      </c>
      <c r="T27" s="33">
        <v>872.42</v>
      </c>
      <c r="U27" s="33">
        <v>740.12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538</v>
      </c>
      <c r="D28" s="50" t="s">
        <v>42</v>
      </c>
      <c r="E28" s="32" t="s">
        <v>3</v>
      </c>
      <c r="F28" s="32" t="s">
        <v>553</v>
      </c>
      <c r="G28" s="32"/>
      <c r="H28" s="32"/>
      <c r="I28" s="32"/>
      <c r="J28" s="32"/>
      <c r="K28" s="33">
        <v>655.89</v>
      </c>
      <c r="L28" s="33">
        <v>632.96</v>
      </c>
      <c r="M28" s="33">
        <v>793.98</v>
      </c>
      <c r="N28" s="33">
        <v>576.75</v>
      </c>
      <c r="O28" s="33">
        <v>244.53</v>
      </c>
      <c r="P28" s="33">
        <v>157.63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538</v>
      </c>
      <c r="D29" s="50" t="s">
        <v>42</v>
      </c>
      <c r="E29" s="32" t="s">
        <v>3</v>
      </c>
      <c r="F29" s="32" t="s">
        <v>554</v>
      </c>
      <c r="G29" s="32"/>
      <c r="H29" s="32"/>
      <c r="I29" s="32"/>
      <c r="J29" s="32"/>
      <c r="K29" s="33">
        <v>76.11</v>
      </c>
      <c r="L29" s="33">
        <v>76.5</v>
      </c>
      <c r="M29" s="33">
        <v>76.5</v>
      </c>
      <c r="N29" s="33">
        <v>72.15</v>
      </c>
      <c r="O29" s="33">
        <v>70.14</v>
      </c>
      <c r="P29" s="33">
        <v>70.14</v>
      </c>
      <c r="Q29" s="33">
        <v>70.14</v>
      </c>
      <c r="R29" s="33">
        <v>68.45</v>
      </c>
      <c r="S29" s="33">
        <v>70.14</v>
      </c>
      <c r="T29" s="33">
        <v>70.14</v>
      </c>
      <c r="U29" s="33">
        <v>70.14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538</v>
      </c>
      <c r="D30" s="50" t="s">
        <v>42</v>
      </c>
      <c r="E30" s="32" t="s">
        <v>3</v>
      </c>
      <c r="F30" s="32" t="s">
        <v>555</v>
      </c>
      <c r="G30" s="32"/>
      <c r="H30" s="32"/>
      <c r="I30" s="32"/>
      <c r="J30" s="32"/>
      <c r="K30" s="33">
        <v>751.98</v>
      </c>
      <c r="L30" s="33">
        <v>646.06</v>
      </c>
      <c r="M30" s="33">
        <v>795.83</v>
      </c>
      <c r="N30" s="33">
        <v>722.17</v>
      </c>
      <c r="O30" s="33">
        <v>1148.36</v>
      </c>
      <c r="P30" s="33">
        <v>1004.98</v>
      </c>
      <c r="Q30" s="33">
        <v>1257.73</v>
      </c>
      <c r="R30" s="33">
        <v>1106.13</v>
      </c>
      <c r="S30" s="33">
        <v>922.67</v>
      </c>
      <c r="T30" s="33">
        <v>668.23</v>
      </c>
      <c r="U30" s="33">
        <v>387.79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538</v>
      </c>
      <c r="D31" s="50" t="s">
        <v>42</v>
      </c>
      <c r="E31" s="32" t="s">
        <v>3</v>
      </c>
      <c r="F31" s="32" t="s">
        <v>556</v>
      </c>
      <c r="G31" s="32"/>
      <c r="H31" s="32"/>
      <c r="I31" s="32"/>
      <c r="J31" s="33">
        <v>54.77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538</v>
      </c>
      <c r="D32" s="50" t="s">
        <v>42</v>
      </c>
      <c r="E32" s="32" t="s">
        <v>3</v>
      </c>
      <c r="F32" s="32" t="s">
        <v>557</v>
      </c>
      <c r="G32" s="32"/>
      <c r="H32" s="32"/>
      <c r="I32" s="32"/>
      <c r="J32" s="32"/>
      <c r="K32" s="33">
        <v>703.58</v>
      </c>
      <c r="L32" s="33">
        <v>550.88</v>
      </c>
      <c r="M32" s="33">
        <v>667.08</v>
      </c>
      <c r="N32" s="33">
        <v>412.63</v>
      </c>
      <c r="O32" s="33">
        <v>573.84</v>
      </c>
      <c r="P32" s="33">
        <v>480.43</v>
      </c>
      <c r="Q32" s="33">
        <v>402.76</v>
      </c>
      <c r="R32" s="33">
        <v>286.62</v>
      </c>
      <c r="S32" s="33">
        <v>260.01</v>
      </c>
      <c r="T32" s="33">
        <v>277.2</v>
      </c>
      <c r="U32" s="33">
        <v>272.92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538</v>
      </c>
      <c r="D33" s="50" t="s">
        <v>42</v>
      </c>
      <c r="E33" s="32" t="s">
        <v>3</v>
      </c>
      <c r="F33" s="32" t="s">
        <v>558</v>
      </c>
      <c r="G33" s="32"/>
      <c r="H33" s="32"/>
      <c r="I33" s="32"/>
      <c r="J33" s="33">
        <v>27.7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538</v>
      </c>
      <c r="D34" s="50" t="s">
        <v>42</v>
      </c>
      <c r="E34" s="32" t="s">
        <v>3</v>
      </c>
      <c r="F34" s="32" t="s">
        <v>559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3">
        <v>28.29</v>
      </c>
      <c r="R34" s="33">
        <v>27.46</v>
      </c>
      <c r="S34" s="32"/>
      <c r="T34" s="33">
        <f>28.80+54.91</f>
        <v>83.71</v>
      </c>
      <c r="U34" s="33">
        <v>149.69</v>
      </c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538</v>
      </c>
      <c r="D35" s="50" t="s">
        <v>42</v>
      </c>
      <c r="E35" s="32" t="s">
        <v>3</v>
      </c>
      <c r="F35" s="32" t="s">
        <v>560</v>
      </c>
      <c r="G35" s="32"/>
      <c r="H35" s="32"/>
      <c r="I35" s="32"/>
      <c r="J35" s="33">
        <v>372.84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538</v>
      </c>
      <c r="D36" s="50" t="s">
        <v>42</v>
      </c>
      <c r="E36" s="32" t="s">
        <v>3</v>
      </c>
      <c r="F36" s="32" t="s">
        <v>561</v>
      </c>
      <c r="G36" s="32"/>
      <c r="H36" s="32"/>
      <c r="I36" s="32"/>
      <c r="J36" s="32"/>
      <c r="K36" s="33">
        <v>624.77</v>
      </c>
      <c r="L36" s="33">
        <v>637.71</v>
      </c>
      <c r="M36" s="33">
        <v>623.22</v>
      </c>
      <c r="N36" s="33">
        <v>583.42</v>
      </c>
      <c r="O36" s="33">
        <v>396.09</v>
      </c>
      <c r="P36" s="33">
        <v>370.09</v>
      </c>
      <c r="Q36" s="33">
        <v>483.02</v>
      </c>
      <c r="R36" s="33">
        <v>549.63</v>
      </c>
      <c r="S36" s="33">
        <v>440.54</v>
      </c>
      <c r="T36" s="33">
        <v>347.67</v>
      </c>
      <c r="U36" s="33">
        <v>358.37</v>
      </c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538</v>
      </c>
      <c r="D37" s="50" t="s">
        <v>42</v>
      </c>
      <c r="E37" s="32" t="s">
        <v>3</v>
      </c>
      <c r="F37" s="32" t="s">
        <v>562</v>
      </c>
      <c r="G37" s="32"/>
      <c r="H37" s="32"/>
      <c r="I37" s="32"/>
      <c r="J37" s="32"/>
      <c r="K37" s="33">
        <v>40.88</v>
      </c>
      <c r="L37" s="33">
        <v>37.69</v>
      </c>
      <c r="M37" s="33">
        <v>81.43</v>
      </c>
      <c r="N37" s="33">
        <v>97.41</v>
      </c>
      <c r="O37" s="33">
        <v>201.52</v>
      </c>
      <c r="P37" s="33">
        <v>180.4</v>
      </c>
      <c r="Q37" s="33">
        <f>195.52+0.00</f>
        <v>195.52</v>
      </c>
      <c r="R37" s="33">
        <v>115.62</v>
      </c>
      <c r="S37" s="33">
        <v>115.76</v>
      </c>
      <c r="T37" s="33">
        <v>114.53</v>
      </c>
      <c r="U37" s="33">
        <v>96.71</v>
      </c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538</v>
      </c>
      <c r="D38" s="50" t="s">
        <v>42</v>
      </c>
      <c r="E38" s="32" t="s">
        <v>3</v>
      </c>
      <c r="F38" s="32" t="s">
        <v>563</v>
      </c>
      <c r="G38" s="33">
        <f>0.00+0.00+0.00</f>
        <v>0</v>
      </c>
      <c r="H38" s="32"/>
      <c r="I38" s="32"/>
      <c r="J38" s="32"/>
      <c r="K38" s="32"/>
      <c r="L38" s="32"/>
      <c r="M38" s="32"/>
      <c r="N38" s="32"/>
      <c r="O38" s="33">
        <f>602.29+0.00</f>
        <v>602.29</v>
      </c>
      <c r="P38" s="33">
        <v>839.53</v>
      </c>
      <c r="Q38" s="33">
        <v>814.32</v>
      </c>
      <c r="R38" s="33">
        <f>0.00+724.91</f>
        <v>724.91</v>
      </c>
      <c r="S38" s="33">
        <v>865.18</v>
      </c>
      <c r="T38" s="33">
        <v>793.52</v>
      </c>
      <c r="U38" s="33">
        <v>674.3</v>
      </c>
      <c r="V38" s="33">
        <v>0</v>
      </c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5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0"/>
    </row>
    <row r="40" ht="13.5" customHeight="1" spans="2:39" x14ac:dyDescent="0.25">
      <c r="B40" s="20"/>
      <c r="C40" s="21"/>
      <c r="D40" s="21" t="s">
        <v>85</v>
      </c>
      <c r="E40" s="21"/>
      <c r="F40" s="21"/>
      <c r="G40" s="22">
        <f>SUM(G14:G38)</f>
      </c>
      <c r="H40" s="22">
        <f>SUM(H14:H38)</f>
      </c>
      <c r="I40" s="22">
        <f>SUM(I14:I38)</f>
      </c>
      <c r="J40" s="22">
        <f>SUM(J14:J38)</f>
      </c>
      <c r="K40" s="22">
        <f>SUM(K14:K38)</f>
      </c>
      <c r="L40" s="22">
        <f>SUM(L14:L38)</f>
      </c>
      <c r="M40" s="22">
        <f>SUM(M14:M38)</f>
      </c>
      <c r="N40" s="22">
        <f>SUM(N14:N38)</f>
      </c>
      <c r="O40" s="22">
        <f>SUM(O14:O38)</f>
      </c>
      <c r="P40" s="22">
        <f>SUM(P14:P38)</f>
      </c>
      <c r="Q40" s="22">
        <f>SUM(Q14:Q38)</f>
      </c>
      <c r="R40" s="22">
        <f>SUM(R14:R38)</f>
      </c>
      <c r="S40" s="22">
        <f>SUM(S14:S38)</f>
      </c>
      <c r="T40" s="22">
        <f>SUM(T14:T38)</f>
      </c>
      <c r="U40" s="22">
        <f>SUM(U14:U38)</f>
      </c>
      <c r="V40" s="22">
        <f>SUM(V14:V38)</f>
      </c>
      <c r="W40" s="22">
        <f>SUM(W14:W38)</f>
      </c>
      <c r="X40" s="22">
        <f>SUM(X14:X38)</f>
      </c>
      <c r="Y40" s="22">
        <f>SUM(Y14:Y38)</f>
      </c>
      <c r="Z40" s="22">
        <f>SUM(Z14:Z38)</f>
      </c>
      <c r="AA40" s="22">
        <f>SUM(AA14:AA38)</f>
      </c>
      <c r="AB40" s="22">
        <f>SUM(AB14:AB38)</f>
      </c>
      <c r="AC40" s="22">
        <f>SUM(AC14:AC38)</f>
      </c>
      <c r="AD40" s="22">
        <f>SUM(AD14:AD38)</f>
      </c>
      <c r="AE40" s="22">
        <f>SUM(AE14:AE38)</f>
      </c>
      <c r="AF40" s="22">
        <f>SUM(AF14:AF38)</f>
      </c>
      <c r="AG40" s="22">
        <f>SUM(AG14:AG38)</f>
      </c>
      <c r="AH40" s="22">
        <f>SUM(AH14:AH38)</f>
      </c>
      <c r="AI40" s="22">
        <f>SUM(AI14:AI38)</f>
      </c>
      <c r="AJ40" s="22">
        <f>SUM(AJ14:AJ38)</f>
      </c>
      <c r="AK40" s="22">
        <f>SUM(AK14:AK38)</f>
      </c>
      <c r="AL40" s="22">
        <f>SUM(AL14:AL38)</f>
      </c>
      <c r="AM40" s="23"/>
    </row>
    <row r="42" ht="13.5" customHeight="1" spans="2:39" x14ac:dyDescent="0.25">
      <c r="B42" s="46"/>
      <c r="C42" s="28"/>
      <c r="D42" s="47" t="s">
        <v>43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9"/>
    </row>
    <row r="43" ht="13.5" customHeight="1" spans="2:39" x14ac:dyDescent="0.25">
      <c r="B43" s="48" t="s">
        <v>3</v>
      </c>
      <c r="C43" s="49" t="s">
        <v>538</v>
      </c>
      <c r="D43" s="50" t="s">
        <v>43</v>
      </c>
      <c r="E43" s="32" t="s">
        <v>3</v>
      </c>
      <c r="F43" s="32" t="s">
        <v>564</v>
      </c>
      <c r="G43" s="32"/>
      <c r="H43" s="32"/>
      <c r="I43" s="32"/>
      <c r="J43" s="33">
        <f>3304.19+6301.65</f>
        <v>9605.84</v>
      </c>
      <c r="K43" s="33">
        <f>3579.07+6771.15</f>
        <v>10350.22</v>
      </c>
      <c r="L43" s="33">
        <f>3682.43+7031.15</f>
        <v>10713.58</v>
      </c>
      <c r="M43" s="33">
        <f>3934.37+7664.90</f>
        <v>11599.27</v>
      </c>
      <c r="N43" s="33">
        <f>4703.11+9598.65</f>
        <v>14301.759999999998</v>
      </c>
      <c r="O43" s="33">
        <f>3869.77+7502.40</f>
        <v>11372.17</v>
      </c>
      <c r="P43" s="33">
        <f>3656.59+6966.15</f>
        <v>10622.74</v>
      </c>
      <c r="Q43" s="33">
        <f>2803.87+4821.15</f>
        <v>7625.0199999999995</v>
      </c>
      <c r="R43" s="33">
        <f>3346.51+6186.15</f>
        <v>9532.66</v>
      </c>
      <c r="S43" s="33">
        <f>2390.43+3781.15</f>
        <v>6171.58</v>
      </c>
      <c r="T43" s="33">
        <f>2686.18+4240.29</f>
        <v>6926.469999999999</v>
      </c>
      <c r="U43" s="33">
        <f>2804.16+4528.95</f>
        <v>7333.11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51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40"/>
    </row>
    <row r="45" ht="13.5" customHeight="1" spans="2:39" x14ac:dyDescent="0.25">
      <c r="B45" s="20"/>
      <c r="C45" s="21"/>
      <c r="D45" s="21" t="s">
        <v>89</v>
      </c>
      <c r="E45" s="21"/>
      <c r="F45" s="21"/>
      <c r="G45" s="22">
        <f>SUM(G43:G43)</f>
      </c>
      <c r="H45" s="22">
        <f>SUM(H43:H43)</f>
      </c>
      <c r="I45" s="22">
        <f>SUM(I43:I43)</f>
      </c>
      <c r="J45" s="22">
        <f>SUM(J43:J43)</f>
      </c>
      <c r="K45" s="22">
        <f>SUM(K43:K43)</f>
      </c>
      <c r="L45" s="22">
        <f>SUM(L43:L43)</f>
      </c>
      <c r="M45" s="22">
        <f>SUM(M43:M43)</f>
      </c>
      <c r="N45" s="22">
        <f>SUM(N43:N43)</f>
      </c>
      <c r="O45" s="22">
        <f>SUM(O43:O43)</f>
      </c>
      <c r="P45" s="22">
        <f>SUM(P43:P43)</f>
      </c>
      <c r="Q45" s="22">
        <f>SUM(Q43:Q43)</f>
      </c>
      <c r="R45" s="22">
        <f>SUM(R43:R43)</f>
      </c>
      <c r="S45" s="22">
        <f>SUM(S43:S43)</f>
      </c>
      <c r="T45" s="22">
        <f>SUM(T43:T43)</f>
      </c>
      <c r="U45" s="22">
        <f>SUM(U43:U43)</f>
      </c>
      <c r="V45" s="22">
        <f>SUM(V43:V43)</f>
      </c>
      <c r="W45" s="22">
        <f>SUM(W43:W43)</f>
      </c>
      <c r="X45" s="22">
        <f>SUM(X43:X43)</f>
      </c>
      <c r="Y45" s="22">
        <f>SUM(Y43:Y43)</f>
      </c>
      <c r="Z45" s="22">
        <f>SUM(Z43:Z43)</f>
      </c>
      <c r="AA45" s="22">
        <f>SUM(AA43:AA43)</f>
      </c>
      <c r="AB45" s="22">
        <f>SUM(AB43:AB43)</f>
      </c>
      <c r="AC45" s="22">
        <f>SUM(AC43:AC43)</f>
      </c>
      <c r="AD45" s="22">
        <f>SUM(AD43:AD43)</f>
      </c>
      <c r="AE45" s="22">
        <f>SUM(AE43:AE43)</f>
      </c>
      <c r="AF45" s="22">
        <f>SUM(AF43:AF43)</f>
      </c>
      <c r="AG45" s="22">
        <f>SUM(AG43:AG43)</f>
      </c>
      <c r="AH45" s="22">
        <f>SUM(AH43:AH43)</f>
      </c>
      <c r="AI45" s="22">
        <f>SUM(AI43:AI43)</f>
      </c>
      <c r="AJ45" s="22">
        <f>SUM(AJ43:AJ43)</f>
      </c>
      <c r="AK45" s="22">
        <f>SUM(AK43:AK43)</f>
      </c>
      <c r="AL45" s="22">
        <f>SUM(AL43:AL43)</f>
      </c>
      <c r="AM45" s="23"/>
    </row>
    <row r="47" ht="13.5" customHeight="1" spans="2:39" x14ac:dyDescent="0.25">
      <c r="B47" s="46"/>
      <c r="C47" s="28"/>
      <c r="D47" s="47" t="s">
        <v>44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9"/>
    </row>
    <row r="48" ht="13.5" customHeight="1" spans="2:39" x14ac:dyDescent="0.25">
      <c r="B48" s="51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40"/>
    </row>
    <row r="49" ht="13.5" customHeight="1" spans="2:39" x14ac:dyDescent="0.25">
      <c r="B49" s="20"/>
      <c r="C49" s="21"/>
      <c r="D49" s="21" t="s">
        <v>90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3"/>
    </row>
    <row r="52" ht="12.75" customHeight="1" spans="2:39" x14ac:dyDescent="0.25">
      <c r="B52" s="11" t="s">
        <v>40</v>
      </c>
      <c r="C52" s="12"/>
      <c r="D52" s="12"/>
      <c r="E52" s="12"/>
      <c r="F52" s="12"/>
      <c r="G52" s="52" t="s">
        <v>7</v>
      </c>
      <c r="H52" s="52" t="s">
        <v>8</v>
      </c>
      <c r="I52" s="52" t="s">
        <v>9</v>
      </c>
      <c r="J52" s="52" t="s">
        <v>10</v>
      </c>
      <c r="K52" s="52" t="s">
        <v>11</v>
      </c>
      <c r="L52" s="52" t="s">
        <v>12</v>
      </c>
      <c r="M52" s="52" t="s">
        <v>13</v>
      </c>
      <c r="N52" s="52" t="s">
        <v>14</v>
      </c>
      <c r="O52" s="52" t="s">
        <v>15</v>
      </c>
      <c r="P52" s="52" t="s">
        <v>16</v>
      </c>
      <c r="Q52" s="52" t="s">
        <v>17</v>
      </c>
      <c r="R52" s="52" t="s">
        <v>18</v>
      </c>
      <c r="S52" s="52" t="s">
        <v>19</v>
      </c>
      <c r="T52" s="52" t="s">
        <v>20</v>
      </c>
      <c r="U52" s="52" t="s">
        <v>21</v>
      </c>
      <c r="V52" s="52" t="s">
        <v>22</v>
      </c>
      <c r="W52" s="52" t="s">
        <v>23</v>
      </c>
      <c r="X52" s="52" t="s">
        <v>24</v>
      </c>
      <c r="Y52" s="52" t="s">
        <v>25</v>
      </c>
      <c r="Z52" s="52" t="s">
        <v>26</v>
      </c>
      <c r="AA52" s="52" t="s">
        <v>27</v>
      </c>
      <c r="AB52" s="52" t="s">
        <v>28</v>
      </c>
      <c r="AC52" s="52" t="s">
        <v>29</v>
      </c>
      <c r="AD52" s="52" t="s">
        <v>30</v>
      </c>
      <c r="AE52" s="52" t="s">
        <v>31</v>
      </c>
      <c r="AF52" s="52" t="s">
        <v>32</v>
      </c>
      <c r="AG52" s="52" t="s">
        <v>33</v>
      </c>
      <c r="AH52" s="52" t="s">
        <v>34</v>
      </c>
      <c r="AI52" s="52" t="s">
        <v>35</v>
      </c>
      <c r="AJ52" s="52" t="s">
        <v>36</v>
      </c>
      <c r="AK52" s="52" t="s">
        <v>37</v>
      </c>
      <c r="AL52" s="52" t="s">
        <v>38</v>
      </c>
      <c r="AM52" s="15"/>
    </row>
    <row r="53" ht="12.75" customHeight="1" spans="2:39" x14ac:dyDescent="0.25">
      <c r="B53" s="16"/>
      <c r="C53" s="17"/>
      <c r="D53" s="17" t="s">
        <v>41</v>
      </c>
      <c r="E53" s="17"/>
      <c r="F53" s="17"/>
      <c r="G53" s="18">
        <f>G11</f>
      </c>
      <c r="H53" s="18">
        <f>H11</f>
      </c>
      <c r="I53" s="18">
        <f>I11</f>
      </c>
      <c r="J53" s="18">
        <f>J11</f>
      </c>
      <c r="K53" s="18">
        <f>K11</f>
      </c>
      <c r="L53" s="18">
        <f>L11</f>
      </c>
      <c r="M53" s="18">
        <f>M11</f>
      </c>
      <c r="N53" s="18">
        <f>N11</f>
      </c>
      <c r="O53" s="18">
        <f>O11</f>
      </c>
      <c r="P53" s="18">
        <f>P11</f>
      </c>
      <c r="Q53" s="18">
        <f>Q11</f>
      </c>
      <c r="R53" s="18">
        <f>R11</f>
      </c>
      <c r="S53" s="18">
        <f>S11</f>
      </c>
      <c r="T53" s="18">
        <f>T11</f>
      </c>
      <c r="U53" s="18">
        <f>U11</f>
      </c>
      <c r="V53" s="18">
        <f>V11</f>
      </c>
      <c r="W53" s="18">
        <f>W11</f>
      </c>
      <c r="X53" s="18">
        <f>X11</f>
      </c>
      <c r="Y53" s="18">
        <f>Y11</f>
      </c>
      <c r="Z53" s="18">
        <f>Z11</f>
      </c>
      <c r="AA53" s="18">
        <f>AA11</f>
      </c>
      <c r="AB53" s="18">
        <f>AB11</f>
      </c>
      <c r="AC53" s="18">
        <f>AC11</f>
      </c>
      <c r="AD53" s="18">
        <f>AD11</f>
      </c>
      <c r="AE53" s="18">
        <f>AE11</f>
      </c>
      <c r="AF53" s="18">
        <f>AF11</f>
      </c>
      <c r="AG53" s="18">
        <f>AG11</f>
      </c>
      <c r="AH53" s="18">
        <f>AH11</f>
      </c>
      <c r="AI53" s="18">
        <f>AI11</f>
      </c>
      <c r="AJ53" s="18">
        <f>AJ11</f>
      </c>
      <c r="AK53" s="18">
        <f>AK11</f>
      </c>
      <c r="AL53" s="18">
        <f>AL11</f>
      </c>
      <c r="AM53" s="19"/>
    </row>
    <row r="54" ht="12.75" customHeight="1" spans="2:39" x14ac:dyDescent="0.25">
      <c r="B54" s="16"/>
      <c r="C54" s="17"/>
      <c r="D54" s="17" t="s">
        <v>42</v>
      </c>
      <c r="E54" s="17"/>
      <c r="F54" s="17"/>
      <c r="G54" s="18">
        <f>G40</f>
      </c>
      <c r="H54" s="18">
        <f>H40</f>
      </c>
      <c r="I54" s="18">
        <f>I40</f>
      </c>
      <c r="J54" s="18">
        <f>J40</f>
      </c>
      <c r="K54" s="18">
        <f>K40</f>
      </c>
      <c r="L54" s="18">
        <f>L40</f>
      </c>
      <c r="M54" s="18">
        <f>M40</f>
      </c>
      <c r="N54" s="18">
        <f>N40</f>
      </c>
      <c r="O54" s="18">
        <f>O40</f>
      </c>
      <c r="P54" s="18">
        <f>P40</f>
      </c>
      <c r="Q54" s="18">
        <f>Q40</f>
      </c>
      <c r="R54" s="18">
        <f>R40</f>
      </c>
      <c r="S54" s="18">
        <f>S40</f>
      </c>
      <c r="T54" s="18">
        <f>T40</f>
      </c>
      <c r="U54" s="18">
        <f>U40</f>
      </c>
      <c r="V54" s="18">
        <f>V40</f>
      </c>
      <c r="W54" s="18">
        <f>W40</f>
      </c>
      <c r="X54" s="18">
        <f>X40</f>
      </c>
      <c r="Y54" s="18">
        <f>Y40</f>
      </c>
      <c r="Z54" s="18">
        <f>Z40</f>
      </c>
      <c r="AA54" s="18">
        <f>AA40</f>
      </c>
      <c r="AB54" s="18">
        <f>AB40</f>
      </c>
      <c r="AC54" s="18">
        <f>AC40</f>
      </c>
      <c r="AD54" s="18">
        <f>AD40</f>
      </c>
      <c r="AE54" s="18">
        <f>AE40</f>
      </c>
      <c r="AF54" s="18">
        <f>AF40</f>
      </c>
      <c r="AG54" s="18">
        <f>AG40</f>
      </c>
      <c r="AH54" s="18">
        <f>AH40</f>
      </c>
      <c r="AI54" s="18">
        <f>AI40</f>
      </c>
      <c r="AJ54" s="18">
        <f>AJ40</f>
      </c>
      <c r="AK54" s="18">
        <f>AK40</f>
      </c>
      <c r="AL54" s="18">
        <f>AL40</f>
      </c>
      <c r="AM54" s="19"/>
    </row>
    <row r="55" ht="12.75" customHeight="1" spans="2:39" x14ac:dyDescent="0.25">
      <c r="B55" s="16"/>
      <c r="C55" s="17"/>
      <c r="D55" s="17" t="s">
        <v>43</v>
      </c>
      <c r="E55" s="17"/>
      <c r="F55" s="17"/>
      <c r="G55" s="18">
        <f>G45</f>
      </c>
      <c r="H55" s="18">
        <f>H45</f>
      </c>
      <c r="I55" s="18">
        <f>I45</f>
      </c>
      <c r="J55" s="18">
        <f>J45</f>
      </c>
      <c r="K55" s="18">
        <f>K45</f>
      </c>
      <c r="L55" s="18">
        <f>L45</f>
      </c>
      <c r="M55" s="18">
        <f>M45</f>
      </c>
      <c r="N55" s="18">
        <f>N45</f>
      </c>
      <c r="O55" s="18">
        <f>O45</f>
      </c>
      <c r="P55" s="18">
        <f>P45</f>
      </c>
      <c r="Q55" s="18">
        <f>Q45</f>
      </c>
      <c r="R55" s="18">
        <f>R45</f>
      </c>
      <c r="S55" s="18">
        <f>S45</f>
      </c>
      <c r="T55" s="18">
        <f>T45</f>
      </c>
      <c r="U55" s="18">
        <f>U45</f>
      </c>
      <c r="V55" s="18">
        <f>V45</f>
      </c>
      <c r="W55" s="18">
        <f>W45</f>
      </c>
      <c r="X55" s="18">
        <f>X45</f>
      </c>
      <c r="Y55" s="18">
        <f>Y45</f>
      </c>
      <c r="Z55" s="18">
        <f>Z45</f>
      </c>
      <c r="AA55" s="18">
        <f>AA45</f>
      </c>
      <c r="AB55" s="18">
        <f>AB45</f>
      </c>
      <c r="AC55" s="18">
        <f>AC45</f>
      </c>
      <c r="AD55" s="18">
        <f>AD45</f>
      </c>
      <c r="AE55" s="18">
        <f>AE45</f>
      </c>
      <c r="AF55" s="18">
        <f>AF45</f>
      </c>
      <c r="AG55" s="18">
        <f>AG45</f>
      </c>
      <c r="AH55" s="18">
        <f>AH45</f>
      </c>
      <c r="AI55" s="18">
        <f>AI45</f>
      </c>
      <c r="AJ55" s="18">
        <f>AJ45</f>
      </c>
      <c r="AK55" s="18">
        <f>AK45</f>
      </c>
      <c r="AL55" s="18">
        <f>AL45</f>
      </c>
      <c r="AM55" s="19"/>
    </row>
    <row r="56" ht="12.75" customHeight="1" spans="2:39" x14ac:dyDescent="0.25">
      <c r="B56" s="16"/>
      <c r="C56" s="17"/>
      <c r="D56" s="17" t="s">
        <v>44</v>
      </c>
      <c r="E56" s="17"/>
      <c r="F56" s="17"/>
      <c r="G56" s="18">
        <f>G49</f>
      </c>
      <c r="H56" s="18">
        <f>H49</f>
      </c>
      <c r="I56" s="18">
        <f>I49</f>
      </c>
      <c r="J56" s="18">
        <f>J49</f>
      </c>
      <c r="K56" s="18">
        <f>K49</f>
      </c>
      <c r="L56" s="18">
        <f>L49</f>
      </c>
      <c r="M56" s="18">
        <f>M49</f>
      </c>
      <c r="N56" s="18">
        <f>N49</f>
      </c>
      <c r="O56" s="18">
        <f>O49</f>
      </c>
      <c r="P56" s="18">
        <f>P49</f>
      </c>
      <c r="Q56" s="18">
        <f>Q49</f>
      </c>
      <c r="R56" s="18">
        <f>R49</f>
      </c>
      <c r="S56" s="18">
        <f>S49</f>
      </c>
      <c r="T56" s="18">
        <f>T49</f>
      </c>
      <c r="U56" s="18">
        <f>U49</f>
      </c>
      <c r="V56" s="18">
        <f>V49</f>
      </c>
      <c r="W56" s="18">
        <f>W49</f>
      </c>
      <c r="X56" s="18">
        <f>X49</f>
      </c>
      <c r="Y56" s="18">
        <f>Y49</f>
      </c>
      <c r="Z56" s="18">
        <f>Z49</f>
      </c>
      <c r="AA56" s="18">
        <f>AA49</f>
      </c>
      <c r="AB56" s="18">
        <f>AB49</f>
      </c>
      <c r="AC56" s="18">
        <f>AC49</f>
      </c>
      <c r="AD56" s="18">
        <f>AD49</f>
      </c>
      <c r="AE56" s="18">
        <f>AE49</f>
      </c>
      <c r="AF56" s="18">
        <f>AF49</f>
      </c>
      <c r="AG56" s="18">
        <f>AG49</f>
      </c>
      <c r="AH56" s="18">
        <f>AH49</f>
      </c>
      <c r="AI56" s="18">
        <f>AI49</f>
      </c>
      <c r="AJ56" s="18">
        <f>AJ49</f>
      </c>
      <c r="AK56" s="18">
        <f>AK49</f>
      </c>
      <c r="AL56" s="18">
        <f>AL49</f>
      </c>
      <c r="AM56" s="19"/>
    </row>
    <row r="57" ht="12.75" customHeight="1" spans="2:39" x14ac:dyDescent="0.25">
      <c r="B57" s="20"/>
      <c r="C57" s="21"/>
      <c r="D57" s="21" t="s">
        <v>45</v>
      </c>
      <c r="E57" s="21"/>
      <c r="F57" s="21"/>
      <c r="G57" s="22">
        <f>G53+G54+G55+G56</f>
      </c>
      <c r="H57" s="22">
        <f>H53+H54+H55+H56</f>
      </c>
      <c r="I57" s="22">
        <f>I53+I54+I55+I56</f>
      </c>
      <c r="J57" s="22">
        <f>J53+J54+J55+J56</f>
      </c>
      <c r="K57" s="22">
        <f>K53+K54+K55+K56</f>
      </c>
      <c r="L57" s="22">
        <f>L53+L54+L55+L56</f>
      </c>
      <c r="M57" s="22">
        <f>M53+M54+M55+M56</f>
      </c>
      <c r="N57" s="22">
        <f>N53+N54+N55+N56</f>
      </c>
      <c r="O57" s="22">
        <f>O53+O54+O55+O56</f>
      </c>
      <c r="P57" s="22">
        <f>P53+P54+P55+P56</f>
      </c>
      <c r="Q57" s="22">
        <f>Q53+Q54+Q55+Q56</f>
      </c>
      <c r="R57" s="22">
        <f>R53+R54+R55+R56</f>
      </c>
      <c r="S57" s="22">
        <f>S53+S54+S55+S56</f>
      </c>
      <c r="T57" s="22">
        <f>T53+T54+T55+T56</f>
      </c>
      <c r="U57" s="22">
        <f>U53+U54+U55+U56</f>
      </c>
      <c r="V57" s="22">
        <f>V53+V54+V55+V56</f>
      </c>
      <c r="W57" s="22">
        <f>W53+W54+W55+W56</f>
      </c>
      <c r="X57" s="22">
        <f>X53+X54+X55+X56</f>
      </c>
      <c r="Y57" s="22">
        <f>Y53+Y54+Y55+Y56</f>
      </c>
      <c r="Z57" s="22">
        <f>Z53+Z54+Z55+Z56</f>
      </c>
      <c r="AA57" s="22">
        <f>AA53+AA54+AA55+AA56</f>
      </c>
      <c r="AB57" s="22">
        <f>AB53+AB54+AB55+AB56</f>
      </c>
      <c r="AC57" s="22">
        <f>AC53+AC54+AC55+AC56</f>
      </c>
      <c r="AD57" s="22">
        <f>AD53+AD54+AD55+AD56</f>
      </c>
      <c r="AE57" s="22">
        <f>AE53+AE54+AE55+AE56</f>
      </c>
      <c r="AF57" s="22">
        <f>AF53+AF54+AF55+AF56</f>
      </c>
      <c r="AG57" s="22">
        <f>AG53+AG54+AG55+AG56</f>
      </c>
      <c r="AH57" s="22">
        <f>AH53+AH54+AH55+AH56</f>
      </c>
      <c r="AI57" s="22">
        <f>AI53+AI54+AI55+AI56</f>
      </c>
      <c r="AJ57" s="22">
        <f>AJ53+AJ54+AJ55+AJ56</f>
      </c>
      <c r="AK57" s="22">
        <f>AK53+AK54+AK55+AK56</f>
      </c>
      <c r="AL57" s="22">
        <f>AL53+AL54+AL55+AL56</f>
      </c>
      <c r="AM57" s="23"/>
    </row>
    <row r="59" ht="12.75" customHeight="1" spans="2:39" x14ac:dyDescent="0.25">
      <c r="B59" s="11" t="s">
        <v>46</v>
      </c>
      <c r="C59" s="12"/>
      <c r="D59" s="12"/>
      <c r="E59" s="12"/>
      <c r="F59" s="12"/>
      <c r="G59" s="52" t="s">
        <v>7</v>
      </c>
      <c r="H59" s="52" t="s">
        <v>8</v>
      </c>
      <c r="I59" s="52" t="s">
        <v>9</v>
      </c>
      <c r="J59" s="52" t="s">
        <v>10</v>
      </c>
      <c r="K59" s="52" t="s">
        <v>11</v>
      </c>
      <c r="L59" s="52" t="s">
        <v>12</v>
      </c>
      <c r="M59" s="52" t="s">
        <v>13</v>
      </c>
      <c r="N59" s="52" t="s">
        <v>14</v>
      </c>
      <c r="O59" s="52" t="s">
        <v>15</v>
      </c>
      <c r="P59" s="52" t="s">
        <v>16</v>
      </c>
      <c r="Q59" s="52" t="s">
        <v>17</v>
      </c>
      <c r="R59" s="52" t="s">
        <v>18</v>
      </c>
      <c r="S59" s="52" t="s">
        <v>19</v>
      </c>
      <c r="T59" s="52" t="s">
        <v>20</v>
      </c>
      <c r="U59" s="52" t="s">
        <v>21</v>
      </c>
      <c r="V59" s="52" t="s">
        <v>22</v>
      </c>
      <c r="W59" s="52" t="s">
        <v>23</v>
      </c>
      <c r="X59" s="52" t="s">
        <v>24</v>
      </c>
      <c r="Y59" s="52" t="s">
        <v>25</v>
      </c>
      <c r="Z59" s="52" t="s">
        <v>26</v>
      </c>
      <c r="AA59" s="52" t="s">
        <v>27</v>
      </c>
      <c r="AB59" s="52" t="s">
        <v>28</v>
      </c>
      <c r="AC59" s="52" t="s">
        <v>29</v>
      </c>
      <c r="AD59" s="52" t="s">
        <v>30</v>
      </c>
      <c r="AE59" s="52" t="s">
        <v>31</v>
      </c>
      <c r="AF59" s="52" t="s">
        <v>32</v>
      </c>
      <c r="AG59" s="52" t="s">
        <v>33</v>
      </c>
      <c r="AH59" s="52" t="s">
        <v>34</v>
      </c>
      <c r="AI59" s="52" t="s">
        <v>35</v>
      </c>
      <c r="AJ59" s="52" t="s">
        <v>36</v>
      </c>
      <c r="AK59" s="52" t="s">
        <v>37</v>
      </c>
      <c r="AL59" s="52" t="s">
        <v>38</v>
      </c>
      <c r="AM59" s="15"/>
    </row>
    <row r="60" ht="12.75" customHeight="1" spans="2:39" x14ac:dyDescent="0.25">
      <c r="B60" s="16"/>
      <c r="C60" s="17"/>
      <c r="D60" s="17" t="s">
        <v>41</v>
      </c>
      <c r="E60" s="17"/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9"/>
    </row>
    <row r="61" ht="12.75" customHeight="1" spans="2:39" x14ac:dyDescent="0.25">
      <c r="B61" s="16"/>
      <c r="C61" s="17"/>
      <c r="D61" s="17" t="s">
        <v>42</v>
      </c>
      <c r="E61" s="17"/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9"/>
    </row>
    <row r="62" ht="12.75" customHeight="1" spans="2:39" x14ac:dyDescent="0.25">
      <c r="B62" s="16"/>
      <c r="C62" s="17"/>
      <c r="D62" s="17" t="s">
        <v>43</v>
      </c>
      <c r="E62" s="17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9"/>
    </row>
    <row r="63" ht="12.75" customHeight="1" spans="2:39" x14ac:dyDescent="0.25">
      <c r="B63" s="16"/>
      <c r="C63" s="17"/>
      <c r="D63" s="17" t="s">
        <v>44</v>
      </c>
      <c r="E63" s="17"/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9"/>
    </row>
    <row r="64" ht="12.75" customHeight="1" spans="2:39" x14ac:dyDescent="0.25">
      <c r="B64" s="20"/>
      <c r="C64" s="21"/>
      <c r="D64" s="21" t="s">
        <v>45</v>
      </c>
      <c r="E64" s="21"/>
      <c r="F64" s="21"/>
      <c r="G64" s="22">
        <f>G60+G61+G62+G63</f>
      </c>
      <c r="H64" s="22">
        <f>H60+H61+H62+H63</f>
      </c>
      <c r="I64" s="22">
        <f>I60+I61+I62+I63</f>
      </c>
      <c r="J64" s="22">
        <f>J60+J61+J62+J63</f>
      </c>
      <c r="K64" s="22">
        <f>K60+K61+K62+K63</f>
      </c>
      <c r="L64" s="22">
        <f>L60+L61+L62+L63</f>
      </c>
      <c r="M64" s="22">
        <f>M60+M61+M62+M63</f>
      </c>
      <c r="N64" s="22">
        <f>N60+N61+N62+N63</f>
      </c>
      <c r="O64" s="22">
        <f>O60+O61+O62+O63</f>
      </c>
      <c r="P64" s="22">
        <f>P60+P61+P62+P63</f>
      </c>
      <c r="Q64" s="22">
        <f>Q60+Q61+Q62+Q63</f>
      </c>
      <c r="R64" s="22">
        <f>R60+R61+R62+R63</f>
      </c>
      <c r="S64" s="22">
        <f>S60+S61+S62+S63</f>
      </c>
      <c r="T64" s="22">
        <f>T60+T61+T62+T63</f>
      </c>
      <c r="U64" s="22">
        <f>U60+U61+U62+U63</f>
      </c>
      <c r="V64" s="22">
        <f>V60+V61+V62+V63</f>
      </c>
      <c r="W64" s="22">
        <f>W60+W61+W62+W63</f>
      </c>
      <c r="X64" s="22">
        <f>X60+X61+X62+X63</f>
      </c>
      <c r="Y64" s="22">
        <f>Y60+Y61+Y62+Y63</f>
      </c>
      <c r="Z64" s="22">
        <f>Z60+Z61+Z62+Z63</f>
      </c>
      <c r="AA64" s="22">
        <f>AA60+AA61+AA62+AA63</f>
      </c>
      <c r="AB64" s="22">
        <f>AB60+AB61+AB62+AB63</f>
      </c>
      <c r="AC64" s="22">
        <f>AC60+AC61+AC62+AC63</f>
      </c>
      <c r="AD64" s="22">
        <f>AD60+AD61+AD62+AD63</f>
      </c>
      <c r="AE64" s="22">
        <f>AE60+AE61+AE62+AE63</f>
      </c>
      <c r="AF64" s="22">
        <f>AF60+AF61+AF62+AF63</f>
      </c>
      <c r="AG64" s="22">
        <f>AG60+AG61+AG62+AG63</f>
      </c>
      <c r="AH64" s="22">
        <f>AH60+AH61+AH62+AH63</f>
      </c>
      <c r="AI64" s="22">
        <f>AI60+AI61+AI62+AI63</f>
      </c>
      <c r="AJ64" s="22">
        <f>AJ60+AJ61+AJ62+AJ63</f>
      </c>
      <c r="AK64" s="22">
        <f>AK60+AK61+AK62+AK63</f>
      </c>
      <c r="AL64" s="22">
        <f>AL60+AL61+AL62+AL63</f>
      </c>
      <c r="AM64" s="23"/>
    </row>
    <row r="66" ht="12.75" customHeight="1" spans="2:39" x14ac:dyDescent="0.25">
      <c r="B66" s="11" t="s">
        <v>47</v>
      </c>
      <c r="C66" s="12"/>
      <c r="D66" s="12"/>
      <c r="E66" s="12"/>
      <c r="F66" s="12"/>
      <c r="G66" s="52" t="s">
        <v>7</v>
      </c>
      <c r="H66" s="52" t="s">
        <v>8</v>
      </c>
      <c r="I66" s="52" t="s">
        <v>9</v>
      </c>
      <c r="J66" s="52" t="s">
        <v>10</v>
      </c>
      <c r="K66" s="52" t="s">
        <v>11</v>
      </c>
      <c r="L66" s="52" t="s">
        <v>12</v>
      </c>
      <c r="M66" s="52" t="s">
        <v>13</v>
      </c>
      <c r="N66" s="52" t="s">
        <v>14</v>
      </c>
      <c r="O66" s="52" t="s">
        <v>15</v>
      </c>
      <c r="P66" s="52" t="s">
        <v>16</v>
      </c>
      <c r="Q66" s="52" t="s">
        <v>17</v>
      </c>
      <c r="R66" s="52" t="s">
        <v>18</v>
      </c>
      <c r="S66" s="52" t="s">
        <v>19</v>
      </c>
      <c r="T66" s="52" t="s">
        <v>20</v>
      </c>
      <c r="U66" s="52" t="s">
        <v>21</v>
      </c>
      <c r="V66" s="52" t="s">
        <v>22</v>
      </c>
      <c r="W66" s="52" t="s">
        <v>23</v>
      </c>
      <c r="X66" s="52" t="s">
        <v>24</v>
      </c>
      <c r="Y66" s="52" t="s">
        <v>25</v>
      </c>
      <c r="Z66" s="52" t="s">
        <v>26</v>
      </c>
      <c r="AA66" s="52" t="s">
        <v>27</v>
      </c>
      <c r="AB66" s="52" t="s">
        <v>28</v>
      </c>
      <c r="AC66" s="52" t="s">
        <v>29</v>
      </c>
      <c r="AD66" s="52" t="s">
        <v>30</v>
      </c>
      <c r="AE66" s="52" t="s">
        <v>31</v>
      </c>
      <c r="AF66" s="52" t="s">
        <v>32</v>
      </c>
      <c r="AG66" s="52" t="s">
        <v>33</v>
      </c>
      <c r="AH66" s="52" t="s">
        <v>34</v>
      </c>
      <c r="AI66" s="52" t="s">
        <v>35</v>
      </c>
      <c r="AJ66" s="52" t="s">
        <v>36</v>
      </c>
      <c r="AK66" s="52" t="s">
        <v>37</v>
      </c>
      <c r="AL66" s="52" t="s">
        <v>38</v>
      </c>
      <c r="AM66" s="15"/>
    </row>
    <row r="67" ht="12.75" customHeight="1" spans="2:39" x14ac:dyDescent="0.25">
      <c r="B67" s="16"/>
      <c r="C67" s="17"/>
      <c r="D67" s="17" t="s">
        <v>41</v>
      </c>
      <c r="E67" s="17"/>
      <c r="F67" s="17"/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24">
        <f>AK60-AK53</f>
      </c>
      <c r="AL67" s="24">
        <f>AL60-AL53</f>
      </c>
      <c r="AM67" s="19"/>
    </row>
    <row r="68" ht="12.75" customHeight="1" spans="2:39" x14ac:dyDescent="0.25">
      <c r="B68" s="16"/>
      <c r="C68" s="17"/>
      <c r="D68" s="17" t="s">
        <v>42</v>
      </c>
      <c r="E68" s="17"/>
      <c r="F68" s="17"/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24">
        <f>AK61-AK54</f>
      </c>
      <c r="AL68" s="24">
        <f>AL61-AL54</f>
      </c>
      <c r="AM68" s="19"/>
    </row>
    <row r="69" ht="12.75" customHeight="1" spans="2:39" x14ac:dyDescent="0.25">
      <c r="B69" s="16"/>
      <c r="C69" s="17"/>
      <c r="D69" s="17" t="s">
        <v>43</v>
      </c>
      <c r="E69" s="17"/>
      <c r="F69" s="17"/>
      <c r="G69" s="24">
        <f>G62-G55</f>
      </c>
      <c r="H69" s="24">
        <f>H62-H55</f>
      </c>
      <c r="I69" s="24">
        <f>I62-I55</f>
      </c>
      <c r="J69" s="24">
        <f>J62-J55</f>
      </c>
      <c r="K69" s="24">
        <f>K62-K55</f>
      </c>
      <c r="L69" s="24">
        <f>L62-L55</f>
      </c>
      <c r="M69" s="24">
        <f>M62-M55</f>
      </c>
      <c r="N69" s="24">
        <f>N62-N55</f>
      </c>
      <c r="O69" s="24">
        <f>O62-O55</f>
      </c>
      <c r="P69" s="24">
        <f>P62-P55</f>
      </c>
      <c r="Q69" s="24">
        <f>Q62-Q55</f>
      </c>
      <c r="R69" s="24">
        <f>R62-R55</f>
      </c>
      <c r="S69" s="24">
        <f>S62-S55</f>
      </c>
      <c r="T69" s="24">
        <f>T62-T55</f>
      </c>
      <c r="U69" s="24">
        <f>U62-U55</f>
      </c>
      <c r="V69" s="24">
        <f>V62-V55</f>
      </c>
      <c r="W69" s="24">
        <f>W62-W55</f>
      </c>
      <c r="X69" s="24">
        <f>X62-X55</f>
      </c>
      <c r="Y69" s="24">
        <f>Y62-Y55</f>
      </c>
      <c r="Z69" s="24">
        <f>Z62-Z55</f>
      </c>
      <c r="AA69" s="24">
        <f>AA62-AA55</f>
      </c>
      <c r="AB69" s="24">
        <f>AB62-AB55</f>
      </c>
      <c r="AC69" s="24">
        <f>AC62-AC55</f>
      </c>
      <c r="AD69" s="24">
        <f>AD62-AD55</f>
      </c>
      <c r="AE69" s="24">
        <f>AE62-AE55</f>
      </c>
      <c r="AF69" s="24">
        <f>AF62-AF55</f>
      </c>
      <c r="AG69" s="24">
        <f>AG62-AG55</f>
      </c>
      <c r="AH69" s="24">
        <f>AH62-AH55</f>
      </c>
      <c r="AI69" s="24">
        <f>AI62-AI55</f>
      </c>
      <c r="AJ69" s="24">
        <f>AJ62-AJ55</f>
      </c>
      <c r="AK69" s="24">
        <f>AK62-AK55</f>
      </c>
      <c r="AL69" s="24">
        <f>AL62-AL55</f>
      </c>
      <c r="AM69" s="19"/>
    </row>
    <row r="70" ht="12.75" customHeight="1" spans="2:39" x14ac:dyDescent="0.25">
      <c r="B70" s="16"/>
      <c r="C70" s="17"/>
      <c r="D70" s="17" t="s">
        <v>44</v>
      </c>
      <c r="E70" s="17"/>
      <c r="F70" s="17"/>
      <c r="G70" s="24">
        <f>G63-G56</f>
      </c>
      <c r="H70" s="24">
        <f>H63-H56</f>
      </c>
      <c r="I70" s="24">
        <f>I63-I56</f>
      </c>
      <c r="J70" s="24">
        <f>J63-J56</f>
      </c>
      <c r="K70" s="24">
        <f>K63-K56</f>
      </c>
      <c r="L70" s="24">
        <f>L63-L56</f>
      </c>
      <c r="M70" s="24">
        <f>M63-M56</f>
      </c>
      <c r="N70" s="24">
        <f>N63-N56</f>
      </c>
      <c r="O70" s="24">
        <f>O63-O56</f>
      </c>
      <c r="P70" s="24">
        <f>P63-P56</f>
      </c>
      <c r="Q70" s="24">
        <f>Q63-Q56</f>
      </c>
      <c r="R70" s="24">
        <f>R63-R56</f>
      </c>
      <c r="S70" s="24">
        <f>S63-S56</f>
      </c>
      <c r="T70" s="24">
        <f>T63-T56</f>
      </c>
      <c r="U70" s="24">
        <f>U63-U56</f>
      </c>
      <c r="V70" s="24">
        <f>V63-V56</f>
      </c>
      <c r="W70" s="24">
        <f>W63-W56</f>
      </c>
      <c r="X70" s="24">
        <f>X63-X56</f>
      </c>
      <c r="Y70" s="24">
        <f>Y63-Y56</f>
      </c>
      <c r="Z70" s="24">
        <f>Z63-Z56</f>
      </c>
      <c r="AA70" s="24">
        <f>AA63-AA56</f>
      </c>
      <c r="AB70" s="24">
        <f>AB63-AB56</f>
      </c>
      <c r="AC70" s="24">
        <f>AC63-AC56</f>
      </c>
      <c r="AD70" s="24">
        <f>AD63-AD56</f>
      </c>
      <c r="AE70" s="24">
        <f>AE63-AE56</f>
      </c>
      <c r="AF70" s="24">
        <f>AF63-AF56</f>
      </c>
      <c r="AG70" s="24">
        <f>AG63-AG56</f>
      </c>
      <c r="AH70" s="24">
        <f>AH63-AH56</f>
      </c>
      <c r="AI70" s="24">
        <f>AI63-AI56</f>
      </c>
      <c r="AJ70" s="24">
        <f>AJ63-AJ56</f>
      </c>
      <c r="AK70" s="24">
        <f>AK63-AK56</f>
      </c>
      <c r="AL70" s="24">
        <f>AL63-AL56</f>
      </c>
      <c r="AM70" s="19"/>
    </row>
    <row r="71" ht="12.75" customHeight="1" spans="2:39" x14ac:dyDescent="0.25">
      <c r="B71" s="20"/>
      <c r="C71" s="21"/>
      <c r="D71" s="21" t="s">
        <v>45</v>
      </c>
      <c r="E71" s="21"/>
      <c r="F71" s="21"/>
      <c r="G71" s="25">
        <f>G67+G68+G69+G70</f>
      </c>
      <c r="H71" s="25">
        <f>H67+H68+H69+H70</f>
      </c>
      <c r="I71" s="25">
        <f>I67+I68+I69+I70</f>
      </c>
      <c r="J71" s="25">
        <f>J67+J68+J69+J70</f>
      </c>
      <c r="K71" s="25">
        <f>K67+K68+K69+K70</f>
      </c>
      <c r="L71" s="25">
        <f>L67+L68+L69+L70</f>
      </c>
      <c r="M71" s="25">
        <f>M67+M68+M69+M70</f>
      </c>
      <c r="N71" s="25">
        <f>N67+N68+N69+N70</f>
      </c>
      <c r="O71" s="25">
        <f>O67+O68+O69+O70</f>
      </c>
      <c r="P71" s="25">
        <f>P67+P68+P69+P70</f>
      </c>
      <c r="Q71" s="25">
        <f>Q67+Q68+Q69+Q70</f>
      </c>
      <c r="R71" s="25">
        <f>R67+R68+R69+R70</f>
      </c>
      <c r="S71" s="25">
        <f>S67+S68+S69+S70</f>
      </c>
      <c r="T71" s="25">
        <f>T67+T68+T69+T70</f>
      </c>
      <c r="U71" s="25">
        <f>U67+U68+U69+U70</f>
      </c>
      <c r="V71" s="25">
        <f>V67+V68+V69+V70</f>
      </c>
      <c r="W71" s="25">
        <f>W67+W68+W69+W70</f>
      </c>
      <c r="X71" s="25">
        <f>X67+X68+X69+X70</f>
      </c>
      <c r="Y71" s="25">
        <f>Y67+Y68+Y69+Y70</f>
      </c>
      <c r="Z71" s="25">
        <f>Z67+Z68+Z69+Z70</f>
      </c>
      <c r="AA71" s="25">
        <f>AA67+AA68+AA69+AA70</f>
      </c>
      <c r="AB71" s="25">
        <f>AB67+AB68+AB69+AB70</f>
      </c>
      <c r="AC71" s="25">
        <f>AC67+AC68+AC69+AC70</f>
      </c>
      <c r="AD71" s="25">
        <f>AD67+AD68+AD69+AD70</f>
      </c>
      <c r="AE71" s="25">
        <f>AE67+AE68+AE69+AE70</f>
      </c>
      <c r="AF71" s="25">
        <f>AF67+AF68+AF69+AF70</f>
      </c>
      <c r="AG71" s="25">
        <f>AG67+AG68+AG69+AG70</f>
      </c>
      <c r="AH71" s="25">
        <f>AH67+AH68+AH69+AH70</f>
      </c>
      <c r="AI71" s="25">
        <f>AI67+AI68+AI69+AI70</f>
      </c>
      <c r="AJ71" s="25">
        <f>AJ67+AJ68+AJ69+AJ70</f>
      </c>
      <c r="AK71" s="25">
        <f>AK67+AK68+AK69+AK70</f>
      </c>
      <c r="AL71" s="25">
        <f>AL67+AL68+AL69+AL70</f>
      </c>
      <c r="AM71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578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579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>
        <v>25.66</v>
      </c>
      <c r="V13" s="33">
        <v>25.66</v>
      </c>
      <c r="W13" s="33">
        <v>25.66</v>
      </c>
      <c r="X13" s="33">
        <v>25.66</v>
      </c>
      <c r="Y13" s="33">
        <v>25.66</v>
      </c>
      <c r="Z13" s="33">
        <v>25.66</v>
      </c>
      <c r="AA13" s="33">
        <v>25.66</v>
      </c>
      <c r="AB13" s="33">
        <v>25.66</v>
      </c>
      <c r="AC13" s="33">
        <v>25.66</v>
      </c>
      <c r="AD13" s="33">
        <v>25.66</v>
      </c>
      <c r="AE13" s="33">
        <v>25.66</v>
      </c>
      <c r="AF13" s="33">
        <v>25.66</v>
      </c>
      <c r="AG13" s="33">
        <v>30.8</v>
      </c>
      <c r="AH13" s="33">
        <v>30.8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580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>
        <v>1397.31</v>
      </c>
      <c r="V14" s="33">
        <v>1695.19</v>
      </c>
      <c r="W14" s="33">
        <v>1405.44</v>
      </c>
      <c r="X14" s="33">
        <v>1252.56</v>
      </c>
      <c r="Y14" s="33">
        <v>848.51</v>
      </c>
      <c r="Z14" s="33">
        <v>670.76</v>
      </c>
      <c r="AA14" s="33">
        <v>776.81</v>
      </c>
      <c r="AB14" s="33">
        <v>745.09</v>
      </c>
      <c r="AC14" s="33">
        <v>660.48</v>
      </c>
      <c r="AD14" s="33">
        <v>734.65</v>
      </c>
      <c r="AE14" s="33">
        <v>478.24</v>
      </c>
      <c r="AF14" s="33">
        <v>814.63</v>
      </c>
      <c r="AG14" s="33">
        <v>1559.12</v>
      </c>
      <c r="AH14" s="33">
        <v>1738.12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581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v>57.76</v>
      </c>
      <c r="W15" s="33">
        <v>224.06</v>
      </c>
      <c r="X15" s="33">
        <v>165.3</v>
      </c>
      <c r="Y15" s="33">
        <v>382.06</v>
      </c>
      <c r="Z15" s="32"/>
      <c r="AA15" s="36">
        <f>88.27+38.82</f>
        <v>127.09</v>
      </c>
      <c r="AB15" s="32"/>
      <c r="AC15" s="33">
        <v>56.48</v>
      </c>
      <c r="AD15" s="36">
        <f>128.79+67.29</f>
        <v>196.07999999999998</v>
      </c>
      <c r="AE15" s="33">
        <v>106.32</v>
      </c>
      <c r="AF15" s="33">
        <v>149.81</v>
      </c>
      <c r="AG15" s="33">
        <v>35.34</v>
      </c>
      <c r="AH15" s="32"/>
      <c r="AI15" s="33">
        <v>41.56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582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>
        <v>28.68</v>
      </c>
      <c r="V16" s="33">
        <v>-368.41</v>
      </c>
      <c r="W16" s="33">
        <v>-339.74</v>
      </c>
      <c r="X16" s="33">
        <v>-311.01</v>
      </c>
      <c r="Y16" s="33">
        <v>-282.34</v>
      </c>
      <c r="Z16" s="33">
        <v>-253.73</v>
      </c>
      <c r="AA16" s="33">
        <v>-224.96</v>
      </c>
      <c r="AB16" s="33">
        <v>-196.29</v>
      </c>
      <c r="AC16" s="33">
        <v>-167.62</v>
      </c>
      <c r="AD16" s="33">
        <v>-138.89</v>
      </c>
      <c r="AE16" s="33">
        <v>-110.08</v>
      </c>
      <c r="AF16" s="33">
        <v>-79.86</v>
      </c>
      <c r="AG16" s="33">
        <v>18.72</v>
      </c>
      <c r="AH16" s="33">
        <v>123.47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583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45.69</v>
      </c>
      <c r="U17" s="33">
        <v>121.22</v>
      </c>
      <c r="V17" s="33">
        <v>82.7</v>
      </c>
      <c r="W17" s="33">
        <v>280.04</v>
      </c>
      <c r="X17" s="33">
        <v>196.43</v>
      </c>
      <c r="Y17" s="33">
        <v>55.99</v>
      </c>
      <c r="Z17" s="32"/>
      <c r="AA17" s="36">
        <f>164.57+61.07</f>
        <v>225.64</v>
      </c>
      <c r="AB17" s="32"/>
      <c r="AC17" s="33">
        <v>186.32</v>
      </c>
      <c r="AD17" s="36">
        <f>106.06+154.73</f>
        <v>260.78999999999996</v>
      </c>
      <c r="AE17" s="33">
        <v>128.17</v>
      </c>
      <c r="AF17" s="33">
        <v>215.51</v>
      </c>
      <c r="AG17" s="33">
        <v>165.32</v>
      </c>
      <c r="AH17" s="32"/>
      <c r="AI17" s="33">
        <v>130.34</v>
      </c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584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>
        <v>445.85</v>
      </c>
      <c r="V18" s="33">
        <v>487.77</v>
      </c>
      <c r="W18" s="33">
        <v>383.32</v>
      </c>
      <c r="X18" s="33">
        <v>486.17</v>
      </c>
      <c r="Y18" s="33">
        <v>496.47</v>
      </c>
      <c r="Z18" s="33">
        <v>475.62</v>
      </c>
      <c r="AA18" s="33">
        <v>464.32</v>
      </c>
      <c r="AB18" s="33">
        <v>465.92</v>
      </c>
      <c r="AC18" s="33">
        <v>412.16</v>
      </c>
      <c r="AD18" s="33">
        <v>416.51</v>
      </c>
      <c r="AE18" s="33">
        <v>232.1</v>
      </c>
      <c r="AF18" s="33">
        <v>246.44</v>
      </c>
      <c r="AG18" s="33">
        <v>347.84</v>
      </c>
      <c r="AH18" s="33">
        <v>371.37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585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>
        <v>198.26</v>
      </c>
      <c r="V19" s="33">
        <v>478.65</v>
      </c>
      <c r="W19" s="33">
        <v>334.49</v>
      </c>
      <c r="X19" s="33">
        <v>402.47</v>
      </c>
      <c r="Y19" s="33">
        <v>275.84</v>
      </c>
      <c r="Z19" s="33">
        <v>212.08</v>
      </c>
      <c r="AA19" s="33">
        <v>242.23</v>
      </c>
      <c r="AB19" s="33">
        <v>217.01</v>
      </c>
      <c r="AC19" s="33">
        <v>146.02</v>
      </c>
      <c r="AD19" s="33">
        <v>137.62</v>
      </c>
      <c r="AE19" s="33">
        <v>82.45</v>
      </c>
      <c r="AF19" s="33">
        <v>61.94</v>
      </c>
      <c r="AG19" s="33">
        <v>304.95</v>
      </c>
      <c r="AH19" s="33">
        <v>387.92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586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182.47</v>
      </c>
      <c r="U20" s="33">
        <v>363.93</v>
      </c>
      <c r="V20" s="33">
        <v>314.8</v>
      </c>
      <c r="W20" s="33">
        <v>314.8</v>
      </c>
      <c r="X20" s="33">
        <v>138.35</v>
      </c>
      <c r="Y20" s="33">
        <v>118.4</v>
      </c>
      <c r="Z20" s="33">
        <v>104.69</v>
      </c>
      <c r="AA20" s="33">
        <v>115.14</v>
      </c>
      <c r="AB20" s="33">
        <v>112.88</v>
      </c>
      <c r="AC20" s="33">
        <v>101.59</v>
      </c>
      <c r="AD20" s="33">
        <v>116.01</v>
      </c>
      <c r="AE20" s="33">
        <v>121.22</v>
      </c>
      <c r="AF20" s="33">
        <v>113.22</v>
      </c>
      <c r="AG20" s="33">
        <v>261.19</v>
      </c>
      <c r="AH20" s="33">
        <v>207.33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587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>
        <v>110.99</v>
      </c>
      <c r="V21" s="33">
        <v>-131.82</v>
      </c>
      <c r="W21" s="33">
        <v>-19.43</v>
      </c>
      <c r="X21" s="33">
        <v>125.44</v>
      </c>
      <c r="Y21" s="33">
        <v>155.83</v>
      </c>
      <c r="Z21" s="33">
        <v>152.84</v>
      </c>
      <c r="AA21" s="33">
        <v>179.25</v>
      </c>
      <c r="AB21" s="33">
        <v>182.09</v>
      </c>
      <c r="AC21" s="33">
        <v>166.4</v>
      </c>
      <c r="AD21" s="33">
        <v>147.05</v>
      </c>
      <c r="AE21" s="33">
        <v>105.09</v>
      </c>
      <c r="AF21" s="33">
        <v>120.77</v>
      </c>
      <c r="AG21" s="33">
        <v>146.55</v>
      </c>
      <c r="AH21" s="33">
        <v>129.72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227</v>
      </c>
      <c r="D22" s="32" t="s">
        <v>588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>
        <v>1104.87</v>
      </c>
      <c r="V22" s="33">
        <v>621.92</v>
      </c>
      <c r="W22" s="33">
        <v>1290.63</v>
      </c>
      <c r="X22" s="33">
        <v>1301.65</v>
      </c>
      <c r="Y22" s="33">
        <v>1103.83</v>
      </c>
      <c r="Z22" s="33">
        <v>1011.28</v>
      </c>
      <c r="AA22" s="33">
        <v>1409.74</v>
      </c>
      <c r="AB22" s="33">
        <v>1190.35</v>
      </c>
      <c r="AC22" s="33">
        <v>940.65</v>
      </c>
      <c r="AD22" s="33">
        <v>1047.97</v>
      </c>
      <c r="AE22" s="33">
        <v>974.23</v>
      </c>
      <c r="AF22" s="33">
        <v>1052</v>
      </c>
      <c r="AG22" s="33">
        <v>1733.12</v>
      </c>
      <c r="AH22" s="33">
        <v>1641.04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227</v>
      </c>
      <c r="D23" s="32" t="s">
        <v>589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>
        <v>83.41</v>
      </c>
      <c r="V23" s="33">
        <v>83.71</v>
      </c>
      <c r="W23" s="33">
        <v>83.71</v>
      </c>
      <c r="X23" s="33">
        <v>83.71</v>
      </c>
      <c r="Y23" s="33">
        <v>83.71</v>
      </c>
      <c r="Z23" s="33">
        <v>83.71</v>
      </c>
      <c r="AA23" s="33">
        <v>83.71</v>
      </c>
      <c r="AB23" s="33">
        <v>83.71</v>
      </c>
      <c r="AC23" s="33">
        <v>83.71</v>
      </c>
      <c r="AD23" s="33">
        <v>83.71</v>
      </c>
      <c r="AE23" s="33">
        <v>83.71</v>
      </c>
      <c r="AF23" s="33">
        <v>83.71</v>
      </c>
      <c r="AG23" s="33">
        <v>78.9</v>
      </c>
      <c r="AH23" s="33">
        <v>78.9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227</v>
      </c>
      <c r="D24" s="32" t="s">
        <v>590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>
        <v>724.98</v>
      </c>
      <c r="V24" s="33">
        <v>704.37</v>
      </c>
      <c r="W24" s="33">
        <v>549.22</v>
      </c>
      <c r="X24" s="33">
        <v>695.42</v>
      </c>
      <c r="Y24" s="33">
        <v>509.51</v>
      </c>
      <c r="Z24" s="33">
        <v>484.89</v>
      </c>
      <c r="AA24" s="33">
        <v>567.18</v>
      </c>
      <c r="AB24" s="33">
        <v>565.45</v>
      </c>
      <c r="AC24" s="33">
        <v>263.24</v>
      </c>
      <c r="AD24" s="33">
        <v>206.87</v>
      </c>
      <c r="AE24" s="33">
        <v>161.24</v>
      </c>
      <c r="AF24" s="33">
        <v>373.48</v>
      </c>
      <c r="AG24" s="33">
        <v>635</v>
      </c>
      <c r="AH24" s="33">
        <v>649.04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227</v>
      </c>
      <c r="D25" s="32" t="s">
        <v>591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>
        <v>510.62</v>
      </c>
      <c r="V25" s="33">
        <v>-335.29</v>
      </c>
      <c r="W25" s="33">
        <v>144.7</v>
      </c>
      <c r="X25" s="33">
        <v>374.69</v>
      </c>
      <c r="Y25" s="33">
        <v>363.2</v>
      </c>
      <c r="Z25" s="33">
        <v>357.1</v>
      </c>
      <c r="AA25" s="33">
        <v>439.93</v>
      </c>
      <c r="AB25" s="33">
        <v>449.26</v>
      </c>
      <c r="AC25" s="33">
        <v>389.58</v>
      </c>
      <c r="AD25" s="33">
        <v>395.39</v>
      </c>
      <c r="AE25" s="33">
        <v>229.6</v>
      </c>
      <c r="AF25" s="33">
        <v>279.41</v>
      </c>
      <c r="AG25" s="33">
        <v>505.89</v>
      </c>
      <c r="AH25" s="33">
        <v>526.19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227</v>
      </c>
      <c r="D26" s="32" t="s">
        <v>592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v>200.7</v>
      </c>
      <c r="U26" s="33">
        <v>152.56</v>
      </c>
      <c r="V26" s="33">
        <v>159.78</v>
      </c>
      <c r="W26" s="33">
        <v>171.38</v>
      </c>
      <c r="X26" s="33">
        <v>114.28</v>
      </c>
      <c r="Y26" s="33">
        <v>214.59</v>
      </c>
      <c r="Z26" s="32"/>
      <c r="AA26" s="36">
        <f>123.84+45.41</f>
        <v>169.25</v>
      </c>
      <c r="AB26" s="32"/>
      <c r="AC26" s="33">
        <v>75.72</v>
      </c>
      <c r="AD26" s="36">
        <f>97.11+107.92</f>
        <v>205.03</v>
      </c>
      <c r="AE26" s="33">
        <v>123.46</v>
      </c>
      <c r="AF26" s="33">
        <v>233.38</v>
      </c>
      <c r="AG26" s="33">
        <v>275.37</v>
      </c>
      <c r="AH26" s="32"/>
      <c r="AI26" s="33">
        <v>303.33</v>
      </c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227</v>
      </c>
      <c r="D27" s="32" t="s">
        <v>593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>
        <v>446.85</v>
      </c>
      <c r="V27" s="33">
        <v>552.26</v>
      </c>
      <c r="W27" s="33">
        <v>450.13</v>
      </c>
      <c r="X27" s="33">
        <v>447.95</v>
      </c>
      <c r="Y27" s="33">
        <v>441.13</v>
      </c>
      <c r="Z27" s="33">
        <v>462.73</v>
      </c>
      <c r="AA27" s="33">
        <v>663.83</v>
      </c>
      <c r="AB27" s="33">
        <v>522.84</v>
      </c>
      <c r="AC27" s="33">
        <v>455.06</v>
      </c>
      <c r="AD27" s="33">
        <v>469.54</v>
      </c>
      <c r="AE27" s="33">
        <v>302.65</v>
      </c>
      <c r="AF27" s="33">
        <v>386.37</v>
      </c>
      <c r="AG27" s="33">
        <v>457.75</v>
      </c>
      <c r="AH27" s="33">
        <v>474.14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227</v>
      </c>
      <c r="D28" s="32" t="s">
        <v>594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>
        <v>33.13</v>
      </c>
      <c r="V28" s="33">
        <v>-245.57</v>
      </c>
      <c r="W28" s="33">
        <v>-216.36</v>
      </c>
      <c r="X28" s="33">
        <v>-185.1</v>
      </c>
      <c r="Y28" s="33">
        <v>-106.56</v>
      </c>
      <c r="Z28" s="33">
        <v>8.12</v>
      </c>
      <c r="AA28" s="33">
        <v>156.38</v>
      </c>
      <c r="AB28" s="33">
        <v>118.09</v>
      </c>
      <c r="AC28" s="33">
        <v>93.85</v>
      </c>
      <c r="AD28" s="33">
        <v>76.52</v>
      </c>
      <c r="AE28" s="33">
        <v>34.71</v>
      </c>
      <c r="AF28" s="33">
        <v>96.43</v>
      </c>
      <c r="AG28" s="33">
        <v>124.86</v>
      </c>
      <c r="AH28" s="33">
        <v>127.9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227</v>
      </c>
      <c r="D29" s="32" t="s">
        <v>595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>
        <v>952.95</v>
      </c>
      <c r="V29" s="33">
        <v>951.97</v>
      </c>
      <c r="W29" s="33">
        <v>848.61</v>
      </c>
      <c r="X29" s="33">
        <v>1083.56</v>
      </c>
      <c r="Y29" s="33">
        <v>698.03</v>
      </c>
      <c r="Z29" s="33">
        <v>694.82</v>
      </c>
      <c r="AA29" s="33">
        <v>649.37</v>
      </c>
      <c r="AB29" s="33">
        <v>562.61</v>
      </c>
      <c r="AC29" s="33">
        <v>559.54</v>
      </c>
      <c r="AD29" s="33">
        <v>698.15</v>
      </c>
      <c r="AE29" s="33">
        <v>782.15</v>
      </c>
      <c r="AF29" s="33">
        <v>1057.71</v>
      </c>
      <c r="AG29" s="33">
        <v>1348.91</v>
      </c>
      <c r="AH29" s="33">
        <v>1422.31</v>
      </c>
      <c r="AI29" s="32"/>
      <c r="AJ29" s="34">
        <f>SUM(E29:AI29)</f>
      </c>
      <c r="AK29" s="35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85</v>
      </c>
      <c r="C31" s="21"/>
      <c r="D31" s="21"/>
      <c r="E31" s="22">
        <f>SUM(E13:E29)</f>
      </c>
      <c r="F31" s="22">
        <f>SUM(F13:F29)</f>
      </c>
      <c r="G31" s="22">
        <f>SUM(G13:G29)</f>
      </c>
      <c r="H31" s="22">
        <f>SUM(H13:H29)</f>
      </c>
      <c r="I31" s="22">
        <f>SUM(I13:I29)</f>
      </c>
      <c r="J31" s="22">
        <f>SUM(J13:J29)</f>
      </c>
      <c r="K31" s="22">
        <f>SUM(K13:K29)</f>
      </c>
      <c r="L31" s="22">
        <f>SUM(L13:L29)</f>
      </c>
      <c r="M31" s="22">
        <f>SUM(M13:M29)</f>
      </c>
      <c r="N31" s="22">
        <f>SUM(N13:N29)</f>
      </c>
      <c r="O31" s="22">
        <f>SUM(O13:O29)</f>
      </c>
      <c r="P31" s="22">
        <f>SUM(P13:P29)</f>
      </c>
      <c r="Q31" s="22">
        <f>SUM(Q13:Q29)</f>
      </c>
      <c r="R31" s="22">
        <f>SUM(R13:R29)</f>
      </c>
      <c r="S31" s="22">
        <f>SUM(S13:S29)</f>
      </c>
      <c r="T31" s="22">
        <f>SUM(T13:T29)</f>
      </c>
      <c r="U31" s="22">
        <f>SUM(U13:U29)</f>
      </c>
      <c r="V31" s="22">
        <f>SUM(V13:V29)</f>
      </c>
      <c r="W31" s="22">
        <f>SUM(W13:W29)</f>
      </c>
      <c r="X31" s="22">
        <f>SUM(X13:X29)</f>
      </c>
      <c r="Y31" s="22">
        <f>SUM(Y13:Y29)</f>
      </c>
      <c r="Z31" s="22">
        <f>SUM(Z13:Z29)</f>
      </c>
      <c r="AA31" s="22">
        <f>SUM(AA13:AA29)</f>
      </c>
      <c r="AB31" s="22">
        <f>SUM(AB13:AB29)</f>
      </c>
      <c r="AC31" s="22">
        <f>SUM(AC13:AC29)</f>
      </c>
      <c r="AD31" s="22">
        <f>SUM(AD13:AD29)</f>
      </c>
      <c r="AE31" s="22">
        <f>SUM(AE13:AE29)</f>
      </c>
      <c r="AF31" s="22">
        <f>SUM(AF13:AF29)</f>
      </c>
      <c r="AG31" s="22">
        <f>SUM(AG13:AG29)</f>
      </c>
      <c r="AH31" s="22">
        <f>SUM(AH13:AH29)</f>
      </c>
      <c r="AI31" s="22">
        <f>SUM(AI13:AI29)</f>
      </c>
      <c r="AJ31" s="22">
        <f>SUM(AJ13:AJ29)</f>
      </c>
      <c r="AK31" s="23"/>
    </row>
    <row r="33" ht="12.75" customHeight="1" spans="2:37" x14ac:dyDescent="0.25">
      <c r="B33" s="26" t="s">
        <v>43</v>
      </c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9"/>
    </row>
    <row r="34" ht="12.75" customHeight="1" spans="2:37" x14ac:dyDescent="0.25">
      <c r="B34" s="30" t="s">
        <v>43</v>
      </c>
      <c r="C34" s="31" t="s">
        <v>596</v>
      </c>
      <c r="D34" s="32" t="s">
        <v>564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6">
        <f>4987.41+2991.54</f>
        <v>7978.95</v>
      </c>
      <c r="U34" s="36">
        <f>5021.37+3005.42</f>
        <v>8026.79</v>
      </c>
      <c r="V34" s="36">
        <f>5581.71+3234.44</f>
        <v>8816.15</v>
      </c>
      <c r="W34" s="36">
        <f>5802.45+3324.66</f>
        <v>9127.11</v>
      </c>
      <c r="X34" s="36">
        <f>6226.95+3498.16</f>
        <v>9725.11</v>
      </c>
      <c r="Y34" s="36">
        <f>8043.81+4240.74</f>
        <v>12284.55</v>
      </c>
      <c r="Z34" s="36">
        <f>7924.95+4192.16</f>
        <v>12117.11</v>
      </c>
      <c r="AA34" s="36">
        <f>4206.33+2672.30</f>
        <v>6878.63</v>
      </c>
      <c r="AB34" s="36">
        <f>4681.77+2919.62</f>
        <v>7601.39</v>
      </c>
      <c r="AC34" s="36">
        <f>4919.49+2963.78</f>
        <v>7883.27</v>
      </c>
      <c r="AD34" s="36">
        <f>3685.17+2574.15</f>
        <v>6259.32</v>
      </c>
      <c r="AE34" s="36">
        <f>288.43+477.89</f>
        <v>766.3199999999999</v>
      </c>
      <c r="AF34" s="36">
        <f>3507.77+2499.55</f>
        <v>6007.32</v>
      </c>
      <c r="AG34" s="36">
        <f>7286.39+4088.53</f>
        <v>11374.92</v>
      </c>
      <c r="AH34" s="36">
        <f>6825.15+3894.57</f>
        <v>10719.72</v>
      </c>
      <c r="AI34" s="32"/>
      <c r="AJ34" s="34">
        <f>SUM(E34:AI34)</f>
      </c>
      <c r="AK34" s="35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89</v>
      </c>
      <c r="C36" s="21"/>
      <c r="D36" s="21"/>
      <c r="E36" s="22">
        <f>SUM(E34:E34)</f>
      </c>
      <c r="F36" s="22">
        <f>SUM(F34:F34)</f>
      </c>
      <c r="G36" s="22">
        <f>SUM(G34:G34)</f>
      </c>
      <c r="H36" s="22">
        <f>SUM(H34:H34)</f>
      </c>
      <c r="I36" s="22">
        <f>SUM(I34:I34)</f>
      </c>
      <c r="J36" s="22">
        <f>SUM(J34:J34)</f>
      </c>
      <c r="K36" s="22">
        <f>SUM(K34:K34)</f>
      </c>
      <c r="L36" s="22">
        <f>SUM(L34:L34)</f>
      </c>
      <c r="M36" s="22">
        <f>SUM(M34:M34)</f>
      </c>
      <c r="N36" s="22">
        <f>SUM(N34:N34)</f>
      </c>
      <c r="O36" s="22">
        <f>SUM(O34:O34)</f>
      </c>
      <c r="P36" s="22">
        <f>SUM(P34:P34)</f>
      </c>
      <c r="Q36" s="22">
        <f>SUM(Q34:Q34)</f>
      </c>
      <c r="R36" s="22">
        <f>SUM(R34:R34)</f>
      </c>
      <c r="S36" s="22">
        <f>SUM(S34:S34)</f>
      </c>
      <c r="T36" s="22">
        <f>SUM(T34:T34)</f>
      </c>
      <c r="U36" s="22">
        <f>SUM(U34:U34)</f>
      </c>
      <c r="V36" s="22">
        <f>SUM(V34:V34)</f>
      </c>
      <c r="W36" s="22">
        <f>SUM(W34:W34)</f>
      </c>
      <c r="X36" s="22">
        <f>SUM(X34:X34)</f>
      </c>
      <c r="Y36" s="22">
        <f>SUM(Y34:Y34)</f>
      </c>
      <c r="Z36" s="22">
        <f>SUM(Z34:Z34)</f>
      </c>
      <c r="AA36" s="22">
        <f>SUM(AA34:AA34)</f>
      </c>
      <c r="AB36" s="22">
        <f>SUM(AB34:AB34)</f>
      </c>
      <c r="AC36" s="22">
        <f>SUM(AC34:AC34)</f>
      </c>
      <c r="AD36" s="22">
        <f>SUM(AD34:AD34)</f>
      </c>
      <c r="AE36" s="22">
        <f>SUM(AE34:AE34)</f>
      </c>
      <c r="AF36" s="22">
        <f>SUM(AF34:AF34)</f>
      </c>
      <c r="AG36" s="22">
        <f>SUM(AG34:AG34)</f>
      </c>
      <c r="AH36" s="22">
        <f>SUM(AH34:AH34)</f>
      </c>
      <c r="AI36" s="22">
        <f>SUM(AI34:AI34)</f>
      </c>
      <c r="AJ36" s="22">
        <f>SUM(AJ34:AJ34)</f>
      </c>
      <c r="AK36" s="23"/>
    </row>
    <row r="38" ht="12.75" customHeight="1" spans="2:37" x14ac:dyDescent="0.25">
      <c r="B38" s="26" t="s">
        <v>44</v>
      </c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9"/>
    </row>
    <row r="39" ht="12.75" customHeight="1" spans="2:37" x14ac:dyDescent="0.25">
      <c r="B39" s="37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40"/>
    </row>
    <row r="40" ht="12.75" customHeight="1" spans="2:37" x14ac:dyDescent="0.25">
      <c r="B40" s="20" t="s">
        <v>90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3"/>
    </row>
    <row r="43" ht="12.75" customHeight="1" spans="2:37" x14ac:dyDescent="0.25">
      <c r="B43" s="11" t="s">
        <v>40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>
        <f>E10</f>
      </c>
      <c r="F44" s="18">
        <f>F10</f>
      </c>
      <c r="G44" s="18">
        <f>G10</f>
      </c>
      <c r="H44" s="18">
        <f>H10</f>
      </c>
      <c r="I44" s="18">
        <f>I10</f>
      </c>
      <c r="J44" s="18">
        <f>J10</f>
      </c>
      <c r="K44" s="18">
        <f>K10</f>
      </c>
      <c r="L44" s="18">
        <f>L10</f>
      </c>
      <c r="M44" s="18">
        <f>M10</f>
      </c>
      <c r="N44" s="18">
        <f>N10</f>
      </c>
      <c r="O44" s="18">
        <f>O10</f>
      </c>
      <c r="P44" s="18">
        <f>P10</f>
      </c>
      <c r="Q44" s="18">
        <f>Q10</f>
      </c>
      <c r="R44" s="18">
        <f>R10</f>
      </c>
      <c r="S44" s="18">
        <f>S10</f>
      </c>
      <c r="T44" s="18">
        <f>T10</f>
      </c>
      <c r="U44" s="18">
        <f>U10</f>
      </c>
      <c r="V44" s="18">
        <f>V10</f>
      </c>
      <c r="W44" s="18">
        <f>W10</f>
      </c>
      <c r="X44" s="18">
        <f>X10</f>
      </c>
      <c r="Y44" s="18">
        <f>Y10</f>
      </c>
      <c r="Z44" s="18">
        <f>Z10</f>
      </c>
      <c r="AA44" s="18">
        <f>AA10</f>
      </c>
      <c r="AB44" s="18">
        <f>AB10</f>
      </c>
      <c r="AC44" s="18">
        <f>AC10</f>
      </c>
      <c r="AD44" s="18">
        <f>AD10</f>
      </c>
      <c r="AE44" s="18">
        <f>AE10</f>
      </c>
      <c r="AF44" s="18">
        <f>AF10</f>
      </c>
      <c r="AG44" s="18">
        <f>AG10</f>
      </c>
      <c r="AH44" s="18">
        <f>AH10</f>
      </c>
      <c r="AI44" s="18">
        <f>AI10</f>
      </c>
      <c r="AJ44" s="18">
        <f>AJ10</f>
      </c>
      <c r="AK44" s="19"/>
    </row>
    <row r="45" ht="12.75" customHeight="1" spans="2:37" x14ac:dyDescent="0.25">
      <c r="B45" s="16" t="s">
        <v>42</v>
      </c>
      <c r="C45" s="17"/>
      <c r="D45" s="17"/>
      <c r="E45" s="18">
        <f>E31</f>
      </c>
      <c r="F45" s="18">
        <f>F31</f>
      </c>
      <c r="G45" s="18">
        <f>G31</f>
      </c>
      <c r="H45" s="18">
        <f>H31</f>
      </c>
      <c r="I45" s="18">
        <f>I31</f>
      </c>
      <c r="J45" s="18">
        <f>J31</f>
      </c>
      <c r="K45" s="18">
        <f>K31</f>
      </c>
      <c r="L45" s="18">
        <f>L31</f>
      </c>
      <c r="M45" s="18">
        <f>M31</f>
      </c>
      <c r="N45" s="18">
        <f>N31</f>
      </c>
      <c r="O45" s="18">
        <f>O31</f>
      </c>
      <c r="P45" s="18">
        <f>P31</f>
      </c>
      <c r="Q45" s="18">
        <f>Q31</f>
      </c>
      <c r="R45" s="18">
        <f>R31</f>
      </c>
      <c r="S45" s="18">
        <f>S31</f>
      </c>
      <c r="T45" s="18">
        <f>T31</f>
      </c>
      <c r="U45" s="18">
        <f>U31</f>
      </c>
      <c r="V45" s="18">
        <f>V31</f>
      </c>
      <c r="W45" s="18">
        <f>W31</f>
      </c>
      <c r="X45" s="18">
        <f>X31</f>
      </c>
      <c r="Y45" s="18">
        <f>Y31</f>
      </c>
      <c r="Z45" s="18">
        <f>Z31</f>
      </c>
      <c r="AA45" s="18">
        <f>AA31</f>
      </c>
      <c r="AB45" s="18">
        <f>AB31</f>
      </c>
      <c r="AC45" s="18">
        <f>AC31</f>
      </c>
      <c r="AD45" s="18">
        <f>AD31</f>
      </c>
      <c r="AE45" s="18">
        <f>AE31</f>
      </c>
      <c r="AF45" s="18">
        <f>AF31</f>
      </c>
      <c r="AG45" s="18">
        <f>AG31</f>
      </c>
      <c r="AH45" s="18">
        <f>AH31</f>
      </c>
      <c r="AI45" s="18">
        <f>AI31</f>
      </c>
      <c r="AJ45" s="18">
        <f>AJ31</f>
      </c>
      <c r="AK45" s="19"/>
    </row>
    <row r="46" ht="12.75" customHeight="1" spans="2:37" x14ac:dyDescent="0.25">
      <c r="B46" s="16" t="s">
        <v>43</v>
      </c>
      <c r="C46" s="17"/>
      <c r="D46" s="17"/>
      <c r="E46" s="18">
        <f>E36</f>
      </c>
      <c r="F46" s="18">
        <f>F36</f>
      </c>
      <c r="G46" s="18">
        <f>G36</f>
      </c>
      <c r="H46" s="18">
        <f>H36</f>
      </c>
      <c r="I46" s="18">
        <f>I36</f>
      </c>
      <c r="J46" s="18">
        <f>J36</f>
      </c>
      <c r="K46" s="18">
        <f>K36</f>
      </c>
      <c r="L46" s="18">
        <f>L36</f>
      </c>
      <c r="M46" s="18">
        <f>M36</f>
      </c>
      <c r="N46" s="18">
        <f>N36</f>
      </c>
      <c r="O46" s="18">
        <f>O36</f>
      </c>
      <c r="P46" s="18">
        <f>P36</f>
      </c>
      <c r="Q46" s="18">
        <f>Q36</f>
      </c>
      <c r="R46" s="18">
        <f>R36</f>
      </c>
      <c r="S46" s="18">
        <f>S36</f>
      </c>
      <c r="T46" s="18">
        <f>T36</f>
      </c>
      <c r="U46" s="18">
        <f>U36</f>
      </c>
      <c r="V46" s="18">
        <f>V36</f>
      </c>
      <c r="W46" s="18">
        <f>W36</f>
      </c>
      <c r="X46" s="18">
        <f>X36</f>
      </c>
      <c r="Y46" s="18">
        <f>Y36</f>
      </c>
      <c r="Z46" s="18">
        <f>Z36</f>
      </c>
      <c r="AA46" s="18">
        <f>AA36</f>
      </c>
      <c r="AB46" s="18">
        <f>AB36</f>
      </c>
      <c r="AC46" s="18">
        <f>AC36</f>
      </c>
      <c r="AD46" s="18">
        <f>AD36</f>
      </c>
      <c r="AE46" s="18">
        <f>AE36</f>
      </c>
      <c r="AF46" s="18">
        <f>AF36</f>
      </c>
      <c r="AG46" s="18">
        <f>AG36</f>
      </c>
      <c r="AH46" s="18">
        <f>AH36</f>
      </c>
      <c r="AI46" s="18">
        <f>AI36</f>
      </c>
      <c r="AJ46" s="18">
        <f>AJ36</f>
      </c>
      <c r="AK46" s="19"/>
    </row>
    <row r="47" ht="12.75" customHeight="1" spans="2:37" x14ac:dyDescent="0.25">
      <c r="B47" s="16" t="s">
        <v>44</v>
      </c>
      <c r="C47" s="17"/>
      <c r="D47" s="17"/>
      <c r="E47" s="18">
        <f>E40</f>
      </c>
      <c r="F47" s="18">
        <f>F40</f>
      </c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46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42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43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44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20" t="s">
        <v>45</v>
      </c>
      <c r="C55" s="21"/>
      <c r="D55" s="21"/>
      <c r="E55" s="22">
        <f>E51+E52+E53+E54</f>
      </c>
      <c r="F55" s="22">
        <f>F51+F52+F53+F54</f>
      </c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3"/>
    </row>
    <row r="57" ht="12.75" customHeight="1" spans="2:37" x14ac:dyDescent="0.25">
      <c r="B57" s="11" t="s">
        <v>47</v>
      </c>
      <c r="C57" s="12"/>
      <c r="D57" s="13"/>
      <c r="E57" s="14" t="s">
        <v>7</v>
      </c>
      <c r="F57" s="14" t="s">
        <v>8</v>
      </c>
      <c r="G57" s="14" t="s">
        <v>9</v>
      </c>
      <c r="H57" s="14" t="s">
        <v>10</v>
      </c>
      <c r="I57" s="14" t="s">
        <v>11</v>
      </c>
      <c r="J57" s="14" t="s">
        <v>12</v>
      </c>
      <c r="K57" s="14" t="s">
        <v>13</v>
      </c>
      <c r="L57" s="14" t="s">
        <v>14</v>
      </c>
      <c r="M57" s="14" t="s">
        <v>15</v>
      </c>
      <c r="N57" s="14" t="s">
        <v>16</v>
      </c>
      <c r="O57" s="14" t="s">
        <v>17</v>
      </c>
      <c r="P57" s="14" t="s">
        <v>18</v>
      </c>
      <c r="Q57" s="14" t="s">
        <v>19</v>
      </c>
      <c r="R57" s="14" t="s">
        <v>20</v>
      </c>
      <c r="S57" s="14" t="s">
        <v>21</v>
      </c>
      <c r="T57" s="14" t="s">
        <v>22</v>
      </c>
      <c r="U57" s="14" t="s">
        <v>23</v>
      </c>
      <c r="V57" s="14" t="s">
        <v>24</v>
      </c>
      <c r="W57" s="14" t="s">
        <v>25</v>
      </c>
      <c r="X57" s="14" t="s">
        <v>26</v>
      </c>
      <c r="Y57" s="14" t="s">
        <v>27</v>
      </c>
      <c r="Z57" s="14" t="s">
        <v>28</v>
      </c>
      <c r="AA57" s="14" t="s">
        <v>29</v>
      </c>
      <c r="AB57" s="14" t="s">
        <v>30</v>
      </c>
      <c r="AC57" s="14" t="s">
        <v>31</v>
      </c>
      <c r="AD57" s="14" t="s">
        <v>32</v>
      </c>
      <c r="AE57" s="14" t="s">
        <v>33</v>
      </c>
      <c r="AF57" s="14" t="s">
        <v>34</v>
      </c>
      <c r="AG57" s="14" t="s">
        <v>35</v>
      </c>
      <c r="AH57" s="14" t="s">
        <v>36</v>
      </c>
      <c r="AI57" s="14" t="s">
        <v>37</v>
      </c>
      <c r="AJ57" s="14" t="s">
        <v>38</v>
      </c>
      <c r="AK57" s="15"/>
    </row>
    <row r="58" ht="12.75" customHeight="1" spans="2:37" x14ac:dyDescent="0.25">
      <c r="B58" s="16" t="s">
        <v>41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42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43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44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20" t="s">
        <v>45</v>
      </c>
      <c r="C62" s="21"/>
      <c r="D62" s="21"/>
      <c r="E62" s="25">
        <f>E58+E59+E60+E61</f>
      </c>
      <c r="F62" s="25">
        <f>F58+F59+F60+F61</f>
      </c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578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597</v>
      </c>
      <c r="W8" s="44" t="s">
        <v>598</v>
      </c>
      <c r="X8" s="44" t="s">
        <v>599</v>
      </c>
      <c r="Y8" s="44" t="s">
        <v>600</v>
      </c>
      <c r="Z8" s="44" t="s">
        <v>601</v>
      </c>
      <c r="AA8" s="44" t="s">
        <v>602</v>
      </c>
      <c r="AB8" s="44" t="s">
        <v>603</v>
      </c>
      <c r="AC8" s="44" t="s">
        <v>604</v>
      </c>
      <c r="AD8" s="44" t="s">
        <v>605</v>
      </c>
      <c r="AE8" s="44" t="s">
        <v>606</v>
      </c>
      <c r="AF8" s="44" t="s">
        <v>607</v>
      </c>
      <c r="AG8" s="44" t="s">
        <v>608</v>
      </c>
      <c r="AH8" s="44" t="s">
        <v>609</v>
      </c>
      <c r="AI8" s="44" t="s">
        <v>610</v>
      </c>
      <c r="AJ8" s="44" t="s">
        <v>611</v>
      </c>
      <c r="AK8" s="44" t="s">
        <v>178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578</v>
      </c>
      <c r="D14" s="50" t="s">
        <v>42</v>
      </c>
      <c r="E14" s="32" t="s">
        <v>227</v>
      </c>
      <c r="F14" s="32" t="s">
        <v>579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>
        <v>25.66</v>
      </c>
      <c r="X14" s="33">
        <v>25.66</v>
      </c>
      <c r="Y14" s="33">
        <v>25.66</v>
      </c>
      <c r="Z14" s="33">
        <v>25.66</v>
      </c>
      <c r="AA14" s="33">
        <v>25.66</v>
      </c>
      <c r="AB14" s="33">
        <v>25.66</v>
      </c>
      <c r="AC14" s="33">
        <v>25.66</v>
      </c>
      <c r="AD14" s="33">
        <v>25.66</v>
      </c>
      <c r="AE14" s="33">
        <v>25.66</v>
      </c>
      <c r="AF14" s="33">
        <v>25.66</v>
      </c>
      <c r="AG14" s="33">
        <v>25.66</v>
      </c>
      <c r="AH14" s="33">
        <v>25.66</v>
      </c>
      <c r="AI14" s="33">
        <v>30.8</v>
      </c>
      <c r="AJ14" s="33">
        <v>30.8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578</v>
      </c>
      <c r="D15" s="50" t="s">
        <v>42</v>
      </c>
      <c r="E15" s="32" t="s">
        <v>227</v>
      </c>
      <c r="F15" s="32" t="s">
        <v>580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v>1397.31</v>
      </c>
      <c r="X15" s="33">
        <v>1695.19</v>
      </c>
      <c r="Y15" s="33">
        <v>1405.44</v>
      </c>
      <c r="Z15" s="33">
        <v>1252.56</v>
      </c>
      <c r="AA15" s="33">
        <v>848.51</v>
      </c>
      <c r="AB15" s="33">
        <v>670.76</v>
      </c>
      <c r="AC15" s="33">
        <v>776.81</v>
      </c>
      <c r="AD15" s="33">
        <v>745.09</v>
      </c>
      <c r="AE15" s="33">
        <v>660.48</v>
      </c>
      <c r="AF15" s="33">
        <v>734.65</v>
      </c>
      <c r="AG15" s="33">
        <v>478.24</v>
      </c>
      <c r="AH15" s="33">
        <v>814.63</v>
      </c>
      <c r="AI15" s="33">
        <v>1559.12</v>
      </c>
      <c r="AJ15" s="33">
        <v>1738.12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578</v>
      </c>
      <c r="D16" s="50" t="s">
        <v>42</v>
      </c>
      <c r="E16" s="32" t="s">
        <v>227</v>
      </c>
      <c r="F16" s="32" t="s">
        <v>581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3">
        <v>57.76</v>
      </c>
      <c r="Y16" s="33">
        <v>224.06</v>
      </c>
      <c r="Z16" s="33">
        <v>165.3</v>
      </c>
      <c r="AA16" s="33">
        <v>382.06</v>
      </c>
      <c r="AB16" s="32"/>
      <c r="AC16" s="33">
        <f>88.27+38.82</f>
        <v>127.09</v>
      </c>
      <c r="AD16" s="32"/>
      <c r="AE16" s="33">
        <v>56.48</v>
      </c>
      <c r="AF16" s="33">
        <f>128.79+67.29</f>
        <v>196.07999999999998</v>
      </c>
      <c r="AG16" s="33">
        <v>106.32</v>
      </c>
      <c r="AH16" s="33">
        <v>149.81</v>
      </c>
      <c r="AI16" s="33">
        <v>35.34</v>
      </c>
      <c r="AJ16" s="32"/>
      <c r="AK16" s="33">
        <v>41.56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578</v>
      </c>
      <c r="D17" s="50" t="s">
        <v>42</v>
      </c>
      <c r="E17" s="32" t="s">
        <v>227</v>
      </c>
      <c r="F17" s="32" t="s">
        <v>582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v>28.68</v>
      </c>
      <c r="X17" s="33">
        <v>-368.41</v>
      </c>
      <c r="Y17" s="33">
        <v>-339.74</v>
      </c>
      <c r="Z17" s="33">
        <v>-311.01</v>
      </c>
      <c r="AA17" s="33">
        <v>-282.34</v>
      </c>
      <c r="AB17" s="33">
        <v>-253.73</v>
      </c>
      <c r="AC17" s="33">
        <v>-224.96</v>
      </c>
      <c r="AD17" s="33">
        <v>-196.29</v>
      </c>
      <c r="AE17" s="33">
        <v>-167.62</v>
      </c>
      <c r="AF17" s="33">
        <v>-138.89</v>
      </c>
      <c r="AG17" s="33">
        <v>-110.08</v>
      </c>
      <c r="AH17" s="33">
        <v>-79.86</v>
      </c>
      <c r="AI17" s="33">
        <v>18.72</v>
      </c>
      <c r="AJ17" s="33">
        <v>123.47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578</v>
      </c>
      <c r="D18" s="50" t="s">
        <v>42</v>
      </c>
      <c r="E18" s="32" t="s">
        <v>227</v>
      </c>
      <c r="F18" s="32" t="s">
        <v>583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45.69</v>
      </c>
      <c r="W18" s="33">
        <v>121.22</v>
      </c>
      <c r="X18" s="33">
        <v>82.7</v>
      </c>
      <c r="Y18" s="33">
        <v>280.04</v>
      </c>
      <c r="Z18" s="33">
        <v>196.43</v>
      </c>
      <c r="AA18" s="33">
        <v>55.99</v>
      </c>
      <c r="AB18" s="32"/>
      <c r="AC18" s="33">
        <f>164.57+61.07</f>
        <v>225.64</v>
      </c>
      <c r="AD18" s="32"/>
      <c r="AE18" s="33">
        <v>186.32</v>
      </c>
      <c r="AF18" s="33">
        <f>106.06+154.73</f>
        <v>260.78999999999996</v>
      </c>
      <c r="AG18" s="33">
        <v>128.17</v>
      </c>
      <c r="AH18" s="33">
        <v>215.51</v>
      </c>
      <c r="AI18" s="33">
        <v>165.32</v>
      </c>
      <c r="AJ18" s="32"/>
      <c r="AK18" s="33">
        <v>130.34</v>
      </c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578</v>
      </c>
      <c r="D19" s="50" t="s">
        <v>42</v>
      </c>
      <c r="E19" s="32" t="s">
        <v>227</v>
      </c>
      <c r="F19" s="32" t="s">
        <v>584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>
        <v>445.85</v>
      </c>
      <c r="X19" s="33">
        <v>487.77</v>
      </c>
      <c r="Y19" s="33">
        <v>383.32</v>
      </c>
      <c r="Z19" s="33">
        <v>486.17</v>
      </c>
      <c r="AA19" s="33">
        <v>496.47</v>
      </c>
      <c r="AB19" s="33">
        <v>475.62</v>
      </c>
      <c r="AC19" s="33">
        <v>464.32</v>
      </c>
      <c r="AD19" s="33">
        <v>465.92</v>
      </c>
      <c r="AE19" s="33">
        <v>412.16</v>
      </c>
      <c r="AF19" s="33">
        <v>416.51</v>
      </c>
      <c r="AG19" s="33">
        <v>232.1</v>
      </c>
      <c r="AH19" s="33">
        <v>246.44</v>
      </c>
      <c r="AI19" s="33">
        <v>347.84</v>
      </c>
      <c r="AJ19" s="33">
        <v>371.37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578</v>
      </c>
      <c r="D20" s="50" t="s">
        <v>42</v>
      </c>
      <c r="E20" s="32" t="s">
        <v>227</v>
      </c>
      <c r="F20" s="32" t="s">
        <v>585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>
        <v>198.26</v>
      </c>
      <c r="X20" s="33">
        <v>478.65</v>
      </c>
      <c r="Y20" s="33">
        <v>334.49</v>
      </c>
      <c r="Z20" s="33">
        <v>402.47</v>
      </c>
      <c r="AA20" s="33">
        <v>275.84</v>
      </c>
      <c r="AB20" s="33">
        <v>212.08</v>
      </c>
      <c r="AC20" s="33">
        <v>242.23</v>
      </c>
      <c r="AD20" s="33">
        <v>217.01</v>
      </c>
      <c r="AE20" s="33">
        <v>146.02</v>
      </c>
      <c r="AF20" s="33">
        <v>137.62</v>
      </c>
      <c r="AG20" s="33">
        <v>82.45</v>
      </c>
      <c r="AH20" s="33">
        <v>61.94</v>
      </c>
      <c r="AI20" s="33">
        <v>304.95</v>
      </c>
      <c r="AJ20" s="33">
        <v>387.92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578</v>
      </c>
      <c r="D21" s="50" t="s">
        <v>42</v>
      </c>
      <c r="E21" s="32" t="s">
        <v>227</v>
      </c>
      <c r="F21" s="32" t="s">
        <v>586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182.47</v>
      </c>
      <c r="W21" s="33">
        <v>363.93</v>
      </c>
      <c r="X21" s="33">
        <v>314.8</v>
      </c>
      <c r="Y21" s="33">
        <v>314.8</v>
      </c>
      <c r="Z21" s="33">
        <v>138.35</v>
      </c>
      <c r="AA21" s="33">
        <v>118.4</v>
      </c>
      <c r="AB21" s="33">
        <v>104.69</v>
      </c>
      <c r="AC21" s="33">
        <v>115.14</v>
      </c>
      <c r="AD21" s="33">
        <v>112.88</v>
      </c>
      <c r="AE21" s="33">
        <v>101.59</v>
      </c>
      <c r="AF21" s="33">
        <v>116.01</v>
      </c>
      <c r="AG21" s="33">
        <v>121.22</v>
      </c>
      <c r="AH21" s="33">
        <v>113.22</v>
      </c>
      <c r="AI21" s="33">
        <v>261.19</v>
      </c>
      <c r="AJ21" s="33">
        <v>207.33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578</v>
      </c>
      <c r="D22" s="50" t="s">
        <v>42</v>
      </c>
      <c r="E22" s="32" t="s">
        <v>227</v>
      </c>
      <c r="F22" s="32" t="s">
        <v>587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>
        <v>110.99</v>
      </c>
      <c r="X22" s="33">
        <v>-131.82</v>
      </c>
      <c r="Y22" s="33">
        <v>-19.43</v>
      </c>
      <c r="Z22" s="33">
        <v>125.44</v>
      </c>
      <c r="AA22" s="33">
        <v>155.83</v>
      </c>
      <c r="AB22" s="33">
        <v>152.84</v>
      </c>
      <c r="AC22" s="33">
        <v>179.25</v>
      </c>
      <c r="AD22" s="33">
        <v>182.09</v>
      </c>
      <c r="AE22" s="33">
        <v>166.4</v>
      </c>
      <c r="AF22" s="33">
        <v>147.05</v>
      </c>
      <c r="AG22" s="33">
        <v>105.09</v>
      </c>
      <c r="AH22" s="33">
        <v>120.77</v>
      </c>
      <c r="AI22" s="33">
        <v>146.55</v>
      </c>
      <c r="AJ22" s="33">
        <v>129.72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578</v>
      </c>
      <c r="D23" s="50" t="s">
        <v>42</v>
      </c>
      <c r="E23" s="32" t="s">
        <v>227</v>
      </c>
      <c r="F23" s="32" t="s">
        <v>588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>
        <v>1104.87</v>
      </c>
      <c r="X23" s="33">
        <v>621.92</v>
      </c>
      <c r="Y23" s="33">
        <v>1290.63</v>
      </c>
      <c r="Z23" s="33">
        <v>1301.65</v>
      </c>
      <c r="AA23" s="33">
        <v>1103.83</v>
      </c>
      <c r="AB23" s="33">
        <v>1011.28</v>
      </c>
      <c r="AC23" s="33">
        <v>1409.74</v>
      </c>
      <c r="AD23" s="33">
        <v>1190.35</v>
      </c>
      <c r="AE23" s="33">
        <v>940.65</v>
      </c>
      <c r="AF23" s="33">
        <v>1047.97</v>
      </c>
      <c r="AG23" s="33">
        <v>974.23</v>
      </c>
      <c r="AH23" s="33">
        <v>1052</v>
      </c>
      <c r="AI23" s="33">
        <v>1733.12</v>
      </c>
      <c r="AJ23" s="33">
        <v>1641.04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578</v>
      </c>
      <c r="D24" s="50" t="s">
        <v>42</v>
      </c>
      <c r="E24" s="32" t="s">
        <v>227</v>
      </c>
      <c r="F24" s="32" t="s">
        <v>589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>
        <v>83.41</v>
      </c>
      <c r="X24" s="33">
        <v>83.71</v>
      </c>
      <c r="Y24" s="33">
        <v>83.71</v>
      </c>
      <c r="Z24" s="33">
        <v>83.71</v>
      </c>
      <c r="AA24" s="33">
        <v>83.71</v>
      </c>
      <c r="AB24" s="33">
        <v>83.71</v>
      </c>
      <c r="AC24" s="33">
        <v>83.71</v>
      </c>
      <c r="AD24" s="33">
        <v>83.71</v>
      </c>
      <c r="AE24" s="33">
        <v>83.71</v>
      </c>
      <c r="AF24" s="33">
        <v>83.71</v>
      </c>
      <c r="AG24" s="33">
        <v>83.71</v>
      </c>
      <c r="AH24" s="33">
        <v>83.71</v>
      </c>
      <c r="AI24" s="33">
        <v>78.9</v>
      </c>
      <c r="AJ24" s="33">
        <v>78.9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578</v>
      </c>
      <c r="D25" s="50" t="s">
        <v>42</v>
      </c>
      <c r="E25" s="32" t="s">
        <v>227</v>
      </c>
      <c r="F25" s="32" t="s">
        <v>590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>
        <v>724.98</v>
      </c>
      <c r="X25" s="33">
        <v>704.37</v>
      </c>
      <c r="Y25" s="33">
        <v>549.22</v>
      </c>
      <c r="Z25" s="33">
        <v>695.42</v>
      </c>
      <c r="AA25" s="33">
        <v>509.51</v>
      </c>
      <c r="AB25" s="33">
        <v>484.89</v>
      </c>
      <c r="AC25" s="33">
        <v>567.18</v>
      </c>
      <c r="AD25" s="33">
        <v>565.45</v>
      </c>
      <c r="AE25" s="33">
        <v>263.24</v>
      </c>
      <c r="AF25" s="33">
        <v>206.87</v>
      </c>
      <c r="AG25" s="33">
        <v>161.24</v>
      </c>
      <c r="AH25" s="33">
        <v>373.48</v>
      </c>
      <c r="AI25" s="33">
        <v>635</v>
      </c>
      <c r="AJ25" s="33">
        <v>649.04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578</v>
      </c>
      <c r="D26" s="50" t="s">
        <v>42</v>
      </c>
      <c r="E26" s="32" t="s">
        <v>227</v>
      </c>
      <c r="F26" s="32" t="s">
        <v>591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>
        <v>510.62</v>
      </c>
      <c r="X26" s="33">
        <v>-335.29</v>
      </c>
      <c r="Y26" s="33">
        <v>144.7</v>
      </c>
      <c r="Z26" s="33">
        <v>374.69</v>
      </c>
      <c r="AA26" s="33">
        <v>363.2</v>
      </c>
      <c r="AB26" s="33">
        <v>357.1</v>
      </c>
      <c r="AC26" s="33">
        <v>439.93</v>
      </c>
      <c r="AD26" s="33">
        <v>449.26</v>
      </c>
      <c r="AE26" s="33">
        <v>389.58</v>
      </c>
      <c r="AF26" s="33">
        <v>395.39</v>
      </c>
      <c r="AG26" s="33">
        <v>229.6</v>
      </c>
      <c r="AH26" s="33">
        <v>279.41</v>
      </c>
      <c r="AI26" s="33">
        <v>505.89</v>
      </c>
      <c r="AJ26" s="33">
        <v>526.19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578</v>
      </c>
      <c r="D27" s="50" t="s">
        <v>42</v>
      </c>
      <c r="E27" s="32" t="s">
        <v>227</v>
      </c>
      <c r="F27" s="32" t="s">
        <v>592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200.7</v>
      </c>
      <c r="W27" s="33">
        <v>152.56</v>
      </c>
      <c r="X27" s="33">
        <v>159.78</v>
      </c>
      <c r="Y27" s="33">
        <v>171.38</v>
      </c>
      <c r="Z27" s="33">
        <v>114.28</v>
      </c>
      <c r="AA27" s="33">
        <v>214.59</v>
      </c>
      <c r="AB27" s="32"/>
      <c r="AC27" s="33">
        <f>123.84+45.41</f>
        <v>169.25</v>
      </c>
      <c r="AD27" s="32"/>
      <c r="AE27" s="33">
        <v>75.72</v>
      </c>
      <c r="AF27" s="33">
        <f>97.11+107.92</f>
        <v>205.03</v>
      </c>
      <c r="AG27" s="33">
        <v>123.46</v>
      </c>
      <c r="AH27" s="33">
        <v>233.38</v>
      </c>
      <c r="AI27" s="33">
        <v>275.37</v>
      </c>
      <c r="AJ27" s="32"/>
      <c r="AK27" s="33">
        <v>303.33</v>
      </c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578</v>
      </c>
      <c r="D28" s="50" t="s">
        <v>42</v>
      </c>
      <c r="E28" s="32" t="s">
        <v>227</v>
      </c>
      <c r="F28" s="32" t="s">
        <v>593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3">
        <v>446.85</v>
      </c>
      <c r="X28" s="33">
        <v>552.26</v>
      </c>
      <c r="Y28" s="33">
        <v>450.13</v>
      </c>
      <c r="Z28" s="33">
        <v>447.95</v>
      </c>
      <c r="AA28" s="33">
        <v>441.13</v>
      </c>
      <c r="AB28" s="33">
        <v>462.73</v>
      </c>
      <c r="AC28" s="33">
        <v>663.83</v>
      </c>
      <c r="AD28" s="33">
        <v>522.84</v>
      </c>
      <c r="AE28" s="33">
        <v>455.06</v>
      </c>
      <c r="AF28" s="33">
        <v>469.54</v>
      </c>
      <c r="AG28" s="33">
        <v>302.65</v>
      </c>
      <c r="AH28" s="33">
        <v>386.37</v>
      </c>
      <c r="AI28" s="33">
        <v>457.75</v>
      </c>
      <c r="AJ28" s="33">
        <v>474.14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578</v>
      </c>
      <c r="D29" s="50" t="s">
        <v>42</v>
      </c>
      <c r="E29" s="32" t="s">
        <v>227</v>
      </c>
      <c r="F29" s="32" t="s">
        <v>594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3">
        <v>33.13</v>
      </c>
      <c r="X29" s="33">
        <v>-245.57</v>
      </c>
      <c r="Y29" s="33">
        <v>-216.36</v>
      </c>
      <c r="Z29" s="33">
        <v>-185.1</v>
      </c>
      <c r="AA29" s="33">
        <v>-106.56</v>
      </c>
      <c r="AB29" s="33">
        <v>8.12</v>
      </c>
      <c r="AC29" s="33">
        <v>156.38</v>
      </c>
      <c r="AD29" s="33">
        <v>118.09</v>
      </c>
      <c r="AE29" s="33">
        <v>93.85</v>
      </c>
      <c r="AF29" s="33">
        <v>76.52</v>
      </c>
      <c r="AG29" s="33">
        <v>34.71</v>
      </c>
      <c r="AH29" s="33">
        <v>96.43</v>
      </c>
      <c r="AI29" s="33">
        <v>124.86</v>
      </c>
      <c r="AJ29" s="33">
        <v>127.9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578</v>
      </c>
      <c r="D30" s="50" t="s">
        <v>42</v>
      </c>
      <c r="E30" s="32" t="s">
        <v>227</v>
      </c>
      <c r="F30" s="32" t="s">
        <v>595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>
        <v>952.95</v>
      </c>
      <c r="X30" s="33">
        <v>951.97</v>
      </c>
      <c r="Y30" s="33">
        <v>848.61</v>
      </c>
      <c r="Z30" s="33">
        <v>1083.56</v>
      </c>
      <c r="AA30" s="33">
        <v>698.03</v>
      </c>
      <c r="AB30" s="33">
        <v>694.82</v>
      </c>
      <c r="AC30" s="33">
        <v>649.37</v>
      </c>
      <c r="AD30" s="33">
        <v>562.61</v>
      </c>
      <c r="AE30" s="33">
        <v>559.54</v>
      </c>
      <c r="AF30" s="33">
        <v>698.15</v>
      </c>
      <c r="AG30" s="33">
        <v>782.15</v>
      </c>
      <c r="AH30" s="33">
        <v>1057.71</v>
      </c>
      <c r="AI30" s="33">
        <v>1348.91</v>
      </c>
      <c r="AJ30" s="33">
        <v>1422.31</v>
      </c>
      <c r="AK30" s="32"/>
      <c r="AL30" s="34">
        <f>SUM(G30:AK30)</f>
      </c>
      <c r="AM30" s="35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85</v>
      </c>
      <c r="E32" s="21"/>
      <c r="F32" s="21"/>
      <c r="G32" s="22">
        <f>SUM(G14:G30)</f>
      </c>
      <c r="H32" s="22">
        <f>SUM(H14:H30)</f>
      </c>
      <c r="I32" s="22">
        <f>SUM(I14:I30)</f>
      </c>
      <c r="J32" s="22">
        <f>SUM(J14:J30)</f>
      </c>
      <c r="K32" s="22">
        <f>SUM(K14:K30)</f>
      </c>
      <c r="L32" s="22">
        <f>SUM(L14:L30)</f>
      </c>
      <c r="M32" s="22">
        <f>SUM(M14:M30)</f>
      </c>
      <c r="N32" s="22">
        <f>SUM(N14:N30)</f>
      </c>
      <c r="O32" s="22">
        <f>SUM(O14:O30)</f>
      </c>
      <c r="P32" s="22">
        <f>SUM(P14:P30)</f>
      </c>
      <c r="Q32" s="22">
        <f>SUM(Q14:Q30)</f>
      </c>
      <c r="R32" s="22">
        <f>SUM(R14:R30)</f>
      </c>
      <c r="S32" s="22">
        <f>SUM(S14:S30)</f>
      </c>
      <c r="T32" s="22">
        <f>SUM(T14:T30)</f>
      </c>
      <c r="U32" s="22">
        <f>SUM(U14:U30)</f>
      </c>
      <c r="V32" s="22">
        <f>SUM(V14:V30)</f>
      </c>
      <c r="W32" s="22">
        <f>SUM(W14:W30)</f>
      </c>
      <c r="X32" s="22">
        <f>SUM(X14:X30)</f>
      </c>
      <c r="Y32" s="22">
        <f>SUM(Y14:Y30)</f>
      </c>
      <c r="Z32" s="22">
        <f>SUM(Z14:Z30)</f>
      </c>
      <c r="AA32" s="22">
        <f>SUM(AA14:AA30)</f>
      </c>
      <c r="AB32" s="22">
        <f>SUM(AB14:AB30)</f>
      </c>
      <c r="AC32" s="22">
        <f>SUM(AC14:AC30)</f>
      </c>
      <c r="AD32" s="22">
        <f>SUM(AD14:AD30)</f>
      </c>
      <c r="AE32" s="22">
        <f>SUM(AE14:AE30)</f>
      </c>
      <c r="AF32" s="22">
        <f>SUM(AF14:AF30)</f>
      </c>
      <c r="AG32" s="22">
        <f>SUM(AG14:AG30)</f>
      </c>
      <c r="AH32" s="22">
        <f>SUM(AH14:AH30)</f>
      </c>
      <c r="AI32" s="22">
        <f>SUM(AI14:AI30)</f>
      </c>
      <c r="AJ32" s="22">
        <f>SUM(AJ14:AJ30)</f>
      </c>
      <c r="AK32" s="22">
        <f>SUM(AK14:AK30)</f>
      </c>
      <c r="AL32" s="22">
        <f>SUM(AL14:AL30)</f>
      </c>
      <c r="AM32" s="23"/>
    </row>
    <row r="34" ht="13.5" customHeight="1" spans="2:39" x14ac:dyDescent="0.25">
      <c r="B34" s="46"/>
      <c r="C34" s="28"/>
      <c r="D34" s="47" t="s">
        <v>43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/>
    </row>
    <row r="35" ht="13.5" customHeight="1" spans="2:39" x14ac:dyDescent="0.25">
      <c r="B35" s="48" t="s">
        <v>3</v>
      </c>
      <c r="C35" s="49" t="s">
        <v>578</v>
      </c>
      <c r="D35" s="50" t="s">
        <v>43</v>
      </c>
      <c r="E35" s="32" t="s">
        <v>596</v>
      </c>
      <c r="F35" s="32" t="s">
        <v>564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f>4987.41+2991.54</f>
        <v>7978.95</v>
      </c>
      <c r="W35" s="33">
        <f>5021.37+3005.42</f>
        <v>8026.79</v>
      </c>
      <c r="X35" s="33">
        <f>5581.71+3234.44</f>
        <v>8816.15</v>
      </c>
      <c r="Y35" s="33">
        <f>5802.45+3324.66</f>
        <v>9127.11</v>
      </c>
      <c r="Z35" s="33">
        <f>6226.95+3498.16</f>
        <v>9725.11</v>
      </c>
      <c r="AA35" s="33">
        <f>8043.81+4240.74</f>
        <v>12284.55</v>
      </c>
      <c r="AB35" s="33">
        <f>7924.95+4192.16</f>
        <v>12117.11</v>
      </c>
      <c r="AC35" s="33">
        <f>4206.33+2672.30</f>
        <v>6878.63</v>
      </c>
      <c r="AD35" s="33">
        <f>4681.77+2919.62</f>
        <v>7601.39</v>
      </c>
      <c r="AE35" s="33">
        <f>4919.49+2963.78</f>
        <v>7883.27</v>
      </c>
      <c r="AF35" s="33">
        <f>3685.17+2574.15</f>
        <v>6259.32</v>
      </c>
      <c r="AG35" s="33">
        <f>288.43+477.89</f>
        <v>766.3199999999999</v>
      </c>
      <c r="AH35" s="33">
        <f>3507.77+2499.55</f>
        <v>6007.32</v>
      </c>
      <c r="AI35" s="33">
        <f>7286.39+4088.53</f>
        <v>11374.92</v>
      </c>
      <c r="AJ35" s="33">
        <f>6825.15+3894.57</f>
        <v>10719.72</v>
      </c>
      <c r="AK35" s="32"/>
      <c r="AL35" s="34">
        <f>SUM(G35:AK35)</f>
      </c>
      <c r="AM35" s="35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89</v>
      </c>
      <c r="E37" s="21"/>
      <c r="F37" s="21"/>
      <c r="G37" s="22">
        <f>SUM(G35:G35)</f>
      </c>
      <c r="H37" s="22">
        <f>SUM(H35:H35)</f>
      </c>
      <c r="I37" s="22">
        <f>SUM(I35:I35)</f>
      </c>
      <c r="J37" s="22">
        <f>SUM(J35:J35)</f>
      </c>
      <c r="K37" s="22">
        <f>SUM(K35:K35)</f>
      </c>
      <c r="L37" s="22">
        <f>SUM(L35:L35)</f>
      </c>
      <c r="M37" s="22">
        <f>SUM(M35:M35)</f>
      </c>
      <c r="N37" s="22">
        <f>SUM(N35:N35)</f>
      </c>
      <c r="O37" s="22">
        <f>SUM(O35:O35)</f>
      </c>
      <c r="P37" s="22">
        <f>SUM(P35:P35)</f>
      </c>
      <c r="Q37" s="22">
        <f>SUM(Q35:Q35)</f>
      </c>
      <c r="R37" s="22">
        <f>SUM(R35:R35)</f>
      </c>
      <c r="S37" s="22">
        <f>SUM(S35:S35)</f>
      </c>
      <c r="T37" s="22">
        <f>SUM(T35:T35)</f>
      </c>
      <c r="U37" s="22">
        <f>SUM(U35:U35)</f>
      </c>
      <c r="V37" s="22">
        <f>SUM(V35:V35)</f>
      </c>
      <c r="W37" s="22">
        <f>SUM(W35:W35)</f>
      </c>
      <c r="X37" s="22">
        <f>SUM(X35:X35)</f>
      </c>
      <c r="Y37" s="22">
        <f>SUM(Y35:Y35)</f>
      </c>
      <c r="Z37" s="22">
        <f>SUM(Z35:Z35)</f>
      </c>
      <c r="AA37" s="22">
        <f>SUM(AA35:AA35)</f>
      </c>
      <c r="AB37" s="22">
        <f>SUM(AB35:AB35)</f>
      </c>
      <c r="AC37" s="22">
        <f>SUM(AC35:AC35)</f>
      </c>
      <c r="AD37" s="22">
        <f>SUM(AD35:AD35)</f>
      </c>
      <c r="AE37" s="22">
        <f>SUM(AE35:AE35)</f>
      </c>
      <c r="AF37" s="22">
        <f>SUM(AF35:AF35)</f>
      </c>
      <c r="AG37" s="22">
        <f>SUM(AG35:AG35)</f>
      </c>
      <c r="AH37" s="22">
        <f>SUM(AH35:AH35)</f>
      </c>
      <c r="AI37" s="22">
        <f>SUM(AI35:AI35)</f>
      </c>
      <c r="AJ37" s="22">
        <f>SUM(AJ35:AJ35)</f>
      </c>
      <c r="AK37" s="22">
        <f>SUM(AK35:AK35)</f>
      </c>
      <c r="AL37" s="22">
        <f>SUM(AL35:AL35)</f>
      </c>
      <c r="AM37" s="23"/>
    </row>
    <row r="39" ht="13.5" customHeight="1" spans="2:39" x14ac:dyDescent="0.25">
      <c r="B39" s="46"/>
      <c r="C39" s="28"/>
      <c r="D39" s="47" t="s">
        <v>44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9"/>
    </row>
    <row r="40" ht="13.5" customHeight="1" spans="2:39" x14ac:dyDescent="0.25">
      <c r="B40" s="5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0"/>
    </row>
    <row r="41" ht="13.5" customHeight="1" spans="2:39" x14ac:dyDescent="0.25">
      <c r="B41" s="20"/>
      <c r="C41" s="21"/>
      <c r="D41" s="21" t="s">
        <v>90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3"/>
    </row>
    <row r="44" ht="12.75" customHeight="1" spans="2:39" x14ac:dyDescent="0.25">
      <c r="B44" s="11" t="s">
        <v>40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>
        <f>G11</f>
      </c>
      <c r="H45" s="18">
        <f>H11</f>
      </c>
      <c r="I45" s="18">
        <f>I11</f>
      </c>
      <c r="J45" s="18">
        <f>J11</f>
      </c>
      <c r="K45" s="18">
        <f>K11</f>
      </c>
      <c r="L45" s="18">
        <f>L11</f>
      </c>
      <c r="M45" s="18">
        <f>M11</f>
      </c>
      <c r="N45" s="18">
        <f>N11</f>
      </c>
      <c r="O45" s="18">
        <f>O11</f>
      </c>
      <c r="P45" s="18">
        <f>P11</f>
      </c>
      <c r="Q45" s="18">
        <f>Q11</f>
      </c>
      <c r="R45" s="18">
        <f>R11</f>
      </c>
      <c r="S45" s="18">
        <f>S11</f>
      </c>
      <c r="T45" s="18">
        <f>T11</f>
      </c>
      <c r="U45" s="18">
        <f>U11</f>
      </c>
      <c r="V45" s="18">
        <f>V11</f>
      </c>
      <c r="W45" s="18">
        <f>W11</f>
      </c>
      <c r="X45" s="18">
        <f>X11</f>
      </c>
      <c r="Y45" s="18">
        <f>Y11</f>
      </c>
      <c r="Z45" s="18">
        <f>Z11</f>
      </c>
      <c r="AA45" s="18">
        <f>AA11</f>
      </c>
      <c r="AB45" s="18">
        <f>AB11</f>
      </c>
      <c r="AC45" s="18">
        <f>AC11</f>
      </c>
      <c r="AD45" s="18">
        <f>AD11</f>
      </c>
      <c r="AE45" s="18">
        <f>AE11</f>
      </c>
      <c r="AF45" s="18">
        <f>AF11</f>
      </c>
      <c r="AG45" s="18">
        <f>AG11</f>
      </c>
      <c r="AH45" s="18">
        <f>AH11</f>
      </c>
      <c r="AI45" s="18">
        <f>AI11</f>
      </c>
      <c r="AJ45" s="18">
        <f>AJ11</f>
      </c>
      <c r="AK45" s="18">
        <f>AK11</f>
      </c>
      <c r="AL45" s="18">
        <f>AL11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>
        <f>G32</f>
      </c>
      <c r="H46" s="18">
        <f>H32</f>
      </c>
      <c r="I46" s="18">
        <f>I32</f>
      </c>
      <c r="J46" s="18">
        <f>J32</f>
      </c>
      <c r="K46" s="18">
        <f>K32</f>
      </c>
      <c r="L46" s="18">
        <f>L32</f>
      </c>
      <c r="M46" s="18">
        <f>M32</f>
      </c>
      <c r="N46" s="18">
        <f>N32</f>
      </c>
      <c r="O46" s="18">
        <f>O32</f>
      </c>
      <c r="P46" s="18">
        <f>P32</f>
      </c>
      <c r="Q46" s="18">
        <f>Q32</f>
      </c>
      <c r="R46" s="18">
        <f>R32</f>
      </c>
      <c r="S46" s="18">
        <f>S32</f>
      </c>
      <c r="T46" s="18">
        <f>T32</f>
      </c>
      <c r="U46" s="18">
        <f>U32</f>
      </c>
      <c r="V46" s="18">
        <f>V32</f>
      </c>
      <c r="W46" s="18">
        <f>W32</f>
      </c>
      <c r="X46" s="18">
        <f>X32</f>
      </c>
      <c r="Y46" s="18">
        <f>Y32</f>
      </c>
      <c r="Z46" s="18">
        <f>Z32</f>
      </c>
      <c r="AA46" s="18">
        <f>AA32</f>
      </c>
      <c r="AB46" s="18">
        <f>AB32</f>
      </c>
      <c r="AC46" s="18">
        <f>AC32</f>
      </c>
      <c r="AD46" s="18">
        <f>AD32</f>
      </c>
      <c r="AE46" s="18">
        <f>AE32</f>
      </c>
      <c r="AF46" s="18">
        <f>AF32</f>
      </c>
      <c r="AG46" s="18">
        <f>AG32</f>
      </c>
      <c r="AH46" s="18">
        <f>AH32</f>
      </c>
      <c r="AI46" s="18">
        <f>AI32</f>
      </c>
      <c r="AJ46" s="18">
        <f>AJ32</f>
      </c>
      <c r="AK46" s="18">
        <f>AK32</f>
      </c>
      <c r="AL46" s="18">
        <f>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>
        <f>G37</f>
      </c>
      <c r="H47" s="18">
        <f>H37</f>
      </c>
      <c r="I47" s="18">
        <f>I37</f>
      </c>
      <c r="J47" s="18">
        <f>J37</f>
      </c>
      <c r="K47" s="18">
        <f>K37</f>
      </c>
      <c r="L47" s="18">
        <f>L37</f>
      </c>
      <c r="M47" s="18">
        <f>M37</f>
      </c>
      <c r="N47" s="18">
        <f>N37</f>
      </c>
      <c r="O47" s="18">
        <f>O37</f>
      </c>
      <c r="P47" s="18">
        <f>P37</f>
      </c>
      <c r="Q47" s="18">
        <f>Q37</f>
      </c>
      <c r="R47" s="18">
        <f>R37</f>
      </c>
      <c r="S47" s="18">
        <f>S37</f>
      </c>
      <c r="T47" s="18">
        <f>T37</f>
      </c>
      <c r="U47" s="18">
        <f>U37</f>
      </c>
      <c r="V47" s="18">
        <f>V37</f>
      </c>
      <c r="W47" s="18">
        <f>W37</f>
      </c>
      <c r="X47" s="18">
        <f>X37</f>
      </c>
      <c r="Y47" s="18">
        <f>Y37</f>
      </c>
      <c r="Z47" s="18">
        <f>Z37</f>
      </c>
      <c r="AA47" s="18">
        <f>AA37</f>
      </c>
      <c r="AB47" s="18">
        <f>AB37</f>
      </c>
      <c r="AC47" s="18">
        <f>AC37</f>
      </c>
      <c r="AD47" s="18">
        <f>AD37</f>
      </c>
      <c r="AE47" s="18">
        <f>AE37</f>
      </c>
      <c r="AF47" s="18">
        <f>AF37</f>
      </c>
      <c r="AG47" s="18">
        <f>AG37</f>
      </c>
      <c r="AH47" s="18">
        <f>AH37</f>
      </c>
      <c r="AI47" s="18">
        <f>AI37</f>
      </c>
      <c r="AJ47" s="18">
        <f>AJ37</f>
      </c>
      <c r="AK47" s="18">
        <f>AK37</f>
      </c>
      <c r="AL47" s="18">
        <f>AL37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>
        <f>G41</f>
      </c>
      <c r="H48" s="18">
        <f>H41</f>
      </c>
      <c r="I48" s="18">
        <f>I41</f>
      </c>
      <c r="J48" s="18">
        <f>J41</f>
      </c>
      <c r="K48" s="18">
        <f>K41</f>
      </c>
      <c r="L48" s="18">
        <f>L41</f>
      </c>
      <c r="M48" s="18">
        <f>M41</f>
      </c>
      <c r="N48" s="18">
        <f>N41</f>
      </c>
      <c r="O48" s="18">
        <f>O41</f>
      </c>
      <c r="P48" s="18">
        <f>P41</f>
      </c>
      <c r="Q48" s="18">
        <f>Q41</f>
      </c>
      <c r="R48" s="18">
        <f>R41</f>
      </c>
      <c r="S48" s="18">
        <f>S41</f>
      </c>
      <c r="T48" s="18">
        <f>T41</f>
      </c>
      <c r="U48" s="18">
        <f>U41</f>
      </c>
      <c r="V48" s="18">
        <f>V41</f>
      </c>
      <c r="W48" s="18">
        <f>W41</f>
      </c>
      <c r="X48" s="18">
        <f>X41</f>
      </c>
      <c r="Y48" s="18">
        <f>Y41</f>
      </c>
      <c r="Z48" s="18">
        <f>Z41</f>
      </c>
      <c r="AA48" s="18">
        <f>AA41</f>
      </c>
      <c r="AB48" s="18">
        <f>AB41</f>
      </c>
      <c r="AC48" s="18">
        <f>AC41</f>
      </c>
      <c r="AD48" s="18">
        <f>AD41</f>
      </c>
      <c r="AE48" s="18">
        <f>AE41</f>
      </c>
      <c r="AF48" s="18">
        <f>AF41</f>
      </c>
      <c r="AG48" s="18">
        <f>AG41</f>
      </c>
      <c r="AH48" s="18">
        <f>AH41</f>
      </c>
      <c r="AI48" s="18">
        <f>AI41</f>
      </c>
      <c r="AJ48" s="18">
        <f>AJ41</f>
      </c>
      <c r="AK48" s="18">
        <f>AK41</f>
      </c>
      <c r="AL48" s="18">
        <f>AL41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46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2">
        <f>AK52+AK53+AK54+AK55</f>
      </c>
      <c r="AL56" s="22">
        <f>AL52+AL53+AL54+AL55</f>
      </c>
      <c r="AM56" s="23"/>
    </row>
    <row r="58" ht="12.75" customHeight="1" spans="2:39" x14ac:dyDescent="0.25">
      <c r="B58" s="11" t="s">
        <v>47</v>
      </c>
      <c r="C58" s="12"/>
      <c r="D58" s="12"/>
      <c r="E58" s="12"/>
      <c r="F58" s="12"/>
      <c r="G58" s="52" t="s">
        <v>7</v>
      </c>
      <c r="H58" s="52" t="s">
        <v>8</v>
      </c>
      <c r="I58" s="52" t="s">
        <v>9</v>
      </c>
      <c r="J58" s="52" t="s">
        <v>10</v>
      </c>
      <c r="K58" s="52" t="s">
        <v>11</v>
      </c>
      <c r="L58" s="52" t="s">
        <v>12</v>
      </c>
      <c r="M58" s="52" t="s">
        <v>13</v>
      </c>
      <c r="N58" s="52" t="s">
        <v>14</v>
      </c>
      <c r="O58" s="52" t="s">
        <v>15</v>
      </c>
      <c r="P58" s="52" t="s">
        <v>16</v>
      </c>
      <c r="Q58" s="52" t="s">
        <v>17</v>
      </c>
      <c r="R58" s="52" t="s">
        <v>18</v>
      </c>
      <c r="S58" s="52" t="s">
        <v>19</v>
      </c>
      <c r="T58" s="52" t="s">
        <v>20</v>
      </c>
      <c r="U58" s="52" t="s">
        <v>21</v>
      </c>
      <c r="V58" s="52" t="s">
        <v>22</v>
      </c>
      <c r="W58" s="52" t="s">
        <v>23</v>
      </c>
      <c r="X58" s="52" t="s">
        <v>24</v>
      </c>
      <c r="Y58" s="52" t="s">
        <v>25</v>
      </c>
      <c r="Z58" s="52" t="s">
        <v>26</v>
      </c>
      <c r="AA58" s="52" t="s">
        <v>27</v>
      </c>
      <c r="AB58" s="52" t="s">
        <v>28</v>
      </c>
      <c r="AC58" s="52" t="s">
        <v>29</v>
      </c>
      <c r="AD58" s="52" t="s">
        <v>30</v>
      </c>
      <c r="AE58" s="52" t="s">
        <v>31</v>
      </c>
      <c r="AF58" s="52" t="s">
        <v>32</v>
      </c>
      <c r="AG58" s="52" t="s">
        <v>33</v>
      </c>
      <c r="AH58" s="52" t="s">
        <v>34</v>
      </c>
      <c r="AI58" s="52" t="s">
        <v>35</v>
      </c>
      <c r="AJ58" s="52" t="s">
        <v>36</v>
      </c>
      <c r="AK58" s="52" t="s">
        <v>37</v>
      </c>
      <c r="AL58" s="52" t="s">
        <v>38</v>
      </c>
      <c r="AM58" s="15"/>
    </row>
    <row r="59" ht="12.75" customHeight="1" spans="2:39" x14ac:dyDescent="0.25">
      <c r="B59" s="16"/>
      <c r="C59" s="17"/>
      <c r="D59" s="17" t="s">
        <v>41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42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43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44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20"/>
      <c r="C63" s="21"/>
      <c r="D63" s="21" t="s">
        <v>45</v>
      </c>
      <c r="E63" s="21"/>
      <c r="F63" s="21"/>
      <c r="G63" s="25">
        <f>G59+G60+G61+G62</f>
      </c>
      <c r="H63" s="25">
        <f>H59+H60+H61+H62</f>
      </c>
      <c r="I63" s="25">
        <f>I59+I60+I61+I62</f>
      </c>
      <c r="J63" s="25">
        <f>J59+J60+J61+J62</f>
      </c>
      <c r="K63" s="25">
        <f>K59+K60+K61+K62</f>
      </c>
      <c r="L63" s="25">
        <f>L59+L60+L61+L62</f>
      </c>
      <c r="M63" s="25">
        <f>M59+M60+M61+M62</f>
      </c>
      <c r="N63" s="25">
        <f>N59+N60+N61+N62</f>
      </c>
      <c r="O63" s="25">
        <f>O59+O60+O61+O62</f>
      </c>
      <c r="P63" s="25">
        <f>P59+P60+P61+P62</f>
      </c>
      <c r="Q63" s="25">
        <f>Q59+Q60+Q61+Q62</f>
      </c>
      <c r="R63" s="25">
        <f>R59+R60+R61+R62</f>
      </c>
      <c r="S63" s="25">
        <f>S59+S60+S61+S62</f>
      </c>
      <c r="T63" s="25">
        <f>T59+T60+T61+T62</f>
      </c>
      <c r="U63" s="25">
        <f>U59+U60+U61+U62</f>
      </c>
      <c r="V63" s="25">
        <f>V59+V60+V61+V62</f>
      </c>
      <c r="W63" s="25">
        <f>W59+W60+W61+W62</f>
      </c>
      <c r="X63" s="25">
        <f>X59+X60+X61+X62</f>
      </c>
      <c r="Y63" s="25">
        <f>Y59+Y60+Y61+Y62</f>
      </c>
      <c r="Z63" s="25">
        <f>Z59+Z60+Z61+Z62</f>
      </c>
      <c r="AA63" s="25">
        <f>AA59+AA60+AA61+AA62</f>
      </c>
      <c r="AB63" s="25">
        <f>AB59+AB60+AB61+AB62</f>
      </c>
      <c r="AC63" s="25">
        <f>AC59+AC60+AC61+AC62</f>
      </c>
      <c r="AD63" s="25">
        <f>AD59+AD60+AD61+AD62</f>
      </c>
      <c r="AE63" s="25">
        <f>AE59+AE60+AE61+AE62</f>
      </c>
      <c r="AF63" s="25">
        <f>AF59+AF60+AF61+AF62</f>
      </c>
      <c r="AG63" s="25">
        <f>AG59+AG60+AG61+AG62</f>
      </c>
      <c r="AH63" s="25">
        <f>AH59+AH60+AH61+AH62</f>
      </c>
      <c r="AI63" s="25">
        <f>AI59+AI60+AI61+AI62</f>
      </c>
      <c r="AJ63" s="25">
        <f>AJ59+AJ60+AJ61+AJ62</f>
      </c>
      <c r="AK63" s="25">
        <f>AK59+AK60+AK61+AK62</f>
      </c>
      <c r="AL63" s="25">
        <f>AL59+AL60+AL61+AL62</f>
      </c>
      <c r="AM6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612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613</v>
      </c>
      <c r="E9" s="32"/>
      <c r="F9" s="32"/>
      <c r="G9" s="32"/>
      <c r="H9" s="33">
        <v>40.66</v>
      </c>
      <c r="I9" s="33">
        <v>35.59</v>
      </c>
      <c r="J9" s="33">
        <v>37.71</v>
      </c>
      <c r="K9" s="33">
        <v>40.05</v>
      </c>
      <c r="L9" s="33">
        <v>35.34</v>
      </c>
      <c r="M9" s="33">
        <v>37.72</v>
      </c>
      <c r="N9" s="33">
        <v>37.72</v>
      </c>
      <c r="O9" s="33">
        <v>35.36</v>
      </c>
      <c r="P9" s="33">
        <v>35.5</v>
      </c>
      <c r="Q9" s="33">
        <v>32.75</v>
      </c>
      <c r="R9" s="33">
        <v>34.79</v>
      </c>
      <c r="S9" s="33">
        <v>34.77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614</v>
      </c>
      <c r="E14" s="32"/>
      <c r="F14" s="32"/>
      <c r="G14" s="32"/>
      <c r="H14" s="33">
        <v>31.44</v>
      </c>
      <c r="I14" s="33">
        <v>31.44</v>
      </c>
      <c r="J14" s="33">
        <v>31.44</v>
      </c>
      <c r="K14" s="33">
        <v>31.44</v>
      </c>
      <c r="L14" s="33">
        <v>31.44</v>
      </c>
      <c r="M14" s="33">
        <v>31.44</v>
      </c>
      <c r="N14" s="33">
        <v>31.44</v>
      </c>
      <c r="O14" s="33">
        <v>31.58</v>
      </c>
      <c r="P14" s="33">
        <v>31.44</v>
      </c>
      <c r="Q14" s="33">
        <v>31.44</v>
      </c>
      <c r="R14" s="33">
        <v>31.44</v>
      </c>
      <c r="S14" s="33">
        <v>31.44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615</v>
      </c>
      <c r="E15" s="32"/>
      <c r="F15" s="32"/>
      <c r="G15" s="32"/>
      <c r="H15" s="36">
        <f>228.14+182.87+61.07</f>
        <v>472.08</v>
      </c>
      <c r="I15" s="36">
        <f>182.45+60.93+204.59</f>
        <v>447.97</v>
      </c>
      <c r="J15" s="36">
        <f>152.12+175.21+58.51</f>
        <v>385.84000000000003</v>
      </c>
      <c r="K15" s="36">
        <f>110.67+175.54+68.19</f>
        <v>354.4</v>
      </c>
      <c r="L15" s="36">
        <f>172.06+60.73+181.77</f>
        <v>414.56</v>
      </c>
      <c r="M15" s="36">
        <f>301.00+175.25+58.53</f>
        <v>534.78</v>
      </c>
      <c r="N15" s="36">
        <f>250.24+175.25+58.53</f>
        <v>484.02</v>
      </c>
      <c r="O15" s="36">
        <f>313.36+58.53+175.25</f>
        <v>547.14</v>
      </c>
      <c r="P15" s="36">
        <f>175.25+58.53+251.78</f>
        <v>485.56</v>
      </c>
      <c r="Q15" s="36">
        <f>198.65+175.25+58.53</f>
        <v>432.42999999999995</v>
      </c>
      <c r="R15" s="36">
        <f>175.36+58.58+175.29</f>
        <v>409.23</v>
      </c>
      <c r="S15" s="36">
        <f>127.62+59.21+177.05</f>
        <v>363.88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SUM(E14:E15)</f>
      </c>
      <c r="F17" s="22">
        <f>SUM(F14:F15)</f>
      </c>
      <c r="G17" s="22">
        <f>SUM(G14:G15)</f>
      </c>
      <c r="H17" s="22">
        <f>SUM(H14:H15)</f>
      </c>
      <c r="I17" s="22">
        <f>SUM(I14:I15)</f>
      </c>
      <c r="J17" s="22">
        <f>SUM(J14:J15)</f>
      </c>
      <c r="K17" s="22">
        <f>SUM(K14:K15)</f>
      </c>
      <c r="L17" s="22">
        <f>SUM(L14:L15)</f>
      </c>
      <c r="M17" s="22">
        <f>SUM(M14:M15)</f>
      </c>
      <c r="N17" s="22">
        <f>SUM(N14:N15)</f>
      </c>
      <c r="O17" s="22">
        <f>SUM(O14:O15)</f>
      </c>
      <c r="P17" s="22">
        <f>SUM(P14:P15)</f>
      </c>
      <c r="Q17" s="22">
        <f>SUM(Q14:Q15)</f>
      </c>
      <c r="R17" s="22">
        <f>SUM(R14:R15)</f>
      </c>
      <c r="S17" s="22">
        <f>SUM(S14:S15)</f>
      </c>
      <c r="T17" s="22">
        <f>SUM(T14:T15)</f>
      </c>
      <c r="U17" s="22">
        <f>SUM(U14:U15)</f>
      </c>
      <c r="V17" s="22">
        <f>SUM(V14:V15)</f>
      </c>
      <c r="W17" s="22">
        <f>SUM(W14:W15)</f>
      </c>
      <c r="X17" s="22">
        <f>SUM(X14:X15)</f>
      </c>
      <c r="Y17" s="22">
        <f>SUM(Y14:Y15)</f>
      </c>
      <c r="Z17" s="22">
        <f>SUM(Z14:Z15)</f>
      </c>
      <c r="AA17" s="22">
        <f>SUM(AA14:AA15)</f>
      </c>
      <c r="AB17" s="22">
        <f>SUM(AB14:AB15)</f>
      </c>
      <c r="AC17" s="22">
        <f>SUM(AC14:AC15)</f>
      </c>
      <c r="AD17" s="22">
        <f>SUM(AD14:AD15)</f>
      </c>
      <c r="AE17" s="22">
        <f>SUM(AE14:AE15)</f>
      </c>
      <c r="AF17" s="22">
        <f>SUM(AF14:AF15)</f>
      </c>
      <c r="AG17" s="22">
        <f>SUM(AG14:AG15)</f>
      </c>
      <c r="AH17" s="22">
        <f>SUM(AH14:AH15)</f>
      </c>
      <c r="AI17" s="22">
        <f>SUM(AI14:AI15)</f>
      </c>
      <c r="AJ17" s="22">
        <f>SUM(AJ14:AJ15)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3</v>
      </c>
      <c r="D20" s="32" t="s">
        <v>616</v>
      </c>
      <c r="E20" s="32"/>
      <c r="F20" s="32"/>
      <c r="G20" s="32"/>
      <c r="H20" s="33">
        <v>60.01</v>
      </c>
      <c r="I20" s="33">
        <v>56.61</v>
      </c>
      <c r="J20" s="33">
        <v>68.5</v>
      </c>
      <c r="K20" s="33">
        <v>71.89</v>
      </c>
      <c r="L20" s="33">
        <v>66.8</v>
      </c>
      <c r="M20" s="33">
        <v>70.19</v>
      </c>
      <c r="N20" s="33">
        <v>63.41</v>
      </c>
      <c r="O20" s="33">
        <v>66.8</v>
      </c>
      <c r="P20" s="33">
        <v>73.59</v>
      </c>
      <c r="Q20" s="33">
        <v>87.16</v>
      </c>
      <c r="R20" s="33">
        <v>138.53</v>
      </c>
      <c r="S20" s="33">
        <v>141.07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43</v>
      </c>
      <c r="C21" s="31" t="s">
        <v>3</v>
      </c>
      <c r="D21" s="32" t="s">
        <v>617</v>
      </c>
      <c r="E21" s="32"/>
      <c r="F21" s="32"/>
      <c r="G21" s="32"/>
      <c r="H21" s="36">
        <f>808.29+305.25</f>
        <v>1113.54</v>
      </c>
      <c r="I21" s="36">
        <f>833.06+308.27</f>
        <v>1141.33</v>
      </c>
      <c r="J21" s="36">
        <f>812.63+427.20</f>
        <v>1239.83</v>
      </c>
      <c r="K21" s="36">
        <f>788.12+348.16</f>
        <v>1136.28</v>
      </c>
      <c r="L21" s="36">
        <f>788.12+378.47</f>
        <v>1166.5900000000001</v>
      </c>
      <c r="M21" s="36">
        <f>813.25+421.53</f>
        <v>1234.78</v>
      </c>
      <c r="N21" s="36">
        <f>788.12+471.91</f>
        <v>1260.03</v>
      </c>
      <c r="O21" s="36">
        <f>788.12+494.64</f>
        <v>1282.76</v>
      </c>
      <c r="P21" s="36">
        <f>814.93+493.10</f>
        <v>1308.03</v>
      </c>
      <c r="Q21" s="36">
        <f>814.02+466.22</f>
        <v>1280.24</v>
      </c>
      <c r="R21" s="36">
        <f>813.77+458.89</f>
        <v>1272.6599999999999</v>
      </c>
      <c r="S21" s="36">
        <f>812.77+409.38</f>
        <v>1222.15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ht="12.75" customHeight="1" spans="2:37" x14ac:dyDescent="0.25">
      <c r="B23" s="20" t="s">
        <v>89</v>
      </c>
      <c r="C23" s="21"/>
      <c r="D23" s="21"/>
      <c r="E23" s="22">
        <f>SUM(E20:E21)</f>
      </c>
      <c r="F23" s="22">
        <f>SUM(F20:F21)</f>
      </c>
      <c r="G23" s="22">
        <f>SUM(G20:G21)</f>
      </c>
      <c r="H23" s="22">
        <f>SUM(H20:H21)</f>
      </c>
      <c r="I23" s="22">
        <f>SUM(I20:I21)</f>
      </c>
      <c r="J23" s="22">
        <f>SUM(J20:J21)</f>
      </c>
      <c r="K23" s="22">
        <f>SUM(K20:K21)</f>
      </c>
      <c r="L23" s="22">
        <f>SUM(L20:L21)</f>
      </c>
      <c r="M23" s="22">
        <f>SUM(M20:M21)</f>
      </c>
      <c r="N23" s="22">
        <f>SUM(N20:N21)</f>
      </c>
      <c r="O23" s="22">
        <f>SUM(O20:O21)</f>
      </c>
      <c r="P23" s="22">
        <f>SUM(P20:P21)</f>
      </c>
      <c r="Q23" s="22">
        <f>SUM(Q20:Q21)</f>
      </c>
      <c r="R23" s="22">
        <f>SUM(R20:R21)</f>
      </c>
      <c r="S23" s="22">
        <f>SUM(S20:S21)</f>
      </c>
      <c r="T23" s="22">
        <f>SUM(T20:T21)</f>
      </c>
      <c r="U23" s="22">
        <f>SUM(U20:U21)</f>
      </c>
      <c r="V23" s="22">
        <f>SUM(V20:V21)</f>
      </c>
      <c r="W23" s="22">
        <f>SUM(W20:W21)</f>
      </c>
      <c r="X23" s="22">
        <f>SUM(X20:X21)</f>
      </c>
      <c r="Y23" s="22">
        <f>SUM(Y20:Y21)</f>
      </c>
      <c r="Z23" s="22">
        <f>SUM(Z20:Z21)</f>
      </c>
      <c r="AA23" s="22">
        <f>SUM(AA20:AA21)</f>
      </c>
      <c r="AB23" s="22">
        <f>SUM(AB20:AB21)</f>
      </c>
      <c r="AC23" s="22">
        <f>SUM(AC20:AC21)</f>
      </c>
      <c r="AD23" s="22">
        <f>SUM(AD20:AD21)</f>
      </c>
      <c r="AE23" s="22">
        <f>SUM(AE20:AE21)</f>
      </c>
      <c r="AF23" s="22">
        <f>SUM(AF20:AF21)</f>
      </c>
      <c r="AG23" s="22">
        <f>SUM(AG20:AG21)</f>
      </c>
      <c r="AH23" s="22">
        <f>SUM(AH20:AH21)</f>
      </c>
      <c r="AI23" s="22">
        <f>SUM(AI20:AI21)</f>
      </c>
      <c r="AJ23" s="22">
        <f>SUM(AJ20:AJ21)</f>
      </c>
      <c r="AK23" s="23"/>
    </row>
    <row r="25" ht="12.75" customHeight="1" spans="2:37" x14ac:dyDescent="0.25">
      <c r="B25" s="26" t="s">
        <v>44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E11</f>
      </c>
      <c r="F31" s="18">
        <f>F11</f>
      </c>
      <c r="G31" s="18">
        <f>G11</f>
      </c>
      <c r="H31" s="18">
        <f>H11</f>
      </c>
      <c r="I31" s="18">
        <f>I11</f>
      </c>
      <c r="J31" s="18">
        <f>J11</f>
      </c>
      <c r="K31" s="18">
        <f>K11</f>
      </c>
      <c r="L31" s="18">
        <f>L11</f>
      </c>
      <c r="M31" s="18">
        <f>M11</f>
      </c>
      <c r="N31" s="18">
        <f>N11</f>
      </c>
      <c r="O31" s="18">
        <f>O11</f>
      </c>
      <c r="P31" s="18">
        <f>P11</f>
      </c>
      <c r="Q31" s="18">
        <f>Q11</f>
      </c>
      <c r="R31" s="18">
        <f>R11</f>
      </c>
      <c r="S31" s="18">
        <f>S11</f>
      </c>
      <c r="T31" s="18">
        <f>T11</f>
      </c>
      <c r="U31" s="18">
        <f>U11</f>
      </c>
      <c r="V31" s="18">
        <f>V11</f>
      </c>
      <c r="W31" s="18">
        <f>W11</f>
      </c>
      <c r="X31" s="18">
        <f>X11</f>
      </c>
      <c r="Y31" s="18">
        <f>Y11</f>
      </c>
      <c r="Z31" s="18">
        <f>Z11</f>
      </c>
      <c r="AA31" s="18">
        <f>AA11</f>
      </c>
      <c r="AB31" s="18">
        <f>AB11</f>
      </c>
      <c r="AC31" s="18">
        <f>AC11</f>
      </c>
      <c r="AD31" s="18">
        <f>AD11</f>
      </c>
      <c r="AE31" s="18">
        <f>AE11</f>
      </c>
      <c r="AF31" s="18">
        <f>AF11</f>
      </c>
      <c r="AG31" s="18">
        <f>AG11</f>
      </c>
      <c r="AH31" s="18">
        <f>AH11</f>
      </c>
      <c r="AI31" s="18">
        <f>AI11</f>
      </c>
      <c r="AJ31" s="18">
        <f>AJ11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E23</f>
      </c>
      <c r="F33" s="18">
        <f>F23</f>
      </c>
      <c r="G33" s="18">
        <f>G23</f>
      </c>
      <c r="H33" s="18">
        <f>H23</f>
      </c>
      <c r="I33" s="18">
        <f>I23</f>
      </c>
      <c r="J33" s="18">
        <f>J23</f>
      </c>
      <c r="K33" s="18">
        <f>K23</f>
      </c>
      <c r="L33" s="18">
        <f>L23</f>
      </c>
      <c r="M33" s="18">
        <f>M23</f>
      </c>
      <c r="N33" s="18">
        <f>N23</f>
      </c>
      <c r="O33" s="18">
        <f>O23</f>
      </c>
      <c r="P33" s="18">
        <f>P23</f>
      </c>
      <c r="Q33" s="18">
        <f>Q23</f>
      </c>
      <c r="R33" s="18">
        <f>R23</f>
      </c>
      <c r="S33" s="18">
        <f>S23</f>
      </c>
      <c r="T33" s="18">
        <f>T23</f>
      </c>
      <c r="U33" s="18">
        <f>U23</f>
      </c>
      <c r="V33" s="18">
        <f>V23</f>
      </c>
      <c r="W33" s="18">
        <f>W23</f>
      </c>
      <c r="X33" s="18">
        <f>X23</f>
      </c>
      <c r="Y33" s="18">
        <f>Y23</f>
      </c>
      <c r="Z33" s="18">
        <f>Z23</f>
      </c>
      <c r="AA33" s="18">
        <f>AA23</f>
      </c>
      <c r="AB33" s="18">
        <f>AB23</f>
      </c>
      <c r="AC33" s="18">
        <f>AC23</f>
      </c>
      <c r="AD33" s="18">
        <f>AD23</f>
      </c>
      <c r="AE33" s="18">
        <f>AE23</f>
      </c>
      <c r="AF33" s="18">
        <f>AF23</f>
      </c>
      <c r="AG33" s="18">
        <f>AG23</f>
      </c>
      <c r="AH33" s="18">
        <f>AH23</f>
      </c>
      <c r="AI33" s="18">
        <f>AI23</f>
      </c>
      <c r="AJ33" s="18">
        <f>AJ23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612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618</v>
      </c>
      <c r="K8" s="44" t="s">
        <v>619</v>
      </c>
      <c r="L8" s="44" t="s">
        <v>620</v>
      </c>
      <c r="M8" s="44" t="s">
        <v>621</v>
      </c>
      <c r="N8" s="44" t="s">
        <v>622</v>
      </c>
      <c r="O8" s="44" t="s">
        <v>623</v>
      </c>
      <c r="P8" s="44" t="s">
        <v>624</v>
      </c>
      <c r="Q8" s="44" t="s">
        <v>625</v>
      </c>
      <c r="R8" s="44" t="s">
        <v>626</v>
      </c>
      <c r="S8" s="44" t="s">
        <v>627</v>
      </c>
      <c r="T8" s="44" t="s">
        <v>628</v>
      </c>
      <c r="U8" s="44" t="s">
        <v>629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612</v>
      </c>
      <c r="D10" s="50" t="s">
        <v>41</v>
      </c>
      <c r="E10" s="32" t="s">
        <v>3</v>
      </c>
      <c r="F10" s="32" t="s">
        <v>613</v>
      </c>
      <c r="G10" s="32"/>
      <c r="H10" s="32"/>
      <c r="I10" s="32"/>
      <c r="J10" s="33">
        <v>40.66</v>
      </c>
      <c r="K10" s="33">
        <v>35.59</v>
      </c>
      <c r="L10" s="33">
        <v>37.71</v>
      </c>
      <c r="M10" s="33">
        <v>40.05</v>
      </c>
      <c r="N10" s="33">
        <v>35.34</v>
      </c>
      <c r="O10" s="33">
        <v>37.72</v>
      </c>
      <c r="P10" s="33">
        <v>37.72</v>
      </c>
      <c r="Q10" s="33">
        <v>35.36</v>
      </c>
      <c r="R10" s="33">
        <v>35.5</v>
      </c>
      <c r="S10" s="33">
        <v>32.75</v>
      </c>
      <c r="T10" s="33">
        <v>34.79</v>
      </c>
      <c r="U10" s="33">
        <v>34.77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612</v>
      </c>
      <c r="D15" s="50" t="s">
        <v>42</v>
      </c>
      <c r="E15" s="32" t="s">
        <v>3</v>
      </c>
      <c r="F15" s="32" t="s">
        <v>614</v>
      </c>
      <c r="G15" s="32"/>
      <c r="H15" s="32"/>
      <c r="I15" s="32"/>
      <c r="J15" s="33">
        <v>31.44</v>
      </c>
      <c r="K15" s="33">
        <v>31.44</v>
      </c>
      <c r="L15" s="33">
        <v>31.44</v>
      </c>
      <c r="M15" s="33">
        <v>31.44</v>
      </c>
      <c r="N15" s="33">
        <v>31.44</v>
      </c>
      <c r="O15" s="33">
        <v>31.44</v>
      </c>
      <c r="P15" s="33">
        <v>31.44</v>
      </c>
      <c r="Q15" s="33">
        <v>31.58</v>
      </c>
      <c r="R15" s="33">
        <v>31.44</v>
      </c>
      <c r="S15" s="33">
        <v>31.44</v>
      </c>
      <c r="T15" s="33">
        <v>31.44</v>
      </c>
      <c r="U15" s="33">
        <v>31.44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612</v>
      </c>
      <c r="D16" s="50" t="s">
        <v>42</v>
      </c>
      <c r="E16" s="32" t="s">
        <v>3</v>
      </c>
      <c r="F16" s="32" t="s">
        <v>615</v>
      </c>
      <c r="G16" s="32"/>
      <c r="H16" s="32"/>
      <c r="I16" s="32"/>
      <c r="J16" s="33">
        <f>228.14+182.87+61.07</f>
        <v>472.08</v>
      </c>
      <c r="K16" s="33">
        <f>182.45+60.93+204.59</f>
        <v>447.97</v>
      </c>
      <c r="L16" s="33">
        <f>152.12+175.21+58.51</f>
        <v>385.84000000000003</v>
      </c>
      <c r="M16" s="33">
        <f>110.67+175.54+68.19</f>
        <v>354.4</v>
      </c>
      <c r="N16" s="33">
        <f>172.06+60.73+181.77</f>
        <v>414.56</v>
      </c>
      <c r="O16" s="33">
        <f>301.00+175.25+58.53</f>
        <v>534.78</v>
      </c>
      <c r="P16" s="33">
        <f>250.24+175.25+58.53</f>
        <v>484.02</v>
      </c>
      <c r="Q16" s="33">
        <f>313.36+58.53+175.25</f>
        <v>547.14</v>
      </c>
      <c r="R16" s="33">
        <f>175.25+58.53+251.78</f>
        <v>485.56</v>
      </c>
      <c r="S16" s="33">
        <f>198.65+175.25+58.53</f>
        <v>432.42999999999995</v>
      </c>
      <c r="T16" s="33">
        <f>175.36+58.58+175.29</f>
        <v>409.23</v>
      </c>
      <c r="U16" s="33">
        <f>127.62+59.21+177.05</f>
        <v>363.88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SUM(G15:G16)</f>
      </c>
      <c r="H18" s="22">
        <f>SUM(H15:H16)</f>
      </c>
      <c r="I18" s="22">
        <f>SUM(I15:I16)</f>
      </c>
      <c r="J18" s="22">
        <f>SUM(J15:J16)</f>
      </c>
      <c r="K18" s="22">
        <f>SUM(K15:K16)</f>
      </c>
      <c r="L18" s="22">
        <f>SUM(L15:L16)</f>
      </c>
      <c r="M18" s="22">
        <f>SUM(M15:M16)</f>
      </c>
      <c r="N18" s="22">
        <f>SUM(N15:N16)</f>
      </c>
      <c r="O18" s="22">
        <f>SUM(O15:O16)</f>
      </c>
      <c r="P18" s="22">
        <f>SUM(P15:P16)</f>
      </c>
      <c r="Q18" s="22">
        <f>SUM(Q15:Q16)</f>
      </c>
      <c r="R18" s="22">
        <f>SUM(R15:R16)</f>
      </c>
      <c r="S18" s="22">
        <f>SUM(S15:S16)</f>
      </c>
      <c r="T18" s="22">
        <f>SUM(T15:T16)</f>
      </c>
      <c r="U18" s="22">
        <f>SUM(U15:U16)</f>
      </c>
      <c r="V18" s="22">
        <f>SUM(V15:V16)</f>
      </c>
      <c r="W18" s="22">
        <f>SUM(W15:W16)</f>
      </c>
      <c r="X18" s="22">
        <f>SUM(X15:X16)</f>
      </c>
      <c r="Y18" s="22">
        <f>SUM(Y15:Y16)</f>
      </c>
      <c r="Z18" s="22">
        <f>SUM(Z15:Z16)</f>
      </c>
      <c r="AA18" s="22">
        <f>SUM(AA15:AA16)</f>
      </c>
      <c r="AB18" s="22">
        <f>SUM(AB15:AB16)</f>
      </c>
      <c r="AC18" s="22">
        <f>SUM(AC15:AC16)</f>
      </c>
      <c r="AD18" s="22">
        <f>SUM(AD15:AD16)</f>
      </c>
      <c r="AE18" s="22">
        <f>SUM(AE15:AE16)</f>
      </c>
      <c r="AF18" s="22">
        <f>SUM(AF15:AF16)</f>
      </c>
      <c r="AG18" s="22">
        <f>SUM(AG15:AG16)</f>
      </c>
      <c r="AH18" s="22">
        <f>SUM(AH15:AH16)</f>
      </c>
      <c r="AI18" s="22">
        <f>SUM(AI15:AI16)</f>
      </c>
      <c r="AJ18" s="22">
        <f>SUM(AJ15:AJ16)</f>
      </c>
      <c r="AK18" s="22">
        <f>SUM(AK15:AK16)</f>
      </c>
      <c r="AL18" s="22">
        <f>SUM(AL15:AL16)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612</v>
      </c>
      <c r="D21" s="50" t="s">
        <v>43</v>
      </c>
      <c r="E21" s="32" t="s">
        <v>3</v>
      </c>
      <c r="F21" s="32" t="s">
        <v>616</v>
      </c>
      <c r="G21" s="32"/>
      <c r="H21" s="32"/>
      <c r="I21" s="32"/>
      <c r="J21" s="33">
        <v>60.01</v>
      </c>
      <c r="K21" s="33">
        <v>56.61</v>
      </c>
      <c r="L21" s="33">
        <v>68.5</v>
      </c>
      <c r="M21" s="33">
        <v>71.89</v>
      </c>
      <c r="N21" s="33">
        <v>66.8</v>
      </c>
      <c r="O21" s="33">
        <v>70.19</v>
      </c>
      <c r="P21" s="33">
        <v>63.41</v>
      </c>
      <c r="Q21" s="33">
        <v>66.8</v>
      </c>
      <c r="R21" s="33">
        <v>73.59</v>
      </c>
      <c r="S21" s="33">
        <v>87.16</v>
      </c>
      <c r="T21" s="33">
        <v>138.53</v>
      </c>
      <c r="U21" s="33">
        <v>141.07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612</v>
      </c>
      <c r="D22" s="50" t="s">
        <v>43</v>
      </c>
      <c r="E22" s="32" t="s">
        <v>3</v>
      </c>
      <c r="F22" s="32" t="s">
        <v>617</v>
      </c>
      <c r="G22" s="32"/>
      <c r="H22" s="32"/>
      <c r="I22" s="32"/>
      <c r="J22" s="33">
        <f>808.29+305.25</f>
        <v>1113.54</v>
      </c>
      <c r="K22" s="33">
        <f>833.06+308.27</f>
        <v>1141.33</v>
      </c>
      <c r="L22" s="33">
        <f>812.63+427.20</f>
        <v>1239.83</v>
      </c>
      <c r="M22" s="33">
        <f>788.12+348.16</f>
        <v>1136.28</v>
      </c>
      <c r="N22" s="33">
        <f>788.12+378.47</f>
        <v>1166.5900000000001</v>
      </c>
      <c r="O22" s="33">
        <f>813.25+421.53</f>
        <v>1234.78</v>
      </c>
      <c r="P22" s="33">
        <f>788.12+471.91</f>
        <v>1260.03</v>
      </c>
      <c r="Q22" s="33">
        <f>788.12+494.64</f>
        <v>1282.76</v>
      </c>
      <c r="R22" s="33">
        <f>814.93+493.10</f>
        <v>1308.03</v>
      </c>
      <c r="S22" s="33">
        <f>814.02+466.22</f>
        <v>1280.24</v>
      </c>
      <c r="T22" s="33">
        <f>813.77+458.89</f>
        <v>1272.6599999999999</v>
      </c>
      <c r="U22" s="33">
        <f>812.77+409.38</f>
        <v>1222.15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51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0"/>
    </row>
    <row r="24" ht="13.5" customHeight="1" spans="2:39" x14ac:dyDescent="0.25">
      <c r="B24" s="20"/>
      <c r="C24" s="21"/>
      <c r="D24" s="21" t="s">
        <v>89</v>
      </c>
      <c r="E24" s="21"/>
      <c r="F24" s="21"/>
      <c r="G24" s="22">
        <f>SUM(G21:G22)</f>
      </c>
      <c r="H24" s="22">
        <f>SUM(H21:H22)</f>
      </c>
      <c r="I24" s="22">
        <f>SUM(I21:I22)</f>
      </c>
      <c r="J24" s="22">
        <f>SUM(J21:J22)</f>
      </c>
      <c r="K24" s="22">
        <f>SUM(K21:K22)</f>
      </c>
      <c r="L24" s="22">
        <f>SUM(L21:L22)</f>
      </c>
      <c r="M24" s="22">
        <f>SUM(M21:M22)</f>
      </c>
      <c r="N24" s="22">
        <f>SUM(N21:N22)</f>
      </c>
      <c r="O24" s="22">
        <f>SUM(O21:O22)</f>
      </c>
      <c r="P24" s="22">
        <f>SUM(P21:P22)</f>
      </c>
      <c r="Q24" s="22">
        <f>SUM(Q21:Q22)</f>
      </c>
      <c r="R24" s="22">
        <f>SUM(R21:R22)</f>
      </c>
      <c r="S24" s="22">
        <f>SUM(S21:S22)</f>
      </c>
      <c r="T24" s="22">
        <f>SUM(T21:T22)</f>
      </c>
      <c r="U24" s="22">
        <f>SUM(U21:U22)</f>
      </c>
      <c r="V24" s="22">
        <f>SUM(V21:V22)</f>
      </c>
      <c r="W24" s="22">
        <f>SUM(W21:W22)</f>
      </c>
      <c r="X24" s="22">
        <f>SUM(X21:X22)</f>
      </c>
      <c r="Y24" s="22">
        <f>SUM(Y21:Y22)</f>
      </c>
      <c r="Z24" s="22">
        <f>SUM(Z21:Z22)</f>
      </c>
      <c r="AA24" s="22">
        <f>SUM(AA21:AA22)</f>
      </c>
      <c r="AB24" s="22">
        <f>SUM(AB21:AB22)</f>
      </c>
      <c r="AC24" s="22">
        <f>SUM(AC21:AC22)</f>
      </c>
      <c r="AD24" s="22">
        <f>SUM(AD21:AD22)</f>
      </c>
      <c r="AE24" s="22">
        <f>SUM(AE21:AE22)</f>
      </c>
      <c r="AF24" s="22">
        <f>SUM(AF21:AF22)</f>
      </c>
      <c r="AG24" s="22">
        <f>SUM(AG21:AG22)</f>
      </c>
      <c r="AH24" s="22">
        <f>SUM(AH21:AH22)</f>
      </c>
      <c r="AI24" s="22">
        <f>SUM(AI21:AI22)</f>
      </c>
      <c r="AJ24" s="22">
        <f>SUM(AJ21:AJ22)</f>
      </c>
      <c r="AK24" s="22">
        <f>SUM(AK21:AK22)</f>
      </c>
      <c r="AL24" s="22">
        <f>SUM(AL21:AL22)</f>
      </c>
      <c r="AM24" s="23"/>
    </row>
    <row r="26" ht="13.5" customHeight="1" spans="2:39" x14ac:dyDescent="0.25">
      <c r="B26" s="46"/>
      <c r="C26" s="28"/>
      <c r="D26" s="47" t="s">
        <v>44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G12</f>
      </c>
      <c r="H32" s="18">
        <f>H12</f>
      </c>
      <c r="I32" s="18">
        <f>I12</f>
      </c>
      <c r="J32" s="18">
        <f>J12</f>
      </c>
      <c r="K32" s="18">
        <f>K12</f>
      </c>
      <c r="L32" s="18">
        <f>L12</f>
      </c>
      <c r="M32" s="18">
        <f>M12</f>
      </c>
      <c r="N32" s="18">
        <f>N12</f>
      </c>
      <c r="O32" s="18">
        <f>O12</f>
      </c>
      <c r="P32" s="18">
        <f>P12</f>
      </c>
      <c r="Q32" s="18">
        <f>Q12</f>
      </c>
      <c r="R32" s="18">
        <f>R12</f>
      </c>
      <c r="S32" s="18">
        <f>S12</f>
      </c>
      <c r="T32" s="18">
        <f>T12</f>
      </c>
      <c r="U32" s="18">
        <f>U12</f>
      </c>
      <c r="V32" s="18">
        <f>V12</f>
      </c>
      <c r="W32" s="18">
        <f>W12</f>
      </c>
      <c r="X32" s="18">
        <f>X12</f>
      </c>
      <c r="Y32" s="18">
        <f>Y12</f>
      </c>
      <c r="Z32" s="18">
        <f>Z12</f>
      </c>
      <c r="AA32" s="18">
        <f>AA12</f>
      </c>
      <c r="AB32" s="18">
        <f>AB12</f>
      </c>
      <c r="AC32" s="18">
        <f>AC12</f>
      </c>
      <c r="AD32" s="18">
        <f>AD12</f>
      </c>
      <c r="AE32" s="18">
        <f>AE12</f>
      </c>
      <c r="AF32" s="18">
        <f>AF12</f>
      </c>
      <c r="AG32" s="18">
        <f>AG12</f>
      </c>
      <c r="AH32" s="18">
        <f>AH12</f>
      </c>
      <c r="AI32" s="18">
        <f>AI12</f>
      </c>
      <c r="AJ32" s="18">
        <f>AJ12</f>
      </c>
      <c r="AK32" s="18">
        <f>AK12</f>
      </c>
      <c r="AL32" s="18">
        <f>AL12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G24</f>
      </c>
      <c r="H34" s="18">
        <f>H24</f>
      </c>
      <c r="I34" s="18">
        <f>I24</f>
      </c>
      <c r="J34" s="18">
        <f>J24</f>
      </c>
      <c r="K34" s="18">
        <f>K24</f>
      </c>
      <c r="L34" s="18">
        <f>L24</f>
      </c>
      <c r="M34" s="18">
        <f>M24</f>
      </c>
      <c r="N34" s="18">
        <f>N24</f>
      </c>
      <c r="O34" s="18">
        <f>O24</f>
      </c>
      <c r="P34" s="18">
        <f>P24</f>
      </c>
      <c r="Q34" s="18">
        <f>Q24</f>
      </c>
      <c r="R34" s="18">
        <f>R24</f>
      </c>
      <c r="S34" s="18">
        <f>S24</f>
      </c>
      <c r="T34" s="18">
        <f>T24</f>
      </c>
      <c r="U34" s="18">
        <f>U24</f>
      </c>
      <c r="V34" s="18">
        <f>V24</f>
      </c>
      <c r="W34" s="18">
        <f>W24</f>
      </c>
      <c r="X34" s="18">
        <f>X24</f>
      </c>
      <c r="Y34" s="18">
        <f>Y24</f>
      </c>
      <c r="Z34" s="18">
        <f>Z24</f>
      </c>
      <c r="AA34" s="18">
        <f>AA24</f>
      </c>
      <c r="AB34" s="18">
        <f>AB24</f>
      </c>
      <c r="AC34" s="18">
        <f>AC24</f>
      </c>
      <c r="AD34" s="18">
        <f>AD24</f>
      </c>
      <c r="AE34" s="18">
        <f>AE24</f>
      </c>
      <c r="AF34" s="18">
        <f>AF24</f>
      </c>
      <c r="AG34" s="18">
        <f>AG24</f>
      </c>
      <c r="AH34" s="18">
        <f>AH24</f>
      </c>
      <c r="AI34" s="18">
        <f>AI24</f>
      </c>
      <c r="AJ34" s="18">
        <f>AJ24</f>
      </c>
      <c r="AK34" s="18">
        <f>AK24</f>
      </c>
      <c r="AL34" s="18">
        <f>AL24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630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631</v>
      </c>
      <c r="E9" s="32"/>
      <c r="F9" s="32"/>
      <c r="G9" s="32"/>
      <c r="H9" s="32"/>
      <c r="I9" s="33">
        <v>50.42</v>
      </c>
      <c r="J9" s="33">
        <v>45.12</v>
      </c>
      <c r="K9" s="33">
        <v>48.23</v>
      </c>
      <c r="L9" s="33">
        <v>40.32</v>
      </c>
      <c r="M9" s="33">
        <v>42.08</v>
      </c>
      <c r="N9" s="33">
        <v>40.52</v>
      </c>
      <c r="O9" s="33">
        <v>46.08</v>
      </c>
      <c r="P9" s="33">
        <v>43.41</v>
      </c>
      <c r="Q9" s="33">
        <v>41.23</v>
      </c>
      <c r="R9" s="33">
        <v>41.22</v>
      </c>
      <c r="S9" s="33">
        <v>43.44</v>
      </c>
      <c r="T9" s="33">
        <v>41.2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632</v>
      </c>
      <c r="E14" s="32"/>
      <c r="F14" s="32"/>
      <c r="G14" s="32"/>
      <c r="H14" s="33">
        <v>82.68</v>
      </c>
      <c r="I14" s="33">
        <v>141.41</v>
      </c>
      <c r="J14" s="33">
        <v>71.39</v>
      </c>
      <c r="K14" s="33">
        <v>96.56</v>
      </c>
      <c r="L14" s="33">
        <v>138.43</v>
      </c>
      <c r="M14" s="33">
        <v>227.5</v>
      </c>
      <c r="N14" s="33">
        <v>232.61</v>
      </c>
      <c r="O14" s="33">
        <v>268.64</v>
      </c>
      <c r="P14" s="33">
        <v>261.85</v>
      </c>
      <c r="Q14" s="33">
        <v>241.06</v>
      </c>
      <c r="R14" s="33">
        <v>191.64</v>
      </c>
      <c r="S14" s="33">
        <v>156.69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633</v>
      </c>
      <c r="E15" s="32"/>
      <c r="F15" s="32"/>
      <c r="G15" s="32"/>
      <c r="H15" s="33">
        <v>160.13</v>
      </c>
      <c r="I15" s="33">
        <v>160.13</v>
      </c>
      <c r="J15" s="33">
        <v>160.11</v>
      </c>
      <c r="K15" s="33">
        <v>160.13</v>
      </c>
      <c r="L15" s="33">
        <v>160.13</v>
      </c>
      <c r="M15" s="33">
        <v>158.62</v>
      </c>
      <c r="N15" s="33">
        <v>158.62</v>
      </c>
      <c r="O15" s="33">
        <v>158.62</v>
      </c>
      <c r="P15" s="33">
        <v>158.64</v>
      </c>
      <c r="Q15" s="33">
        <v>158.64</v>
      </c>
      <c r="R15" s="33">
        <v>158.64</v>
      </c>
      <c r="S15" s="33">
        <v>158.64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SUM(E14:E15)</f>
      </c>
      <c r="F17" s="22">
        <f>SUM(F14:F15)</f>
      </c>
      <c r="G17" s="22">
        <f>SUM(G14:G15)</f>
      </c>
      <c r="H17" s="22">
        <f>SUM(H14:H15)</f>
      </c>
      <c r="I17" s="22">
        <f>SUM(I14:I15)</f>
      </c>
      <c r="J17" s="22">
        <f>SUM(J14:J15)</f>
      </c>
      <c r="K17" s="22">
        <f>SUM(K14:K15)</f>
      </c>
      <c r="L17" s="22">
        <f>SUM(L14:L15)</f>
      </c>
      <c r="M17" s="22">
        <f>SUM(M14:M15)</f>
      </c>
      <c r="N17" s="22">
        <f>SUM(N14:N15)</f>
      </c>
      <c r="O17" s="22">
        <f>SUM(O14:O15)</f>
      </c>
      <c r="P17" s="22">
        <f>SUM(P14:P15)</f>
      </c>
      <c r="Q17" s="22">
        <f>SUM(Q14:Q15)</f>
      </c>
      <c r="R17" s="22">
        <f>SUM(R14:R15)</f>
      </c>
      <c r="S17" s="22">
        <f>SUM(S14:S15)</f>
      </c>
      <c r="T17" s="22">
        <f>SUM(T14:T15)</f>
      </c>
      <c r="U17" s="22">
        <f>SUM(U14:U15)</f>
      </c>
      <c r="V17" s="22">
        <f>SUM(V14:V15)</f>
      </c>
      <c r="W17" s="22">
        <f>SUM(W14:W15)</f>
      </c>
      <c r="X17" s="22">
        <f>SUM(X14:X15)</f>
      </c>
      <c r="Y17" s="22">
        <f>SUM(Y14:Y15)</f>
      </c>
      <c r="Z17" s="22">
        <f>SUM(Z14:Z15)</f>
      </c>
      <c r="AA17" s="22">
        <f>SUM(AA14:AA15)</f>
      </c>
      <c r="AB17" s="22">
        <f>SUM(AB14:AB15)</f>
      </c>
      <c r="AC17" s="22">
        <f>SUM(AC14:AC15)</f>
      </c>
      <c r="AD17" s="22">
        <f>SUM(AD14:AD15)</f>
      </c>
      <c r="AE17" s="22">
        <f>SUM(AE14:AE15)</f>
      </c>
      <c r="AF17" s="22">
        <f>SUM(AF14:AF15)</f>
      </c>
      <c r="AG17" s="22">
        <f>SUM(AG14:AG15)</f>
      </c>
      <c r="AH17" s="22">
        <f>SUM(AH14:AH15)</f>
      </c>
      <c r="AI17" s="22">
        <f>SUM(AI14:AI15)</f>
      </c>
      <c r="AJ17" s="22">
        <f>SUM(AJ14:AJ15)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3</v>
      </c>
      <c r="D20" s="32" t="s">
        <v>631</v>
      </c>
      <c r="E20" s="32"/>
      <c r="F20" s="32"/>
      <c r="G20" s="32"/>
      <c r="H20" s="32"/>
      <c r="I20" s="36">
        <f>1988.79+1254.54+1613.49</f>
        <v>4856.82</v>
      </c>
      <c r="J20" s="36">
        <f>1503.54+1249.36+1132.00</f>
        <v>3884.8999999999996</v>
      </c>
      <c r="K20" s="36">
        <f>1561.48+1221.42+1306.36</f>
        <v>4089.26</v>
      </c>
      <c r="L20" s="36">
        <f>1653.54+1249.47+1264.53</f>
        <v>4167.54</v>
      </c>
      <c r="M20" s="36">
        <f>1688.48+1220.56+1433.08</f>
        <v>4342.12</v>
      </c>
      <c r="N20" s="36">
        <f>1918.39+1251.97+1536.35</f>
        <v>4706.71</v>
      </c>
      <c r="O20" s="36">
        <f>1521.12+1248.41+1147.69</f>
        <v>3917.22</v>
      </c>
      <c r="P20" s="36">
        <f>1729.62+1250.30+1331.62</f>
        <v>4311.54</v>
      </c>
      <c r="Q20" s="36">
        <f>1691.56+1249.88+1298.06</f>
        <v>4239.5</v>
      </c>
      <c r="R20" s="36">
        <f>1761.85+1349.66+1354.12</f>
        <v>4465.63</v>
      </c>
      <c r="S20" s="36">
        <f>1899.32+1351.32+1497.18</f>
        <v>4747.82</v>
      </c>
      <c r="T20" s="36">
        <f>1692.80+1349.00+1293.24</f>
        <v>4335.04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44</v>
      </c>
      <c r="C25" s="31" t="s">
        <v>3</v>
      </c>
      <c r="D25" s="32" t="s">
        <v>631</v>
      </c>
      <c r="E25" s="32"/>
      <c r="F25" s="32"/>
      <c r="G25" s="32"/>
      <c r="H25" s="32"/>
      <c r="I25" s="33">
        <v>1197.93</v>
      </c>
      <c r="J25" s="33">
        <v>1192.98</v>
      </c>
      <c r="K25" s="33">
        <v>1166.32</v>
      </c>
      <c r="L25" s="33">
        <v>1428.2</v>
      </c>
      <c r="M25" s="33">
        <v>1395.16</v>
      </c>
      <c r="N25" s="33">
        <v>1431.05</v>
      </c>
      <c r="O25" s="33">
        <v>1426.99</v>
      </c>
      <c r="P25" s="33">
        <v>1429.16</v>
      </c>
      <c r="Q25" s="33">
        <v>1428.67</v>
      </c>
      <c r="R25" s="33">
        <v>1482.17</v>
      </c>
      <c r="S25" s="33">
        <v>1484.01</v>
      </c>
      <c r="T25" s="33">
        <v>1481.45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E11</f>
      </c>
      <c r="F31" s="18">
        <f>F11</f>
      </c>
      <c r="G31" s="18">
        <f>G11</f>
      </c>
      <c r="H31" s="18">
        <f>H11</f>
      </c>
      <c r="I31" s="18">
        <f>I11</f>
      </c>
      <c r="J31" s="18">
        <f>J11</f>
      </c>
      <c r="K31" s="18">
        <f>K11</f>
      </c>
      <c r="L31" s="18">
        <f>L11</f>
      </c>
      <c r="M31" s="18">
        <f>M11</f>
      </c>
      <c r="N31" s="18">
        <f>N11</f>
      </c>
      <c r="O31" s="18">
        <f>O11</f>
      </c>
      <c r="P31" s="18">
        <f>P11</f>
      </c>
      <c r="Q31" s="18">
        <f>Q11</f>
      </c>
      <c r="R31" s="18">
        <f>R11</f>
      </c>
      <c r="S31" s="18">
        <f>S11</f>
      </c>
      <c r="T31" s="18">
        <f>T11</f>
      </c>
      <c r="U31" s="18">
        <f>U11</f>
      </c>
      <c r="V31" s="18">
        <f>V11</f>
      </c>
      <c r="W31" s="18">
        <f>W11</f>
      </c>
      <c r="X31" s="18">
        <f>X11</f>
      </c>
      <c r="Y31" s="18">
        <f>Y11</f>
      </c>
      <c r="Z31" s="18">
        <f>Z11</f>
      </c>
      <c r="AA31" s="18">
        <f>AA11</f>
      </c>
      <c r="AB31" s="18">
        <f>AB11</f>
      </c>
      <c r="AC31" s="18">
        <f>AC11</f>
      </c>
      <c r="AD31" s="18">
        <f>AD11</f>
      </c>
      <c r="AE31" s="18">
        <f>AE11</f>
      </c>
      <c r="AF31" s="18">
        <f>AF11</f>
      </c>
      <c r="AG31" s="18">
        <f>AG11</f>
      </c>
      <c r="AH31" s="18">
        <f>AH11</f>
      </c>
      <c r="AI31" s="18">
        <f>AI11</f>
      </c>
      <c r="AJ31" s="18">
        <f>AJ11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E22</f>
      </c>
      <c r="F33" s="18">
        <f>F22</f>
      </c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630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634</v>
      </c>
      <c r="K8" s="44" t="s">
        <v>635</v>
      </c>
      <c r="L8" s="44" t="s">
        <v>636</v>
      </c>
      <c r="M8" s="44" t="s">
        <v>637</v>
      </c>
      <c r="N8" s="44" t="s">
        <v>638</v>
      </c>
      <c r="O8" s="44" t="s">
        <v>639</v>
      </c>
      <c r="P8" s="44" t="s">
        <v>640</v>
      </c>
      <c r="Q8" s="44" t="s">
        <v>641</v>
      </c>
      <c r="R8" s="44" t="s">
        <v>642</v>
      </c>
      <c r="S8" s="44" t="s">
        <v>643</v>
      </c>
      <c r="T8" s="44" t="s">
        <v>644</v>
      </c>
      <c r="U8" s="44" t="s">
        <v>645</v>
      </c>
      <c r="V8" s="44" t="s">
        <v>646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630</v>
      </c>
      <c r="D10" s="50" t="s">
        <v>41</v>
      </c>
      <c r="E10" s="32" t="s">
        <v>3</v>
      </c>
      <c r="F10" s="32" t="s">
        <v>631</v>
      </c>
      <c r="G10" s="32"/>
      <c r="H10" s="32"/>
      <c r="I10" s="32"/>
      <c r="J10" s="32"/>
      <c r="K10" s="33">
        <v>50.42</v>
      </c>
      <c r="L10" s="33">
        <v>45.12</v>
      </c>
      <c r="M10" s="33">
        <v>48.23</v>
      </c>
      <c r="N10" s="33">
        <v>40.32</v>
      </c>
      <c r="O10" s="33">
        <v>42.08</v>
      </c>
      <c r="P10" s="33">
        <v>40.52</v>
      </c>
      <c r="Q10" s="33">
        <v>46.08</v>
      </c>
      <c r="R10" s="33">
        <v>43.41</v>
      </c>
      <c r="S10" s="33">
        <v>41.23</v>
      </c>
      <c r="T10" s="33">
        <v>41.22</v>
      </c>
      <c r="U10" s="33">
        <v>43.44</v>
      </c>
      <c r="V10" s="33">
        <v>41.2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630</v>
      </c>
      <c r="D15" s="50" t="s">
        <v>42</v>
      </c>
      <c r="E15" s="32" t="s">
        <v>3</v>
      </c>
      <c r="F15" s="32" t="s">
        <v>632</v>
      </c>
      <c r="G15" s="32"/>
      <c r="H15" s="32"/>
      <c r="I15" s="32"/>
      <c r="J15" s="33">
        <v>82.68</v>
      </c>
      <c r="K15" s="33">
        <v>141.41</v>
      </c>
      <c r="L15" s="33">
        <v>71.39</v>
      </c>
      <c r="M15" s="33">
        <v>96.56</v>
      </c>
      <c r="N15" s="33">
        <v>138.43</v>
      </c>
      <c r="O15" s="33">
        <v>227.5</v>
      </c>
      <c r="P15" s="33">
        <v>232.61</v>
      </c>
      <c r="Q15" s="33">
        <v>268.64</v>
      </c>
      <c r="R15" s="33">
        <v>261.85</v>
      </c>
      <c r="S15" s="33">
        <v>241.06</v>
      </c>
      <c r="T15" s="33">
        <v>191.64</v>
      </c>
      <c r="U15" s="33">
        <v>156.69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630</v>
      </c>
      <c r="D16" s="50" t="s">
        <v>42</v>
      </c>
      <c r="E16" s="32" t="s">
        <v>3</v>
      </c>
      <c r="F16" s="32" t="s">
        <v>633</v>
      </c>
      <c r="G16" s="32"/>
      <c r="H16" s="32"/>
      <c r="I16" s="32"/>
      <c r="J16" s="33">
        <v>160.13</v>
      </c>
      <c r="K16" s="33">
        <v>160.13</v>
      </c>
      <c r="L16" s="33">
        <v>160.11</v>
      </c>
      <c r="M16" s="33">
        <v>160.13</v>
      </c>
      <c r="N16" s="33">
        <v>160.13</v>
      </c>
      <c r="O16" s="33">
        <v>158.62</v>
      </c>
      <c r="P16" s="33">
        <v>158.62</v>
      </c>
      <c r="Q16" s="33">
        <v>158.62</v>
      </c>
      <c r="R16" s="33">
        <v>158.64</v>
      </c>
      <c r="S16" s="33">
        <v>158.64</v>
      </c>
      <c r="T16" s="33">
        <v>158.64</v>
      </c>
      <c r="U16" s="33">
        <v>158.64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SUM(G15:G16)</f>
      </c>
      <c r="H18" s="22">
        <f>SUM(H15:H16)</f>
      </c>
      <c r="I18" s="22">
        <f>SUM(I15:I16)</f>
      </c>
      <c r="J18" s="22">
        <f>SUM(J15:J16)</f>
      </c>
      <c r="K18" s="22">
        <f>SUM(K15:K16)</f>
      </c>
      <c r="L18" s="22">
        <f>SUM(L15:L16)</f>
      </c>
      <c r="M18" s="22">
        <f>SUM(M15:M16)</f>
      </c>
      <c r="N18" s="22">
        <f>SUM(N15:N16)</f>
      </c>
      <c r="O18" s="22">
        <f>SUM(O15:O16)</f>
      </c>
      <c r="P18" s="22">
        <f>SUM(P15:P16)</f>
      </c>
      <c r="Q18" s="22">
        <f>SUM(Q15:Q16)</f>
      </c>
      <c r="R18" s="22">
        <f>SUM(R15:R16)</f>
      </c>
      <c r="S18" s="22">
        <f>SUM(S15:S16)</f>
      </c>
      <c r="T18" s="22">
        <f>SUM(T15:T16)</f>
      </c>
      <c r="U18" s="22">
        <f>SUM(U15:U16)</f>
      </c>
      <c r="V18" s="22">
        <f>SUM(V15:V16)</f>
      </c>
      <c r="W18" s="22">
        <f>SUM(W15:W16)</f>
      </c>
      <c r="X18" s="22">
        <f>SUM(X15:X16)</f>
      </c>
      <c r="Y18" s="22">
        <f>SUM(Y15:Y16)</f>
      </c>
      <c r="Z18" s="22">
        <f>SUM(Z15:Z16)</f>
      </c>
      <c r="AA18" s="22">
        <f>SUM(AA15:AA16)</f>
      </c>
      <c r="AB18" s="22">
        <f>SUM(AB15:AB16)</f>
      </c>
      <c r="AC18" s="22">
        <f>SUM(AC15:AC16)</f>
      </c>
      <c r="AD18" s="22">
        <f>SUM(AD15:AD16)</f>
      </c>
      <c r="AE18" s="22">
        <f>SUM(AE15:AE16)</f>
      </c>
      <c r="AF18" s="22">
        <f>SUM(AF15:AF16)</f>
      </c>
      <c r="AG18" s="22">
        <f>SUM(AG15:AG16)</f>
      </c>
      <c r="AH18" s="22">
        <f>SUM(AH15:AH16)</f>
      </c>
      <c r="AI18" s="22">
        <f>SUM(AI15:AI16)</f>
      </c>
      <c r="AJ18" s="22">
        <f>SUM(AJ15:AJ16)</f>
      </c>
      <c r="AK18" s="22">
        <f>SUM(AK15:AK16)</f>
      </c>
      <c r="AL18" s="22">
        <f>SUM(AL15:AL16)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630</v>
      </c>
      <c r="D21" s="50" t="s">
        <v>43</v>
      </c>
      <c r="E21" s="32" t="s">
        <v>3</v>
      </c>
      <c r="F21" s="32" t="s">
        <v>631</v>
      </c>
      <c r="G21" s="32"/>
      <c r="H21" s="32"/>
      <c r="I21" s="32"/>
      <c r="J21" s="32"/>
      <c r="K21" s="33">
        <f>1988.79+1254.54+1613.49</f>
        <v>4856.82</v>
      </c>
      <c r="L21" s="33">
        <f>1503.54+1249.36+1132.00</f>
        <v>3884.8999999999996</v>
      </c>
      <c r="M21" s="33">
        <f>1561.48+1221.42+1306.36</f>
        <v>4089.26</v>
      </c>
      <c r="N21" s="33">
        <f>1653.54+1249.47+1264.53</f>
        <v>4167.54</v>
      </c>
      <c r="O21" s="33">
        <f>1688.48+1220.56+1433.08</f>
        <v>4342.12</v>
      </c>
      <c r="P21" s="33">
        <f>1918.39+1251.97+1536.35</f>
        <v>4706.71</v>
      </c>
      <c r="Q21" s="33">
        <f>1521.12+1248.41+1147.69</f>
        <v>3917.22</v>
      </c>
      <c r="R21" s="33">
        <f>1729.62+1250.30+1331.62</f>
        <v>4311.54</v>
      </c>
      <c r="S21" s="33">
        <f>1691.56+1249.88+1298.06</f>
        <v>4239.5</v>
      </c>
      <c r="T21" s="33">
        <f>1761.85+1349.66+1354.12</f>
        <v>4465.63</v>
      </c>
      <c r="U21" s="33">
        <f>1899.32+1351.32+1497.18</f>
        <v>4747.82</v>
      </c>
      <c r="V21" s="33">
        <f>1692.80+1349.00+1293.24</f>
        <v>4335.04</v>
      </c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630</v>
      </c>
      <c r="D26" s="50" t="s">
        <v>44</v>
      </c>
      <c r="E26" s="32" t="s">
        <v>3</v>
      </c>
      <c r="F26" s="32" t="s">
        <v>631</v>
      </c>
      <c r="G26" s="32"/>
      <c r="H26" s="32"/>
      <c r="I26" s="32"/>
      <c r="J26" s="32"/>
      <c r="K26" s="33">
        <v>1197.93</v>
      </c>
      <c r="L26" s="33">
        <v>1192.98</v>
      </c>
      <c r="M26" s="33">
        <v>1166.32</v>
      </c>
      <c r="N26" s="33">
        <v>1428.2</v>
      </c>
      <c r="O26" s="33">
        <v>1395.16</v>
      </c>
      <c r="P26" s="33">
        <v>1431.05</v>
      </c>
      <c r="Q26" s="33">
        <v>1426.99</v>
      </c>
      <c r="R26" s="33">
        <v>1429.16</v>
      </c>
      <c r="S26" s="33">
        <v>1428.67</v>
      </c>
      <c r="T26" s="33">
        <v>1482.17</v>
      </c>
      <c r="U26" s="33">
        <v>1484.01</v>
      </c>
      <c r="V26" s="33">
        <v>1481.45</v>
      </c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G12</f>
      </c>
      <c r="H32" s="18">
        <f>H12</f>
      </c>
      <c r="I32" s="18">
        <f>I12</f>
      </c>
      <c r="J32" s="18">
        <f>J12</f>
      </c>
      <c r="K32" s="18">
        <f>K12</f>
      </c>
      <c r="L32" s="18">
        <f>L12</f>
      </c>
      <c r="M32" s="18">
        <f>M12</f>
      </c>
      <c r="N32" s="18">
        <f>N12</f>
      </c>
      <c r="O32" s="18">
        <f>O12</f>
      </c>
      <c r="P32" s="18">
        <f>P12</f>
      </c>
      <c r="Q32" s="18">
        <f>Q12</f>
      </c>
      <c r="R32" s="18">
        <f>R12</f>
      </c>
      <c r="S32" s="18">
        <f>S12</f>
      </c>
      <c r="T32" s="18">
        <f>T12</f>
      </c>
      <c r="U32" s="18">
        <f>U12</f>
      </c>
      <c r="V32" s="18">
        <f>V12</f>
      </c>
      <c r="W32" s="18">
        <f>W12</f>
      </c>
      <c r="X32" s="18">
        <f>X12</f>
      </c>
      <c r="Y32" s="18">
        <f>Y12</f>
      </c>
      <c r="Z32" s="18">
        <f>Z12</f>
      </c>
      <c r="AA32" s="18">
        <f>AA12</f>
      </c>
      <c r="AB32" s="18">
        <f>AB12</f>
      </c>
      <c r="AC32" s="18">
        <f>AC12</f>
      </c>
      <c r="AD32" s="18">
        <f>AD12</f>
      </c>
      <c r="AE32" s="18">
        <f>AE12</f>
      </c>
      <c r="AF32" s="18">
        <f>AF12</f>
      </c>
      <c r="AG32" s="18">
        <f>AG12</f>
      </c>
      <c r="AH32" s="18">
        <f>AH12</f>
      </c>
      <c r="AI32" s="18">
        <f>AI12</f>
      </c>
      <c r="AJ32" s="18">
        <f>AJ12</f>
      </c>
      <c r="AK32" s="18">
        <f>AK12</f>
      </c>
      <c r="AL32" s="18">
        <f>AL12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G23</f>
      </c>
      <c r="H34" s="18">
        <f>H23</f>
      </c>
      <c r="I34" s="18">
        <f>I23</f>
      </c>
      <c r="J34" s="18">
        <f>J23</f>
      </c>
      <c r="K34" s="18">
        <f>K23</f>
      </c>
      <c r="L34" s="18">
        <f>L23</f>
      </c>
      <c r="M34" s="18">
        <f>M23</f>
      </c>
      <c r="N34" s="18">
        <f>N23</f>
      </c>
      <c r="O34" s="18">
        <f>O23</f>
      </c>
      <c r="P34" s="18">
        <f>P23</f>
      </c>
      <c r="Q34" s="18">
        <f>Q23</f>
      </c>
      <c r="R34" s="18">
        <f>R23</f>
      </c>
      <c r="S34" s="18">
        <f>S23</f>
      </c>
      <c r="T34" s="18">
        <f>T23</f>
      </c>
      <c r="U34" s="18">
        <f>U23</f>
      </c>
      <c r="V34" s="18">
        <f>V23</f>
      </c>
      <c r="W34" s="18">
        <f>W23</f>
      </c>
      <c r="X34" s="18">
        <f>X23</f>
      </c>
      <c r="Y34" s="18">
        <f>Y23</f>
      </c>
      <c r="Z34" s="18">
        <f>Z23</f>
      </c>
      <c r="AA34" s="18">
        <f>AA23</f>
      </c>
      <c r="AB34" s="18">
        <f>AB23</f>
      </c>
      <c r="AC34" s="18">
        <f>AC23</f>
      </c>
      <c r="AD34" s="18">
        <f>AD23</f>
      </c>
      <c r="AE34" s="18">
        <f>AE23</f>
      </c>
      <c r="AF34" s="18">
        <f>AF23</f>
      </c>
      <c r="AG34" s="18">
        <f>AG23</f>
      </c>
      <c r="AH34" s="18">
        <f>AH23</f>
      </c>
      <c r="AI34" s="18">
        <f>AI23</f>
      </c>
      <c r="AJ34" s="18">
        <f>AJ23</f>
      </c>
      <c r="AK34" s="18">
        <f>AK23</f>
      </c>
      <c r="AL34" s="18">
        <f>AL23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647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648</v>
      </c>
      <c r="D9" s="32" t="s">
        <v>631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3">
        <v>53.5</v>
      </c>
      <c r="V9" s="33">
        <v>52.79</v>
      </c>
      <c r="W9" s="33">
        <v>45.65</v>
      </c>
      <c r="X9" s="33">
        <v>50.44</v>
      </c>
      <c r="Y9" s="33">
        <v>46.98</v>
      </c>
      <c r="Z9" s="33">
        <v>48.44</v>
      </c>
      <c r="AA9" s="33">
        <v>49.95</v>
      </c>
      <c r="AB9" s="33">
        <v>57.87</v>
      </c>
      <c r="AC9" s="33">
        <v>48.37</v>
      </c>
      <c r="AD9" s="33">
        <v>46.11</v>
      </c>
      <c r="AE9" s="33">
        <v>50.62</v>
      </c>
      <c r="AF9" s="33">
        <v>41.45</v>
      </c>
      <c r="AG9" s="33">
        <v>48.06</v>
      </c>
      <c r="AH9" s="33">
        <v>54.34</v>
      </c>
      <c r="AI9" s="33">
        <v>46.52</v>
      </c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649</v>
      </c>
      <c r="D14" s="32" t="s">
        <v>632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>
        <v>137.79</v>
      </c>
      <c r="U14" s="33">
        <v>251.1</v>
      </c>
      <c r="V14" s="33">
        <v>105.7</v>
      </c>
      <c r="W14" s="33">
        <v>105.23</v>
      </c>
      <c r="X14" s="33">
        <v>197.05</v>
      </c>
      <c r="Y14" s="33">
        <v>250.72</v>
      </c>
      <c r="Z14" s="33">
        <v>255.22</v>
      </c>
      <c r="AA14" s="33">
        <v>292.16</v>
      </c>
      <c r="AB14" s="33">
        <v>274.97</v>
      </c>
      <c r="AC14" s="33">
        <v>247.06</v>
      </c>
      <c r="AD14" s="33">
        <v>191.16</v>
      </c>
      <c r="AE14" s="33">
        <v>124.86</v>
      </c>
      <c r="AF14" s="33">
        <v>127.13</v>
      </c>
      <c r="AG14" s="33">
        <v>230.48</v>
      </c>
      <c r="AH14" s="33">
        <v>238.53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649</v>
      </c>
      <c r="D15" s="32" t="s">
        <v>633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162.31</v>
      </c>
      <c r="U15" s="33">
        <v>162.31</v>
      </c>
      <c r="V15" s="33">
        <v>170.71</v>
      </c>
      <c r="W15" s="33">
        <v>170.71</v>
      </c>
      <c r="X15" s="33">
        <v>170.71</v>
      </c>
      <c r="Y15" s="33">
        <v>170.71</v>
      </c>
      <c r="Z15" s="33">
        <v>170.71</v>
      </c>
      <c r="AA15" s="33">
        <v>170.77</v>
      </c>
      <c r="AB15" s="33">
        <v>170.81</v>
      </c>
      <c r="AC15" s="33">
        <v>170.81</v>
      </c>
      <c r="AD15" s="33">
        <v>170.81</v>
      </c>
      <c r="AE15" s="33">
        <v>170.81</v>
      </c>
      <c r="AF15" s="33">
        <v>172.07</v>
      </c>
      <c r="AG15" s="33">
        <v>163.79</v>
      </c>
      <c r="AH15" s="33">
        <v>163.76</v>
      </c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SUM(E14:E15)</f>
      </c>
      <c r="F17" s="22">
        <f>SUM(F14:F15)</f>
      </c>
      <c r="G17" s="22">
        <f>SUM(G14:G15)</f>
      </c>
      <c r="H17" s="22">
        <f>SUM(H14:H15)</f>
      </c>
      <c r="I17" s="22">
        <f>SUM(I14:I15)</f>
      </c>
      <c r="J17" s="22">
        <f>SUM(J14:J15)</f>
      </c>
      <c r="K17" s="22">
        <f>SUM(K14:K15)</f>
      </c>
      <c r="L17" s="22">
        <f>SUM(L14:L15)</f>
      </c>
      <c r="M17" s="22">
        <f>SUM(M14:M15)</f>
      </c>
      <c r="N17" s="22">
        <f>SUM(N14:N15)</f>
      </c>
      <c r="O17" s="22">
        <f>SUM(O14:O15)</f>
      </c>
      <c r="P17" s="22">
        <f>SUM(P14:P15)</f>
      </c>
      <c r="Q17" s="22">
        <f>SUM(Q14:Q15)</f>
      </c>
      <c r="R17" s="22">
        <f>SUM(R14:R15)</f>
      </c>
      <c r="S17" s="22">
        <f>SUM(S14:S15)</f>
      </c>
      <c r="T17" s="22">
        <f>SUM(T14:T15)</f>
      </c>
      <c r="U17" s="22">
        <f>SUM(U14:U15)</f>
      </c>
      <c r="V17" s="22">
        <f>SUM(V14:V15)</f>
      </c>
      <c r="W17" s="22">
        <f>SUM(W14:W15)</f>
      </c>
      <c r="X17" s="22">
        <f>SUM(X14:X15)</f>
      </c>
      <c r="Y17" s="22">
        <f>SUM(Y14:Y15)</f>
      </c>
      <c r="Z17" s="22">
        <f>SUM(Z14:Z15)</f>
      </c>
      <c r="AA17" s="22">
        <f>SUM(AA14:AA15)</f>
      </c>
      <c r="AB17" s="22">
        <f>SUM(AB14:AB15)</f>
      </c>
      <c r="AC17" s="22">
        <f>SUM(AC14:AC15)</f>
      </c>
      <c r="AD17" s="22">
        <f>SUM(AD14:AD15)</f>
      </c>
      <c r="AE17" s="22">
        <f>SUM(AE14:AE15)</f>
      </c>
      <c r="AF17" s="22">
        <f>SUM(AF14:AF15)</f>
      </c>
      <c r="AG17" s="22">
        <f>SUM(AG14:AG15)</f>
      </c>
      <c r="AH17" s="22">
        <f>SUM(AH14:AH15)</f>
      </c>
      <c r="AI17" s="22">
        <f>SUM(AI14:AI15)</f>
      </c>
      <c r="AJ17" s="22">
        <f>SUM(AJ14:AJ15)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648</v>
      </c>
      <c r="D20" s="32" t="s">
        <v>631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6">
        <f>1667.22+1318.24+1399.90</f>
        <v>4385.360000000001</v>
      </c>
      <c r="V20" s="36">
        <f>1789.11+1318.24+1525.02</f>
        <v>4632.37</v>
      </c>
      <c r="W20" s="36">
        <f>1713.29+1318.24+1445.08</f>
        <v>4476.61</v>
      </c>
      <c r="X20" s="36">
        <f>1694.70+1318.24+1426.77</f>
        <v>4439.71</v>
      </c>
      <c r="Y20" s="36">
        <f>1656.80+1318.24+1390.14</f>
        <v>4365.18</v>
      </c>
      <c r="Z20" s="36">
        <f>1798.92+1318.24+1537.33</f>
        <v>4654.49</v>
      </c>
      <c r="AA20" s="36">
        <f>1948.59+1318.24+1720.46</f>
        <v>4987.29</v>
      </c>
      <c r="AB20" s="36">
        <f>1818.31+1318.24+1560.42</f>
        <v>4696.97</v>
      </c>
      <c r="AC20" s="36">
        <f>1656.88+1318.24+1390.14</f>
        <v>4365.26</v>
      </c>
      <c r="AD20" s="36">
        <f>1943.12+1423.84+1660.36</f>
        <v>5027.32</v>
      </c>
      <c r="AE20" s="36">
        <f>1597.08+1423.84+1314.09</f>
        <v>4335.01</v>
      </c>
      <c r="AF20" s="36">
        <f>1637.30+1423.84+1353.66</f>
        <v>4414.8</v>
      </c>
      <c r="AG20" s="36">
        <f>1648.54+1423.84+1364.21</f>
        <v>4436.59</v>
      </c>
      <c r="AH20" s="36">
        <f>1810.50+1423.84+1521.16</f>
        <v>4755.5</v>
      </c>
      <c r="AI20" s="36">
        <f>1576.48+1423.84+1294.30</f>
        <v>4294.62</v>
      </c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44</v>
      </c>
      <c r="C25" s="31" t="s">
        <v>648</v>
      </c>
      <c r="D25" s="32" t="s">
        <v>631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>
        <v>1447.67</v>
      </c>
      <c r="V25" s="33">
        <v>1447.67</v>
      </c>
      <c r="W25" s="33">
        <v>1447.67</v>
      </c>
      <c r="X25" s="33">
        <v>1447.67</v>
      </c>
      <c r="Y25" s="33">
        <v>1447.67</v>
      </c>
      <c r="Z25" s="33">
        <v>1447.67</v>
      </c>
      <c r="AA25" s="33">
        <v>1447.67</v>
      </c>
      <c r="AB25" s="33">
        <v>1447.67</v>
      </c>
      <c r="AC25" s="33">
        <v>1550.14</v>
      </c>
      <c r="AD25" s="33">
        <v>1501.81</v>
      </c>
      <c r="AE25" s="33">
        <v>1501.81</v>
      </c>
      <c r="AF25" s="33">
        <v>1501.81</v>
      </c>
      <c r="AG25" s="33">
        <v>1501.81</v>
      </c>
      <c r="AH25" s="33">
        <v>1501.81</v>
      </c>
      <c r="AI25" s="33">
        <v>1501.81</v>
      </c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E11</f>
      </c>
      <c r="F31" s="18">
        <f>F11</f>
      </c>
      <c r="G31" s="18">
        <f>G11</f>
      </c>
      <c r="H31" s="18">
        <f>H11</f>
      </c>
      <c r="I31" s="18">
        <f>I11</f>
      </c>
      <c r="J31" s="18">
        <f>J11</f>
      </c>
      <c r="K31" s="18">
        <f>K11</f>
      </c>
      <c r="L31" s="18">
        <f>L11</f>
      </c>
      <c r="M31" s="18">
        <f>M11</f>
      </c>
      <c r="N31" s="18">
        <f>N11</f>
      </c>
      <c r="O31" s="18">
        <f>O11</f>
      </c>
      <c r="P31" s="18">
        <f>P11</f>
      </c>
      <c r="Q31" s="18">
        <f>Q11</f>
      </c>
      <c r="R31" s="18">
        <f>R11</f>
      </c>
      <c r="S31" s="18">
        <f>S11</f>
      </c>
      <c r="T31" s="18">
        <f>T11</f>
      </c>
      <c r="U31" s="18">
        <f>U11</f>
      </c>
      <c r="V31" s="18">
        <f>V11</f>
      </c>
      <c r="W31" s="18">
        <f>W11</f>
      </c>
      <c r="X31" s="18">
        <f>X11</f>
      </c>
      <c r="Y31" s="18">
        <f>Y11</f>
      </c>
      <c r="Z31" s="18">
        <f>Z11</f>
      </c>
      <c r="AA31" s="18">
        <f>AA11</f>
      </c>
      <c r="AB31" s="18">
        <f>AB11</f>
      </c>
      <c r="AC31" s="18">
        <f>AC11</f>
      </c>
      <c r="AD31" s="18">
        <f>AD11</f>
      </c>
      <c r="AE31" s="18">
        <f>AE11</f>
      </c>
      <c r="AF31" s="18">
        <f>AF11</f>
      </c>
      <c r="AG31" s="18">
        <f>AG11</f>
      </c>
      <c r="AH31" s="18">
        <f>AH11</f>
      </c>
      <c r="AI31" s="18">
        <f>AI11</f>
      </c>
      <c r="AJ31" s="18">
        <f>AJ11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E22</f>
      </c>
      <c r="F33" s="18">
        <f>F22</f>
      </c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647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650</v>
      </c>
      <c r="W8" s="44" t="s">
        <v>651</v>
      </c>
      <c r="X8" s="44" t="s">
        <v>652</v>
      </c>
      <c r="Y8" s="44" t="s">
        <v>653</v>
      </c>
      <c r="Z8" s="44" t="s">
        <v>654</v>
      </c>
      <c r="AA8" s="44" t="s">
        <v>655</v>
      </c>
      <c r="AB8" s="44" t="s">
        <v>656</v>
      </c>
      <c r="AC8" s="44" t="s">
        <v>657</v>
      </c>
      <c r="AD8" s="44" t="s">
        <v>658</v>
      </c>
      <c r="AE8" s="44" t="s">
        <v>659</v>
      </c>
      <c r="AF8" s="44" t="s">
        <v>660</v>
      </c>
      <c r="AG8" s="44" t="s">
        <v>661</v>
      </c>
      <c r="AH8" s="44" t="s">
        <v>662</v>
      </c>
      <c r="AI8" s="44" t="s">
        <v>663</v>
      </c>
      <c r="AJ8" s="44" t="s">
        <v>664</v>
      </c>
      <c r="AK8" s="44" t="s">
        <v>250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647</v>
      </c>
      <c r="D10" s="50" t="s">
        <v>41</v>
      </c>
      <c r="E10" s="32" t="s">
        <v>648</v>
      </c>
      <c r="F10" s="32" t="s">
        <v>631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>
        <v>53.5</v>
      </c>
      <c r="X10" s="33">
        <v>52.79</v>
      </c>
      <c r="Y10" s="33">
        <v>45.65</v>
      </c>
      <c r="Z10" s="33">
        <v>50.44</v>
      </c>
      <c r="AA10" s="33">
        <v>46.98</v>
      </c>
      <c r="AB10" s="33">
        <v>48.44</v>
      </c>
      <c r="AC10" s="33">
        <v>49.95</v>
      </c>
      <c r="AD10" s="33">
        <v>57.87</v>
      </c>
      <c r="AE10" s="33">
        <v>48.37</v>
      </c>
      <c r="AF10" s="33">
        <v>46.11</v>
      </c>
      <c r="AG10" s="33">
        <v>50.62</v>
      </c>
      <c r="AH10" s="33">
        <v>41.45</v>
      </c>
      <c r="AI10" s="33">
        <v>48.06</v>
      </c>
      <c r="AJ10" s="33">
        <v>54.34</v>
      </c>
      <c r="AK10" s="33">
        <v>46.52</v>
      </c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647</v>
      </c>
      <c r="D15" s="50" t="s">
        <v>42</v>
      </c>
      <c r="E15" s="32" t="s">
        <v>649</v>
      </c>
      <c r="F15" s="32" t="s">
        <v>632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v>137.79</v>
      </c>
      <c r="W15" s="33">
        <v>251.1</v>
      </c>
      <c r="X15" s="33">
        <v>105.7</v>
      </c>
      <c r="Y15" s="33">
        <v>105.23</v>
      </c>
      <c r="Z15" s="33">
        <v>197.05</v>
      </c>
      <c r="AA15" s="33">
        <v>250.72</v>
      </c>
      <c r="AB15" s="33">
        <v>255.22</v>
      </c>
      <c r="AC15" s="33">
        <v>292.16</v>
      </c>
      <c r="AD15" s="33">
        <v>274.97</v>
      </c>
      <c r="AE15" s="33">
        <v>247.06</v>
      </c>
      <c r="AF15" s="33">
        <v>191.16</v>
      </c>
      <c r="AG15" s="33">
        <v>124.86</v>
      </c>
      <c r="AH15" s="33">
        <v>127.13</v>
      </c>
      <c r="AI15" s="33">
        <v>230.48</v>
      </c>
      <c r="AJ15" s="33">
        <v>238.53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647</v>
      </c>
      <c r="D16" s="50" t="s">
        <v>42</v>
      </c>
      <c r="E16" s="32" t="s">
        <v>649</v>
      </c>
      <c r="F16" s="32" t="s">
        <v>633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162.31</v>
      </c>
      <c r="W16" s="33">
        <v>162.31</v>
      </c>
      <c r="X16" s="33">
        <v>170.71</v>
      </c>
      <c r="Y16" s="33">
        <v>170.71</v>
      </c>
      <c r="Z16" s="33">
        <v>170.71</v>
      </c>
      <c r="AA16" s="33">
        <v>170.71</v>
      </c>
      <c r="AB16" s="33">
        <v>170.71</v>
      </c>
      <c r="AC16" s="33">
        <v>170.77</v>
      </c>
      <c r="AD16" s="33">
        <v>170.81</v>
      </c>
      <c r="AE16" s="33">
        <v>170.81</v>
      </c>
      <c r="AF16" s="33">
        <v>170.81</v>
      </c>
      <c r="AG16" s="33">
        <v>170.81</v>
      </c>
      <c r="AH16" s="33">
        <v>172.07</v>
      </c>
      <c r="AI16" s="33">
        <v>163.79</v>
      </c>
      <c r="AJ16" s="33">
        <v>163.76</v>
      </c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SUM(G15:G16)</f>
      </c>
      <c r="H18" s="22">
        <f>SUM(H15:H16)</f>
      </c>
      <c r="I18" s="22">
        <f>SUM(I15:I16)</f>
      </c>
      <c r="J18" s="22">
        <f>SUM(J15:J16)</f>
      </c>
      <c r="K18" s="22">
        <f>SUM(K15:K16)</f>
      </c>
      <c r="L18" s="22">
        <f>SUM(L15:L16)</f>
      </c>
      <c r="M18" s="22">
        <f>SUM(M15:M16)</f>
      </c>
      <c r="N18" s="22">
        <f>SUM(N15:N16)</f>
      </c>
      <c r="O18" s="22">
        <f>SUM(O15:O16)</f>
      </c>
      <c r="P18" s="22">
        <f>SUM(P15:P16)</f>
      </c>
      <c r="Q18" s="22">
        <f>SUM(Q15:Q16)</f>
      </c>
      <c r="R18" s="22">
        <f>SUM(R15:R16)</f>
      </c>
      <c r="S18" s="22">
        <f>SUM(S15:S16)</f>
      </c>
      <c r="T18" s="22">
        <f>SUM(T15:T16)</f>
      </c>
      <c r="U18" s="22">
        <f>SUM(U15:U16)</f>
      </c>
      <c r="V18" s="22">
        <f>SUM(V15:V16)</f>
      </c>
      <c r="W18" s="22">
        <f>SUM(W15:W16)</f>
      </c>
      <c r="X18" s="22">
        <f>SUM(X15:X16)</f>
      </c>
      <c r="Y18" s="22">
        <f>SUM(Y15:Y16)</f>
      </c>
      <c r="Z18" s="22">
        <f>SUM(Z15:Z16)</f>
      </c>
      <c r="AA18" s="22">
        <f>SUM(AA15:AA16)</f>
      </c>
      <c r="AB18" s="22">
        <f>SUM(AB15:AB16)</f>
      </c>
      <c r="AC18" s="22">
        <f>SUM(AC15:AC16)</f>
      </c>
      <c r="AD18" s="22">
        <f>SUM(AD15:AD16)</f>
      </c>
      <c r="AE18" s="22">
        <f>SUM(AE15:AE16)</f>
      </c>
      <c r="AF18" s="22">
        <f>SUM(AF15:AF16)</f>
      </c>
      <c r="AG18" s="22">
        <f>SUM(AG15:AG16)</f>
      </c>
      <c r="AH18" s="22">
        <f>SUM(AH15:AH16)</f>
      </c>
      <c r="AI18" s="22">
        <f>SUM(AI15:AI16)</f>
      </c>
      <c r="AJ18" s="22">
        <f>SUM(AJ15:AJ16)</f>
      </c>
      <c r="AK18" s="22">
        <f>SUM(AK15:AK16)</f>
      </c>
      <c r="AL18" s="22">
        <f>SUM(AL15:AL16)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647</v>
      </c>
      <c r="D21" s="50" t="s">
        <v>43</v>
      </c>
      <c r="E21" s="32" t="s">
        <v>648</v>
      </c>
      <c r="F21" s="32" t="s">
        <v>631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>
        <f>1667.22+1318.24+1399.90</f>
        <v>4385.360000000001</v>
      </c>
      <c r="X21" s="33">
        <f>1789.11+1318.24+1525.02</f>
        <v>4632.37</v>
      </c>
      <c r="Y21" s="33">
        <f>1713.29+1318.24+1445.08</f>
        <v>4476.61</v>
      </c>
      <c r="Z21" s="33">
        <f>1694.70+1318.24+1426.77</f>
        <v>4439.71</v>
      </c>
      <c r="AA21" s="33">
        <f>1656.80+1318.24+1390.14</f>
        <v>4365.18</v>
      </c>
      <c r="AB21" s="33">
        <f>1798.92+1318.24+1537.33</f>
        <v>4654.49</v>
      </c>
      <c r="AC21" s="33">
        <f>1948.59+1318.24+1720.46</f>
        <v>4987.29</v>
      </c>
      <c r="AD21" s="33">
        <f>1818.31+1318.24+1560.42</f>
        <v>4696.97</v>
      </c>
      <c r="AE21" s="33">
        <f>1656.88+1318.24+1390.14</f>
        <v>4365.26</v>
      </c>
      <c r="AF21" s="33">
        <f>1943.12+1423.84+1660.36</f>
        <v>5027.32</v>
      </c>
      <c r="AG21" s="33">
        <f>1597.08+1423.84+1314.09</f>
        <v>4335.01</v>
      </c>
      <c r="AH21" s="33">
        <f>1637.30+1423.84+1353.66</f>
        <v>4414.8</v>
      </c>
      <c r="AI21" s="33">
        <f>1648.54+1423.84+1364.21</f>
        <v>4436.59</v>
      </c>
      <c r="AJ21" s="33">
        <f>1810.50+1423.84+1521.16</f>
        <v>4755.5</v>
      </c>
      <c r="AK21" s="33">
        <f>1576.48+1423.84+1294.30</f>
        <v>4294.62</v>
      </c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647</v>
      </c>
      <c r="D26" s="50" t="s">
        <v>44</v>
      </c>
      <c r="E26" s="32" t="s">
        <v>648</v>
      </c>
      <c r="F26" s="32" t="s">
        <v>631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>
        <v>1447.67</v>
      </c>
      <c r="X26" s="33">
        <v>1447.67</v>
      </c>
      <c r="Y26" s="33">
        <v>1447.67</v>
      </c>
      <c r="Z26" s="33">
        <v>1447.67</v>
      </c>
      <c r="AA26" s="33">
        <v>1447.67</v>
      </c>
      <c r="AB26" s="33">
        <v>1447.67</v>
      </c>
      <c r="AC26" s="33">
        <v>1447.67</v>
      </c>
      <c r="AD26" s="33">
        <v>1447.67</v>
      </c>
      <c r="AE26" s="33">
        <v>1550.14</v>
      </c>
      <c r="AF26" s="33">
        <v>1501.81</v>
      </c>
      <c r="AG26" s="33">
        <v>1501.81</v>
      </c>
      <c r="AH26" s="33">
        <v>1501.81</v>
      </c>
      <c r="AI26" s="33">
        <v>1501.81</v>
      </c>
      <c r="AJ26" s="33">
        <v>1501.81</v>
      </c>
      <c r="AK26" s="33">
        <v>1501.81</v>
      </c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G12</f>
      </c>
      <c r="H32" s="18">
        <f>H12</f>
      </c>
      <c r="I32" s="18">
        <f>I12</f>
      </c>
      <c r="J32" s="18">
        <f>J12</f>
      </c>
      <c r="K32" s="18">
        <f>K12</f>
      </c>
      <c r="L32" s="18">
        <f>L12</f>
      </c>
      <c r="M32" s="18">
        <f>M12</f>
      </c>
      <c r="N32" s="18">
        <f>N12</f>
      </c>
      <c r="O32" s="18">
        <f>O12</f>
      </c>
      <c r="P32" s="18">
        <f>P12</f>
      </c>
      <c r="Q32" s="18">
        <f>Q12</f>
      </c>
      <c r="R32" s="18">
        <f>R12</f>
      </c>
      <c r="S32" s="18">
        <f>S12</f>
      </c>
      <c r="T32" s="18">
        <f>T12</f>
      </c>
      <c r="U32" s="18">
        <f>U12</f>
      </c>
      <c r="V32" s="18">
        <f>V12</f>
      </c>
      <c r="W32" s="18">
        <f>W12</f>
      </c>
      <c r="X32" s="18">
        <f>X12</f>
      </c>
      <c r="Y32" s="18">
        <f>Y12</f>
      </c>
      <c r="Z32" s="18">
        <f>Z12</f>
      </c>
      <c r="AA32" s="18">
        <f>AA12</f>
      </c>
      <c r="AB32" s="18">
        <f>AB12</f>
      </c>
      <c r="AC32" s="18">
        <f>AC12</f>
      </c>
      <c r="AD32" s="18">
        <f>AD12</f>
      </c>
      <c r="AE32" s="18">
        <f>AE12</f>
      </c>
      <c r="AF32" s="18">
        <f>AF12</f>
      </c>
      <c r="AG32" s="18">
        <f>AG12</f>
      </c>
      <c r="AH32" s="18">
        <f>AH12</f>
      </c>
      <c r="AI32" s="18">
        <f>AI12</f>
      </c>
      <c r="AJ32" s="18">
        <f>AJ12</f>
      </c>
      <c r="AK32" s="18">
        <f>AK12</f>
      </c>
      <c r="AL32" s="18">
        <f>AL12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G23</f>
      </c>
      <c r="H34" s="18">
        <f>H23</f>
      </c>
      <c r="I34" s="18">
        <f>I23</f>
      </c>
      <c r="J34" s="18">
        <f>J23</f>
      </c>
      <c r="K34" s="18">
        <f>K23</f>
      </c>
      <c r="L34" s="18">
        <f>L23</f>
      </c>
      <c r="M34" s="18">
        <f>M23</f>
      </c>
      <c r="N34" s="18">
        <f>N23</f>
      </c>
      <c r="O34" s="18">
        <f>O23</f>
      </c>
      <c r="P34" s="18">
        <f>P23</f>
      </c>
      <c r="Q34" s="18">
        <f>Q23</f>
      </c>
      <c r="R34" s="18">
        <f>R23</f>
      </c>
      <c r="S34" s="18">
        <f>S23</f>
      </c>
      <c r="T34" s="18">
        <f>T23</f>
      </c>
      <c r="U34" s="18">
        <f>U23</f>
      </c>
      <c r="V34" s="18">
        <f>V23</f>
      </c>
      <c r="W34" s="18">
        <f>W23</f>
      </c>
      <c r="X34" s="18">
        <f>X23</f>
      </c>
      <c r="Y34" s="18">
        <f>Y23</f>
      </c>
      <c r="Z34" s="18">
        <f>Z23</f>
      </c>
      <c r="AA34" s="18">
        <f>AA23</f>
      </c>
      <c r="AB34" s="18">
        <f>AB23</f>
      </c>
      <c r="AC34" s="18">
        <f>AC23</f>
      </c>
      <c r="AD34" s="18">
        <f>AD23</f>
      </c>
      <c r="AE34" s="18">
        <f>AE23</f>
      </c>
      <c r="AF34" s="18">
        <f>AF23</f>
      </c>
      <c r="AG34" s="18">
        <f>AG23</f>
      </c>
      <c r="AH34" s="18">
        <f>AH23</f>
      </c>
      <c r="AI34" s="18">
        <f>AI23</f>
      </c>
      <c r="AJ34" s="18">
        <f>AJ23</f>
      </c>
      <c r="AK34" s="18">
        <f>AK23</f>
      </c>
      <c r="AL34" s="18">
        <f>AL23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665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666</v>
      </c>
      <c r="D13" s="32" t="s">
        <v>667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6">
        <f>83.61+20846.73+798.90+55.85+176.33</f>
        <v>21961.420000000002</v>
      </c>
      <c r="V13" s="36">
        <f>83.20+20112.21+897.27+52.72+178.43</f>
        <v>21323.83</v>
      </c>
      <c r="W13" s="36">
        <f>88.52+16563.77+749.70+46.44+172.11</f>
        <v>17620.54</v>
      </c>
      <c r="X13" s="36">
        <f>89.21+20392.53+919.13+52.05+176.33</f>
        <v>21629.25</v>
      </c>
      <c r="Y13" s="36">
        <f>93.85+21460.22+919.13+62.15+169.99</f>
        <v>22705.340000000004</v>
      </c>
      <c r="Z13" s="36">
        <f>137.58+25479.40+1170.55+82.91+178.43</f>
        <v>27048.870000000003</v>
      </c>
      <c r="AA13" s="36">
        <f>149.18+24393.46+1115.88+78.54+174.22</f>
        <v>25911.280000000002</v>
      </c>
      <c r="AB13" s="36">
        <f>153.70+27176.66+1050.32+84.28+178.43</f>
        <v>28643.39</v>
      </c>
      <c r="AC13" s="36">
        <f>104.24+22121.31+913.68+73.36+174.22</f>
        <v>23386.810000000005</v>
      </c>
      <c r="AD13" s="36">
        <f>110.04+22489.17+940.08+66.79+180.99</f>
        <v>23787.070000000003</v>
      </c>
      <c r="AE13" s="36">
        <f>110.90+18435.61+975.38+52.23+183.34</f>
        <v>19757.460000000003</v>
      </c>
      <c r="AF13" s="36">
        <f>96.80+15886.89+804.77+50.90+178.67</f>
        <v>17018.03</v>
      </c>
      <c r="AG13" s="36">
        <f>145.62+18432.71+881.25+48.55+183.34</f>
        <v>19691.469999999998</v>
      </c>
      <c r="AH13" s="36">
        <f>68.85+22480.93+1110.68+47.53+185.67</f>
        <v>23893.659999999996</v>
      </c>
      <c r="AI13" s="32"/>
      <c r="AJ13" s="34">
        <f>SUM(E13:AI13)</f>
      </c>
      <c r="AK13" s="35"/>
    </row>
    <row r="14" ht="12.75" customHeight="1" spans="2:37" x14ac:dyDescent="0.25">
      <c r="B14" s="37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40"/>
    </row>
    <row r="15" ht="12.75" customHeight="1" spans="2:37" x14ac:dyDescent="0.25">
      <c r="B15" s="20" t="s">
        <v>85</v>
      </c>
      <c r="C15" s="21"/>
      <c r="D15" s="21"/>
      <c r="E15" s="22">
        <f>SUM(E13:E13)</f>
      </c>
      <c r="F15" s="22">
        <f>SUM(F13:F13)</f>
      </c>
      <c r="G15" s="22">
        <f>SUM(G13:G13)</f>
      </c>
      <c r="H15" s="22">
        <f>SUM(H13:H13)</f>
      </c>
      <c r="I15" s="22">
        <f>SUM(I13:I13)</f>
      </c>
      <c r="J15" s="22">
        <f>SUM(J13:J13)</f>
      </c>
      <c r="K15" s="22">
        <f>SUM(K13:K13)</f>
      </c>
      <c r="L15" s="22">
        <f>SUM(L13:L13)</f>
      </c>
      <c r="M15" s="22">
        <f>SUM(M13:M13)</f>
      </c>
      <c r="N15" s="22">
        <f>SUM(N13:N13)</f>
      </c>
      <c r="O15" s="22">
        <f>SUM(O13:O13)</f>
      </c>
      <c r="P15" s="22">
        <f>SUM(P13:P13)</f>
      </c>
      <c r="Q15" s="22">
        <f>SUM(Q13:Q13)</f>
      </c>
      <c r="R15" s="22">
        <f>SUM(R13:R13)</f>
      </c>
      <c r="S15" s="22">
        <f>SUM(S13:S13)</f>
      </c>
      <c r="T15" s="22">
        <f>SUM(T13:T13)</f>
      </c>
      <c r="U15" s="22">
        <f>SUM(U13:U13)</f>
      </c>
      <c r="V15" s="22">
        <f>SUM(V13:V13)</f>
      </c>
      <c r="W15" s="22">
        <f>SUM(W13:W13)</f>
      </c>
      <c r="X15" s="22">
        <f>SUM(X13:X13)</f>
      </c>
      <c r="Y15" s="22">
        <f>SUM(Y13:Y13)</f>
      </c>
      <c r="Z15" s="22">
        <f>SUM(Z13:Z13)</f>
      </c>
      <c r="AA15" s="22">
        <f>SUM(AA13:AA13)</f>
      </c>
      <c r="AB15" s="22">
        <f>SUM(AB13:AB13)</f>
      </c>
      <c r="AC15" s="22">
        <f>SUM(AC13:AC13)</f>
      </c>
      <c r="AD15" s="22">
        <f>SUM(AD13:AD13)</f>
      </c>
      <c r="AE15" s="22">
        <f>SUM(AE13:AE13)</f>
      </c>
      <c r="AF15" s="22">
        <f>SUM(AF13:AF13)</f>
      </c>
      <c r="AG15" s="22">
        <f>SUM(AG13:AG13)</f>
      </c>
      <c r="AH15" s="22">
        <f>SUM(AH13:AH13)</f>
      </c>
      <c r="AI15" s="22">
        <f>SUM(AI13:AI13)</f>
      </c>
      <c r="AJ15" s="22">
        <f>SUM(AJ13:AJ13)</f>
      </c>
      <c r="AK15" s="23"/>
    </row>
    <row r="17" ht="12.75" customHeight="1" spans="2:37" x14ac:dyDescent="0.25">
      <c r="B17" s="26" t="s">
        <v>43</v>
      </c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9"/>
    </row>
    <row r="18" ht="12.75" customHeight="1" spans="2:37" x14ac:dyDescent="0.25">
      <c r="B18" s="30" t="s">
        <v>43</v>
      </c>
      <c r="C18" s="31" t="s">
        <v>668</v>
      </c>
      <c r="D18" s="32" t="s">
        <v>669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36.76</v>
      </c>
      <c r="U18" s="33">
        <v>36.76</v>
      </c>
      <c r="V18" s="33">
        <v>36.76</v>
      </c>
      <c r="W18" s="33">
        <v>36.76</v>
      </c>
      <c r="X18" s="33">
        <v>41.4</v>
      </c>
      <c r="Y18" s="33">
        <v>36.76</v>
      </c>
      <c r="Z18" s="33">
        <v>36.76</v>
      </c>
      <c r="AA18" s="33">
        <v>36.76</v>
      </c>
      <c r="AB18" s="33">
        <v>36.76</v>
      </c>
      <c r="AC18" s="33">
        <v>36.76</v>
      </c>
      <c r="AD18" s="33">
        <v>36.76</v>
      </c>
      <c r="AE18" s="33">
        <v>39.52</v>
      </c>
      <c r="AF18" s="33">
        <v>39.52</v>
      </c>
      <c r="AG18" s="33">
        <v>39.52</v>
      </c>
      <c r="AH18" s="33">
        <v>39.52</v>
      </c>
      <c r="AI18" s="32"/>
      <c r="AJ18" s="34">
        <f>SUM(E18:AI18)</f>
      </c>
      <c r="AK18" s="35"/>
    </row>
    <row r="19" ht="12.75" customHeight="1" spans="2:37" x14ac:dyDescent="0.25"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ht="12.75" customHeight="1" spans="2:37" x14ac:dyDescent="0.25">
      <c r="B20" s="20" t="s">
        <v>89</v>
      </c>
      <c r="C20" s="21"/>
      <c r="D20" s="21"/>
      <c r="E20" s="22">
        <f>SUM(E18:E18)</f>
      </c>
      <c r="F20" s="22">
        <f>SUM(F18:F18)</f>
      </c>
      <c r="G20" s="22">
        <f>SUM(G18:G18)</f>
      </c>
      <c r="H20" s="22">
        <f>SUM(H18:H18)</f>
      </c>
      <c r="I20" s="22">
        <f>SUM(I18:I18)</f>
      </c>
      <c r="J20" s="22">
        <f>SUM(J18:J18)</f>
      </c>
      <c r="K20" s="22">
        <f>SUM(K18:K18)</f>
      </c>
      <c r="L20" s="22">
        <f>SUM(L18:L18)</f>
      </c>
      <c r="M20" s="22">
        <f>SUM(M18:M18)</f>
      </c>
      <c r="N20" s="22">
        <f>SUM(N18:N18)</f>
      </c>
      <c r="O20" s="22">
        <f>SUM(O18:O18)</f>
      </c>
      <c r="P20" s="22">
        <f>SUM(P18:P18)</f>
      </c>
      <c r="Q20" s="22">
        <f>SUM(Q18:Q18)</f>
      </c>
      <c r="R20" s="22">
        <f>SUM(R18:R18)</f>
      </c>
      <c r="S20" s="22">
        <f>SUM(S18:S18)</f>
      </c>
      <c r="T20" s="22">
        <f>SUM(T18:T18)</f>
      </c>
      <c r="U20" s="22">
        <f>SUM(U18:U18)</f>
      </c>
      <c r="V20" s="22">
        <f>SUM(V18:V18)</f>
      </c>
      <c r="W20" s="22">
        <f>SUM(W18:W18)</f>
      </c>
      <c r="X20" s="22">
        <f>SUM(X18:X18)</f>
      </c>
      <c r="Y20" s="22">
        <f>SUM(Y18:Y18)</f>
      </c>
      <c r="Z20" s="22">
        <f>SUM(Z18:Z18)</f>
      </c>
      <c r="AA20" s="22">
        <f>SUM(AA18:AA18)</f>
      </c>
      <c r="AB20" s="22">
        <f>SUM(AB18:AB18)</f>
      </c>
      <c r="AC20" s="22">
        <f>SUM(AC18:AC18)</f>
      </c>
      <c r="AD20" s="22">
        <f>SUM(AD18:AD18)</f>
      </c>
      <c r="AE20" s="22">
        <f>SUM(AE18:AE18)</f>
      </c>
      <c r="AF20" s="22">
        <f>SUM(AF18:AF18)</f>
      </c>
      <c r="AG20" s="22">
        <f>SUM(AG18:AG18)</f>
      </c>
      <c r="AH20" s="22">
        <f>SUM(AH18:AH18)</f>
      </c>
      <c r="AI20" s="22">
        <f>SUM(AI18:AI18)</f>
      </c>
      <c r="AJ20" s="22">
        <f>SUM(AJ18:AJ18)</f>
      </c>
      <c r="AK20" s="23"/>
    </row>
    <row r="22" ht="12.75" customHeight="1" spans="2:37" x14ac:dyDescent="0.25">
      <c r="B22" s="26" t="s">
        <v>44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9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90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3"/>
    </row>
    <row r="27" ht="12.75" customHeight="1" spans="2:37" x14ac:dyDescent="0.25">
      <c r="B27" s="11" t="s">
        <v>40</v>
      </c>
      <c r="C27" s="12"/>
      <c r="D27" s="13"/>
      <c r="E27" s="14" t="s">
        <v>7</v>
      </c>
      <c r="F27" s="14" t="s">
        <v>8</v>
      </c>
      <c r="G27" s="14" t="s">
        <v>9</v>
      </c>
      <c r="H27" s="14" t="s">
        <v>10</v>
      </c>
      <c r="I27" s="14" t="s">
        <v>11</v>
      </c>
      <c r="J27" s="14" t="s">
        <v>12</v>
      </c>
      <c r="K27" s="14" t="s">
        <v>13</v>
      </c>
      <c r="L27" s="14" t="s">
        <v>14</v>
      </c>
      <c r="M27" s="14" t="s">
        <v>15</v>
      </c>
      <c r="N27" s="14" t="s">
        <v>16</v>
      </c>
      <c r="O27" s="14" t="s">
        <v>17</v>
      </c>
      <c r="P27" s="14" t="s">
        <v>18</v>
      </c>
      <c r="Q27" s="14" t="s">
        <v>19</v>
      </c>
      <c r="R27" s="14" t="s">
        <v>20</v>
      </c>
      <c r="S27" s="14" t="s">
        <v>21</v>
      </c>
      <c r="T27" s="14" t="s">
        <v>22</v>
      </c>
      <c r="U27" s="14" t="s">
        <v>23</v>
      </c>
      <c r="V27" s="14" t="s">
        <v>24</v>
      </c>
      <c r="W27" s="14" t="s">
        <v>25</v>
      </c>
      <c r="X27" s="14" t="s">
        <v>26</v>
      </c>
      <c r="Y27" s="14" t="s">
        <v>27</v>
      </c>
      <c r="Z27" s="14" t="s">
        <v>28</v>
      </c>
      <c r="AA27" s="14" t="s">
        <v>29</v>
      </c>
      <c r="AB27" s="14" t="s">
        <v>30</v>
      </c>
      <c r="AC27" s="14" t="s">
        <v>31</v>
      </c>
      <c r="AD27" s="14" t="s">
        <v>32</v>
      </c>
      <c r="AE27" s="14" t="s">
        <v>33</v>
      </c>
      <c r="AF27" s="14" t="s">
        <v>34</v>
      </c>
      <c r="AG27" s="14" t="s">
        <v>35</v>
      </c>
      <c r="AH27" s="14" t="s">
        <v>36</v>
      </c>
      <c r="AI27" s="14" t="s">
        <v>37</v>
      </c>
      <c r="AJ27" s="14" t="s">
        <v>38</v>
      </c>
      <c r="AK27" s="15"/>
    </row>
    <row r="28" ht="12.75" customHeight="1" spans="2:37" x14ac:dyDescent="0.25">
      <c r="B28" s="16" t="s">
        <v>41</v>
      </c>
      <c r="C28" s="17"/>
      <c r="D28" s="17"/>
      <c r="E28" s="18">
        <f>E10</f>
      </c>
      <c r="F28" s="18">
        <f>F10</f>
      </c>
      <c r="G28" s="18">
        <f>G10</f>
      </c>
      <c r="H28" s="18">
        <f>H10</f>
      </c>
      <c r="I28" s="18">
        <f>I10</f>
      </c>
      <c r="J28" s="18">
        <f>J10</f>
      </c>
      <c r="K28" s="18">
        <f>K10</f>
      </c>
      <c r="L28" s="18">
        <f>L10</f>
      </c>
      <c r="M28" s="18">
        <f>M10</f>
      </c>
      <c r="N28" s="18">
        <f>N10</f>
      </c>
      <c r="O28" s="18">
        <f>O10</f>
      </c>
      <c r="P28" s="18">
        <f>P10</f>
      </c>
      <c r="Q28" s="18">
        <f>Q10</f>
      </c>
      <c r="R28" s="18">
        <f>R10</f>
      </c>
      <c r="S28" s="18">
        <f>S10</f>
      </c>
      <c r="T28" s="18">
        <f>T10</f>
      </c>
      <c r="U28" s="18">
        <f>U10</f>
      </c>
      <c r="V28" s="18">
        <f>V10</f>
      </c>
      <c r="W28" s="18">
        <f>W10</f>
      </c>
      <c r="X28" s="18">
        <f>X10</f>
      </c>
      <c r="Y28" s="18">
        <f>Y10</f>
      </c>
      <c r="Z28" s="18">
        <f>Z10</f>
      </c>
      <c r="AA28" s="18">
        <f>AA10</f>
      </c>
      <c r="AB28" s="18">
        <f>AB10</f>
      </c>
      <c r="AC28" s="18">
        <f>AC10</f>
      </c>
      <c r="AD28" s="18">
        <f>AD10</f>
      </c>
      <c r="AE28" s="18">
        <f>AE10</f>
      </c>
      <c r="AF28" s="18">
        <f>AF10</f>
      </c>
      <c r="AG28" s="18">
        <f>AG10</f>
      </c>
      <c r="AH28" s="18">
        <f>AH10</f>
      </c>
      <c r="AI28" s="18">
        <f>AI10</f>
      </c>
      <c r="AJ28" s="18">
        <f>AJ10</f>
      </c>
      <c r="AK28" s="19"/>
    </row>
    <row r="29" ht="12.75" customHeight="1" spans="2:37" x14ac:dyDescent="0.25">
      <c r="B29" s="16" t="s">
        <v>42</v>
      </c>
      <c r="C29" s="17"/>
      <c r="D29" s="17"/>
      <c r="E29" s="18">
        <f>E15</f>
      </c>
      <c r="F29" s="18">
        <f>F15</f>
      </c>
      <c r="G29" s="18">
        <f>G15</f>
      </c>
      <c r="H29" s="18">
        <f>H15</f>
      </c>
      <c r="I29" s="18">
        <f>I15</f>
      </c>
      <c r="J29" s="18">
        <f>J15</f>
      </c>
      <c r="K29" s="18">
        <f>K15</f>
      </c>
      <c r="L29" s="18">
        <f>L15</f>
      </c>
      <c r="M29" s="18">
        <f>M15</f>
      </c>
      <c r="N29" s="18">
        <f>N15</f>
      </c>
      <c r="O29" s="18">
        <f>O15</f>
      </c>
      <c r="P29" s="18">
        <f>P15</f>
      </c>
      <c r="Q29" s="18">
        <f>Q15</f>
      </c>
      <c r="R29" s="18">
        <f>R15</f>
      </c>
      <c r="S29" s="18">
        <f>S15</f>
      </c>
      <c r="T29" s="18">
        <f>T15</f>
      </c>
      <c r="U29" s="18">
        <f>U15</f>
      </c>
      <c r="V29" s="18">
        <f>V15</f>
      </c>
      <c r="W29" s="18">
        <f>W15</f>
      </c>
      <c r="X29" s="18">
        <f>X15</f>
      </c>
      <c r="Y29" s="18">
        <f>Y15</f>
      </c>
      <c r="Z29" s="18">
        <f>Z15</f>
      </c>
      <c r="AA29" s="18">
        <f>AA15</f>
      </c>
      <c r="AB29" s="18">
        <f>AB15</f>
      </c>
      <c r="AC29" s="18">
        <f>AC15</f>
      </c>
      <c r="AD29" s="18">
        <f>AD15</f>
      </c>
      <c r="AE29" s="18">
        <f>AE15</f>
      </c>
      <c r="AF29" s="18">
        <f>AF15</f>
      </c>
      <c r="AG29" s="18">
        <f>AG15</f>
      </c>
      <c r="AH29" s="18">
        <f>AH15</f>
      </c>
      <c r="AI29" s="18">
        <f>AI15</f>
      </c>
      <c r="AJ29" s="18">
        <f>AJ15</f>
      </c>
      <c r="AK29" s="19"/>
    </row>
    <row r="30" ht="12.75" customHeight="1" spans="2:37" x14ac:dyDescent="0.25">
      <c r="B30" s="16" t="s">
        <v>43</v>
      </c>
      <c r="C30" s="17"/>
      <c r="D30" s="17"/>
      <c r="E30" s="18">
        <f>E20</f>
      </c>
      <c r="F30" s="18">
        <f>F20</f>
      </c>
      <c r="G30" s="18">
        <f>G20</f>
      </c>
      <c r="H30" s="18">
        <f>H20</f>
      </c>
      <c r="I30" s="18">
        <f>I20</f>
      </c>
      <c r="J30" s="18">
        <f>J20</f>
      </c>
      <c r="K30" s="18">
        <f>K20</f>
      </c>
      <c r="L30" s="18">
        <f>L20</f>
      </c>
      <c r="M30" s="18">
        <f>M20</f>
      </c>
      <c r="N30" s="18">
        <f>N20</f>
      </c>
      <c r="O30" s="18">
        <f>O20</f>
      </c>
      <c r="P30" s="18">
        <f>P20</f>
      </c>
      <c r="Q30" s="18">
        <f>Q20</f>
      </c>
      <c r="R30" s="18">
        <f>R20</f>
      </c>
      <c r="S30" s="18">
        <f>S20</f>
      </c>
      <c r="T30" s="18">
        <f>T20</f>
      </c>
      <c r="U30" s="18">
        <f>U20</f>
      </c>
      <c r="V30" s="18">
        <f>V20</f>
      </c>
      <c r="W30" s="18">
        <f>W20</f>
      </c>
      <c r="X30" s="18">
        <f>X20</f>
      </c>
      <c r="Y30" s="18">
        <f>Y20</f>
      </c>
      <c r="Z30" s="18">
        <f>Z20</f>
      </c>
      <c r="AA30" s="18">
        <f>AA20</f>
      </c>
      <c r="AB30" s="18">
        <f>AB20</f>
      </c>
      <c r="AC30" s="18">
        <f>AC20</f>
      </c>
      <c r="AD30" s="18">
        <f>AD20</f>
      </c>
      <c r="AE30" s="18">
        <f>AE20</f>
      </c>
      <c r="AF30" s="18">
        <f>AF20</f>
      </c>
      <c r="AG30" s="18">
        <f>AG20</f>
      </c>
      <c r="AH30" s="18">
        <f>AH20</f>
      </c>
      <c r="AI30" s="18">
        <f>AI20</f>
      </c>
      <c r="AJ30" s="18">
        <f>AJ20</f>
      </c>
      <c r="AK30" s="19"/>
    </row>
    <row r="31" ht="12.75" customHeight="1" spans="2:37" x14ac:dyDescent="0.25">
      <c r="B31" s="16" t="s">
        <v>44</v>
      </c>
      <c r="C31" s="17"/>
      <c r="D31" s="17"/>
      <c r="E31" s="18">
        <f>E24</f>
      </c>
      <c r="F31" s="18">
        <f>F24</f>
      </c>
      <c r="G31" s="18">
        <f>G24</f>
      </c>
      <c r="H31" s="18">
        <f>H24</f>
      </c>
      <c r="I31" s="18">
        <f>I24</f>
      </c>
      <c r="J31" s="18">
        <f>J24</f>
      </c>
      <c r="K31" s="18">
        <f>K24</f>
      </c>
      <c r="L31" s="18">
        <f>L24</f>
      </c>
      <c r="M31" s="18">
        <f>M24</f>
      </c>
      <c r="N31" s="18">
        <f>N24</f>
      </c>
      <c r="O31" s="18">
        <f>O24</f>
      </c>
      <c r="P31" s="18">
        <f>P24</f>
      </c>
      <c r="Q31" s="18">
        <f>Q24</f>
      </c>
      <c r="R31" s="18">
        <f>R24</f>
      </c>
      <c r="S31" s="18">
        <f>S24</f>
      </c>
      <c r="T31" s="18">
        <f>T24</f>
      </c>
      <c r="U31" s="18">
        <f>U24</f>
      </c>
      <c r="V31" s="18">
        <f>V24</f>
      </c>
      <c r="W31" s="18">
        <f>W24</f>
      </c>
      <c r="X31" s="18">
        <f>X24</f>
      </c>
      <c r="Y31" s="18">
        <f>Y24</f>
      </c>
      <c r="Z31" s="18">
        <f>Z24</f>
      </c>
      <c r="AA31" s="18">
        <f>AA24</f>
      </c>
      <c r="AB31" s="18">
        <f>AB24</f>
      </c>
      <c r="AC31" s="18">
        <f>AC24</f>
      </c>
      <c r="AD31" s="18">
        <f>AD24</f>
      </c>
      <c r="AE31" s="18">
        <f>AE24</f>
      </c>
      <c r="AF31" s="18">
        <f>AF24</f>
      </c>
      <c r="AG31" s="18">
        <f>AG24</f>
      </c>
      <c r="AH31" s="18">
        <f>AH24</f>
      </c>
      <c r="AI31" s="18">
        <f>AI24</f>
      </c>
      <c r="AJ31" s="18">
        <f>AJ24</f>
      </c>
      <c r="AK31" s="19"/>
    </row>
    <row r="32" ht="12.75" customHeight="1" spans="2:37" x14ac:dyDescent="0.25">
      <c r="B32" s="20" t="s">
        <v>45</v>
      </c>
      <c r="C32" s="21"/>
      <c r="D32" s="21"/>
      <c r="E32" s="22">
        <f>E28+E29+E30+E31</f>
      </c>
      <c r="F32" s="22">
        <f>F28+F29+F30+F31</f>
      </c>
      <c r="G32" s="22">
        <f>G28+G29+G30+G31</f>
      </c>
      <c r="H32" s="22">
        <f>H28+H29+H30+H31</f>
      </c>
      <c r="I32" s="22">
        <f>I28+I29+I30+I31</f>
      </c>
      <c r="J32" s="22">
        <f>J28+J29+J30+J31</f>
      </c>
      <c r="K32" s="22">
        <f>K28+K29+K30+K31</f>
      </c>
      <c r="L32" s="22">
        <f>L28+L29+L30+L31</f>
      </c>
      <c r="M32" s="22">
        <f>M28+M29+M30+M31</f>
      </c>
      <c r="N32" s="22">
        <f>N28+N29+N30+N31</f>
      </c>
      <c r="O32" s="22">
        <f>O28+O29+O30+O31</f>
      </c>
      <c r="P32" s="22">
        <f>P28+P29+P30+P31</f>
      </c>
      <c r="Q32" s="22">
        <f>Q28+Q29+Q30+Q31</f>
      </c>
      <c r="R32" s="22">
        <f>R28+R29+R30+R31</f>
      </c>
      <c r="S32" s="22">
        <f>S28+S29+S30+S31</f>
      </c>
      <c r="T32" s="22">
        <f>T28+T29+T30+T31</f>
      </c>
      <c r="U32" s="22">
        <f>U28+U29+U30+U31</f>
      </c>
      <c r="V32" s="22">
        <f>V28+V29+V30+V31</f>
      </c>
      <c r="W32" s="22">
        <f>W28+W29+W30+W31</f>
      </c>
      <c r="X32" s="22">
        <f>X28+X29+X30+X31</f>
      </c>
      <c r="Y32" s="22">
        <f>Y28+Y29+Y30+Y31</f>
      </c>
      <c r="Z32" s="22">
        <f>Z28+Z29+Z30+Z31</f>
      </c>
      <c r="AA32" s="22">
        <f>AA28+AA29+AA30+AA31</f>
      </c>
      <c r="AB32" s="22">
        <f>AB28+AB29+AB30+AB31</f>
      </c>
      <c r="AC32" s="22">
        <f>AC28+AC29+AC30+AC31</f>
      </c>
      <c r="AD32" s="22">
        <f>AD28+AD29+AD30+AD31</f>
      </c>
      <c r="AE32" s="22">
        <f>AE28+AE29+AE30+AE31</f>
      </c>
      <c r="AF32" s="22">
        <f>AF28+AF29+AF30+AF31</f>
      </c>
      <c r="AG32" s="22">
        <f>AG28+AG29+AG30+AG31</f>
      </c>
      <c r="AH32" s="22">
        <f>AH28+AH29+AH30+AH31</f>
      </c>
      <c r="AI32" s="22">
        <f>AI28+AI29+AI30+AI31</f>
      </c>
      <c r="AJ32" s="22">
        <f>AJ28+AJ29+AJ30+AJ31</f>
      </c>
      <c r="AK32" s="23"/>
    </row>
    <row r="34" ht="12.75" customHeight="1" spans="2:37" x14ac:dyDescent="0.25">
      <c r="B34" s="11" t="s">
        <v>46</v>
      </c>
      <c r="C34" s="12"/>
      <c r="D34" s="13"/>
      <c r="E34" s="14" t="s">
        <v>7</v>
      </c>
      <c r="F34" s="14" t="s">
        <v>8</v>
      </c>
      <c r="G34" s="14" t="s">
        <v>9</v>
      </c>
      <c r="H34" s="14" t="s">
        <v>10</v>
      </c>
      <c r="I34" s="14" t="s">
        <v>11</v>
      </c>
      <c r="J34" s="14" t="s">
        <v>12</v>
      </c>
      <c r="K34" s="14" t="s">
        <v>13</v>
      </c>
      <c r="L34" s="14" t="s">
        <v>14</v>
      </c>
      <c r="M34" s="14" t="s">
        <v>15</v>
      </c>
      <c r="N34" s="14" t="s">
        <v>16</v>
      </c>
      <c r="O34" s="14" t="s">
        <v>17</v>
      </c>
      <c r="P34" s="14" t="s">
        <v>18</v>
      </c>
      <c r="Q34" s="14" t="s">
        <v>19</v>
      </c>
      <c r="R34" s="14" t="s">
        <v>20</v>
      </c>
      <c r="S34" s="14" t="s">
        <v>21</v>
      </c>
      <c r="T34" s="14" t="s">
        <v>22</v>
      </c>
      <c r="U34" s="14" t="s">
        <v>23</v>
      </c>
      <c r="V34" s="14" t="s">
        <v>24</v>
      </c>
      <c r="W34" s="14" t="s">
        <v>25</v>
      </c>
      <c r="X34" s="14" t="s">
        <v>26</v>
      </c>
      <c r="Y34" s="14" t="s">
        <v>27</v>
      </c>
      <c r="Z34" s="14" t="s">
        <v>28</v>
      </c>
      <c r="AA34" s="14" t="s">
        <v>29</v>
      </c>
      <c r="AB34" s="14" t="s">
        <v>30</v>
      </c>
      <c r="AC34" s="14" t="s">
        <v>31</v>
      </c>
      <c r="AD34" s="14" t="s">
        <v>32</v>
      </c>
      <c r="AE34" s="14" t="s">
        <v>33</v>
      </c>
      <c r="AF34" s="14" t="s">
        <v>34</v>
      </c>
      <c r="AG34" s="14" t="s">
        <v>35</v>
      </c>
      <c r="AH34" s="14" t="s">
        <v>36</v>
      </c>
      <c r="AI34" s="14" t="s">
        <v>37</v>
      </c>
      <c r="AJ34" s="14" t="s">
        <v>38</v>
      </c>
      <c r="AK34" s="15"/>
    </row>
    <row r="35" ht="12.75" customHeight="1" spans="2:37" x14ac:dyDescent="0.25">
      <c r="B35" s="16" t="s">
        <v>41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9"/>
    </row>
    <row r="36" ht="12.75" customHeight="1" spans="2:37" x14ac:dyDescent="0.25">
      <c r="B36" s="16" t="s">
        <v>42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9"/>
    </row>
    <row r="37" ht="12.75" customHeight="1" spans="2:37" x14ac:dyDescent="0.25">
      <c r="B37" s="16" t="s">
        <v>43</v>
      </c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ht="12.75" customHeight="1" spans="2:37" x14ac:dyDescent="0.25">
      <c r="B38" s="16" t="s">
        <v>44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20" t="s">
        <v>45</v>
      </c>
      <c r="C39" s="21"/>
      <c r="D39" s="21"/>
      <c r="E39" s="22">
        <f>E35+E36+E37+E38</f>
      </c>
      <c r="F39" s="22">
        <f>F35+F36+F37+F38</f>
      </c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3"/>
    </row>
    <row r="41" ht="12.75" customHeight="1" spans="2:37" x14ac:dyDescent="0.25">
      <c r="B41" s="11" t="s">
        <v>47</v>
      </c>
      <c r="C41" s="12"/>
      <c r="D41" s="13"/>
      <c r="E41" s="14" t="s">
        <v>7</v>
      </c>
      <c r="F41" s="14" t="s">
        <v>8</v>
      </c>
      <c r="G41" s="14" t="s">
        <v>9</v>
      </c>
      <c r="H41" s="14" t="s">
        <v>10</v>
      </c>
      <c r="I41" s="14" t="s">
        <v>11</v>
      </c>
      <c r="J41" s="14" t="s">
        <v>12</v>
      </c>
      <c r="K41" s="14" t="s">
        <v>13</v>
      </c>
      <c r="L41" s="14" t="s">
        <v>14</v>
      </c>
      <c r="M41" s="14" t="s">
        <v>15</v>
      </c>
      <c r="N41" s="14" t="s">
        <v>16</v>
      </c>
      <c r="O41" s="14" t="s">
        <v>17</v>
      </c>
      <c r="P41" s="14" t="s">
        <v>18</v>
      </c>
      <c r="Q41" s="14" t="s">
        <v>19</v>
      </c>
      <c r="R41" s="14" t="s">
        <v>20</v>
      </c>
      <c r="S41" s="14" t="s">
        <v>21</v>
      </c>
      <c r="T41" s="14" t="s">
        <v>22</v>
      </c>
      <c r="U41" s="14" t="s">
        <v>23</v>
      </c>
      <c r="V41" s="14" t="s">
        <v>24</v>
      </c>
      <c r="W41" s="14" t="s">
        <v>25</v>
      </c>
      <c r="X41" s="14" t="s">
        <v>26</v>
      </c>
      <c r="Y41" s="14" t="s">
        <v>27</v>
      </c>
      <c r="Z41" s="14" t="s">
        <v>28</v>
      </c>
      <c r="AA41" s="14" t="s">
        <v>29</v>
      </c>
      <c r="AB41" s="14" t="s">
        <v>30</v>
      </c>
      <c r="AC41" s="14" t="s">
        <v>31</v>
      </c>
      <c r="AD41" s="14" t="s">
        <v>32</v>
      </c>
      <c r="AE41" s="14" t="s">
        <v>33</v>
      </c>
      <c r="AF41" s="14" t="s">
        <v>34</v>
      </c>
      <c r="AG41" s="14" t="s">
        <v>35</v>
      </c>
      <c r="AH41" s="14" t="s">
        <v>36</v>
      </c>
      <c r="AI41" s="14" t="s">
        <v>37</v>
      </c>
      <c r="AJ41" s="14" t="s">
        <v>38</v>
      </c>
      <c r="AK41" s="15"/>
    </row>
    <row r="42" ht="12.75" customHeight="1" spans="2:37" x14ac:dyDescent="0.25">
      <c r="B42" s="16" t="s">
        <v>41</v>
      </c>
      <c r="C42" s="17"/>
      <c r="D42" s="17"/>
      <c r="E42" s="24">
        <f>E35-E28</f>
      </c>
      <c r="F42" s="24">
        <f>F35-F28</f>
      </c>
      <c r="G42" s="24">
        <f>G35-G28</f>
      </c>
      <c r="H42" s="24">
        <f>H35-H28</f>
      </c>
      <c r="I42" s="24">
        <f>I35-I28</f>
      </c>
      <c r="J42" s="24">
        <f>J35-J28</f>
      </c>
      <c r="K42" s="24">
        <f>K35-K28</f>
      </c>
      <c r="L42" s="24">
        <f>L35-L28</f>
      </c>
      <c r="M42" s="24">
        <f>M35-M28</f>
      </c>
      <c r="N42" s="24">
        <f>N35-N28</f>
      </c>
      <c r="O42" s="24">
        <f>O35-O28</f>
      </c>
      <c r="P42" s="24">
        <f>P35-P28</f>
      </c>
      <c r="Q42" s="24">
        <f>Q35-Q28</f>
      </c>
      <c r="R42" s="24">
        <f>R35-R28</f>
      </c>
      <c r="S42" s="24">
        <f>S35-S28</f>
      </c>
      <c r="T42" s="24">
        <f>T35-T28</f>
      </c>
      <c r="U42" s="24">
        <f>U35-U28</f>
      </c>
      <c r="V42" s="24">
        <f>V35-V28</f>
      </c>
      <c r="W42" s="24">
        <f>W35-W28</f>
      </c>
      <c r="X42" s="24">
        <f>X35-X28</f>
      </c>
      <c r="Y42" s="24">
        <f>Y35-Y28</f>
      </c>
      <c r="Z42" s="24">
        <f>Z35-Z28</f>
      </c>
      <c r="AA42" s="24">
        <f>AA35-AA28</f>
      </c>
      <c r="AB42" s="24">
        <f>AB35-AB28</f>
      </c>
      <c r="AC42" s="24">
        <f>AC35-AC28</f>
      </c>
      <c r="AD42" s="24">
        <f>AD35-AD28</f>
      </c>
      <c r="AE42" s="24">
        <f>AE35-AE28</f>
      </c>
      <c r="AF42" s="24">
        <f>AF35-AF28</f>
      </c>
      <c r="AG42" s="24">
        <f>AG35-AG28</f>
      </c>
      <c r="AH42" s="24">
        <f>AH35-AH28</f>
      </c>
      <c r="AI42" s="24">
        <f>AI35-AI28</f>
      </c>
      <c r="AJ42" s="24">
        <f>AJ35-AJ28</f>
      </c>
      <c r="AK42" s="19"/>
    </row>
    <row r="43" ht="12.75" customHeight="1" spans="2:37" x14ac:dyDescent="0.25">
      <c r="B43" s="16" t="s">
        <v>42</v>
      </c>
      <c r="C43" s="17"/>
      <c r="D43" s="17"/>
      <c r="E43" s="24">
        <f>E36-E29</f>
      </c>
      <c r="F43" s="24">
        <f>F36-F29</f>
      </c>
      <c r="G43" s="24">
        <f>G36-G29</f>
      </c>
      <c r="H43" s="24">
        <f>H36-H29</f>
      </c>
      <c r="I43" s="24">
        <f>I36-I29</f>
      </c>
      <c r="J43" s="24">
        <f>J36-J29</f>
      </c>
      <c r="K43" s="24">
        <f>K36-K29</f>
      </c>
      <c r="L43" s="24">
        <f>L36-L29</f>
      </c>
      <c r="M43" s="24">
        <f>M36-M29</f>
      </c>
      <c r="N43" s="24">
        <f>N36-N29</f>
      </c>
      <c r="O43" s="24">
        <f>O36-O29</f>
      </c>
      <c r="P43" s="24">
        <f>P36-P29</f>
      </c>
      <c r="Q43" s="24">
        <f>Q36-Q29</f>
      </c>
      <c r="R43" s="24">
        <f>R36-R29</f>
      </c>
      <c r="S43" s="24">
        <f>S36-S29</f>
      </c>
      <c r="T43" s="24">
        <f>T36-T29</f>
      </c>
      <c r="U43" s="24">
        <f>U36-U29</f>
      </c>
      <c r="V43" s="24">
        <f>V36-V29</f>
      </c>
      <c r="W43" s="24">
        <f>W36-W29</f>
      </c>
      <c r="X43" s="24">
        <f>X36-X29</f>
      </c>
      <c r="Y43" s="24">
        <f>Y36-Y29</f>
      </c>
      <c r="Z43" s="24">
        <f>Z36-Z29</f>
      </c>
      <c r="AA43" s="24">
        <f>AA36-AA29</f>
      </c>
      <c r="AB43" s="24">
        <f>AB36-AB29</f>
      </c>
      <c r="AC43" s="24">
        <f>AC36-AC29</f>
      </c>
      <c r="AD43" s="24">
        <f>AD36-AD29</f>
      </c>
      <c r="AE43" s="24">
        <f>AE36-AE29</f>
      </c>
      <c r="AF43" s="24">
        <f>AF36-AF29</f>
      </c>
      <c r="AG43" s="24">
        <f>AG36-AG29</f>
      </c>
      <c r="AH43" s="24">
        <f>AH36-AH29</f>
      </c>
      <c r="AI43" s="24">
        <f>AI36-AI29</f>
      </c>
      <c r="AJ43" s="24">
        <f>AJ36-AJ29</f>
      </c>
      <c r="AK43" s="19"/>
    </row>
    <row r="44" ht="12.75" customHeight="1" spans="2:37" x14ac:dyDescent="0.25">
      <c r="B44" s="16" t="s">
        <v>43</v>
      </c>
      <c r="C44" s="17"/>
      <c r="D44" s="17"/>
      <c r="E44" s="24">
        <f>E37-E30</f>
      </c>
      <c r="F44" s="24">
        <f>F37-F30</f>
      </c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19"/>
    </row>
    <row r="45" ht="12.75" customHeight="1" spans="2:37" x14ac:dyDescent="0.25">
      <c r="B45" s="16" t="s">
        <v>44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20" t="s">
        <v>45</v>
      </c>
      <c r="C46" s="21"/>
      <c r="D46" s="21"/>
      <c r="E46" s="25">
        <f>E42+E43+E44+E45</f>
      </c>
      <c r="F46" s="25">
        <f>F42+F43+F44+F45</f>
      </c>
      <c r="G46" s="25">
        <f>G42+G43+G44+G45</f>
      </c>
      <c r="H46" s="25">
        <f>H42+H43+H44+H45</f>
      </c>
      <c r="I46" s="25">
        <f>I42+I43+I44+I45</f>
      </c>
      <c r="J46" s="25">
        <f>J42+J43+J44+J45</f>
      </c>
      <c r="K46" s="25">
        <f>K42+K43+K44+K45</f>
      </c>
      <c r="L46" s="25">
        <f>L42+L43+L44+L45</f>
      </c>
      <c r="M46" s="25">
        <f>M42+M43+M44+M45</f>
      </c>
      <c r="N46" s="25">
        <f>N42+N43+N44+N45</f>
      </c>
      <c r="O46" s="25">
        <f>O42+O43+O44+O45</f>
      </c>
      <c r="P46" s="25">
        <f>P42+P43+P44+P45</f>
      </c>
      <c r="Q46" s="25">
        <f>Q42+Q43+Q44+Q45</f>
      </c>
      <c r="R46" s="25">
        <f>R42+R43+R44+R45</f>
      </c>
      <c r="S46" s="25">
        <f>S42+S43+S44+S45</f>
      </c>
      <c r="T46" s="25">
        <f>T42+T43+T44+T45</f>
      </c>
      <c r="U46" s="25">
        <f>U42+U43+U44+U45</f>
      </c>
      <c r="V46" s="25">
        <f>V42+V43+V44+V45</f>
      </c>
      <c r="W46" s="25">
        <f>W42+W43+W44+W45</f>
      </c>
      <c r="X46" s="25">
        <f>X42+X43+X44+X45</f>
      </c>
      <c r="Y46" s="25">
        <f>Y42+Y43+Y44+Y45</f>
      </c>
      <c r="Z46" s="25">
        <f>Z42+Z43+Z44+Z45</f>
      </c>
      <c r="AA46" s="25">
        <f>AA42+AA43+AA44+AA45</f>
      </c>
      <c r="AB46" s="25">
        <f>AB42+AB43+AB44+AB45</f>
      </c>
      <c r="AC46" s="25">
        <f>AC42+AC43+AC44+AC45</f>
      </c>
      <c r="AD46" s="25">
        <f>AD42+AD43+AD44+AD45</f>
      </c>
      <c r="AE46" s="25">
        <f>AE42+AE43+AE44+AE45</f>
      </c>
      <c r="AF46" s="25">
        <f>AF42+AF43+AF44+AF45</f>
      </c>
      <c r="AG46" s="25">
        <f>AG42+AG43+AG44+AG45</f>
      </c>
      <c r="AH46" s="25">
        <f>AH42+AH43+AH44+AH45</f>
      </c>
      <c r="AI46" s="25">
        <f>AI42+AI43+AI44+AI45</f>
      </c>
      <c r="AJ46" s="25">
        <f>AJ42+AJ43+AJ44+AJ45</f>
      </c>
      <c r="AK46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665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670</v>
      </c>
      <c r="W8" s="44" t="s">
        <v>671</v>
      </c>
      <c r="X8" s="44" t="s">
        <v>672</v>
      </c>
      <c r="Y8" s="44" t="s">
        <v>673</v>
      </c>
      <c r="Z8" s="44" t="s">
        <v>674</v>
      </c>
      <c r="AA8" s="44" t="s">
        <v>675</v>
      </c>
      <c r="AB8" s="44" t="s">
        <v>676</v>
      </c>
      <c r="AC8" s="44" t="s">
        <v>677</v>
      </c>
      <c r="AD8" s="44" t="s">
        <v>678</v>
      </c>
      <c r="AE8" s="44" t="s">
        <v>679</v>
      </c>
      <c r="AF8" s="44" t="s">
        <v>680</v>
      </c>
      <c r="AG8" s="44" t="s">
        <v>681</v>
      </c>
      <c r="AH8" s="44" t="s">
        <v>682</v>
      </c>
      <c r="AI8" s="44" t="s">
        <v>683</v>
      </c>
      <c r="AJ8" s="44" t="s">
        <v>684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665</v>
      </c>
      <c r="D14" s="50" t="s">
        <v>42</v>
      </c>
      <c r="E14" s="32" t="s">
        <v>666</v>
      </c>
      <c r="F14" s="32" t="s">
        <v>667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>
        <f>83.61+20846.73+798.90+55.85+176.33</f>
        <v>21961.420000000002</v>
      </c>
      <c r="X14" s="33">
        <f>83.20+20112.21+897.27+52.72+178.43</f>
        <v>21323.83</v>
      </c>
      <c r="Y14" s="33">
        <f>88.52+16563.77+749.70+46.44+172.11</f>
        <v>17620.54</v>
      </c>
      <c r="Z14" s="33">
        <f>89.21+20392.53+919.13+52.05+176.33</f>
        <v>21629.25</v>
      </c>
      <c r="AA14" s="33">
        <f>93.85+21460.22+919.13+62.15+169.99</f>
        <v>22705.340000000004</v>
      </c>
      <c r="AB14" s="33">
        <f>137.58+25479.40+1170.55+82.91+178.43</f>
        <v>27048.870000000003</v>
      </c>
      <c r="AC14" s="33">
        <f>149.18+24393.46+1115.88+78.54+174.22</f>
        <v>25911.280000000002</v>
      </c>
      <c r="AD14" s="33">
        <f>153.70+27176.66+1050.32+84.28+178.43</f>
        <v>28643.39</v>
      </c>
      <c r="AE14" s="33">
        <f>104.24+22121.31+913.68+73.36+174.22</f>
        <v>23386.810000000005</v>
      </c>
      <c r="AF14" s="33">
        <f>110.04+22489.17+940.08+66.79+180.99</f>
        <v>23787.070000000003</v>
      </c>
      <c r="AG14" s="33">
        <f>110.90+18435.61+975.38+52.23+183.34</f>
        <v>19757.460000000003</v>
      </c>
      <c r="AH14" s="33">
        <f>96.80+15886.89+804.77+50.90+178.67</f>
        <v>17018.03</v>
      </c>
      <c r="AI14" s="33">
        <f>145.62+18432.71+881.25+48.55+183.34</f>
        <v>19691.469999999998</v>
      </c>
      <c r="AJ14" s="33">
        <f>68.85+22480.93+1110.68+47.53+185.67</f>
        <v>23893.659999999996</v>
      </c>
      <c r="AK14" s="32"/>
      <c r="AL14" s="34">
        <f>SUM(G14:AK14)</f>
      </c>
      <c r="AM14" s="35"/>
    </row>
    <row r="15" ht="13.5" customHeight="1" spans="2:39" x14ac:dyDescent="0.25">
      <c r="B15" s="5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40"/>
    </row>
    <row r="16" ht="13.5" customHeight="1" spans="2:39" x14ac:dyDescent="0.25">
      <c r="B16" s="20"/>
      <c r="C16" s="21"/>
      <c r="D16" s="21" t="s">
        <v>85</v>
      </c>
      <c r="E16" s="21"/>
      <c r="F16" s="21"/>
      <c r="G16" s="22">
        <f>SUM(G14:G14)</f>
      </c>
      <c r="H16" s="22">
        <f>SUM(H14:H14)</f>
      </c>
      <c r="I16" s="22">
        <f>SUM(I14:I14)</f>
      </c>
      <c r="J16" s="22">
        <f>SUM(J14:J14)</f>
      </c>
      <c r="K16" s="22">
        <f>SUM(K14:K14)</f>
      </c>
      <c r="L16" s="22">
        <f>SUM(L14:L14)</f>
      </c>
      <c r="M16" s="22">
        <f>SUM(M14:M14)</f>
      </c>
      <c r="N16" s="22">
        <f>SUM(N14:N14)</f>
      </c>
      <c r="O16" s="22">
        <f>SUM(O14:O14)</f>
      </c>
      <c r="P16" s="22">
        <f>SUM(P14:P14)</f>
      </c>
      <c r="Q16" s="22">
        <f>SUM(Q14:Q14)</f>
      </c>
      <c r="R16" s="22">
        <f>SUM(R14:R14)</f>
      </c>
      <c r="S16" s="22">
        <f>SUM(S14:S14)</f>
      </c>
      <c r="T16" s="22">
        <f>SUM(T14:T14)</f>
      </c>
      <c r="U16" s="22">
        <f>SUM(U14:U14)</f>
      </c>
      <c r="V16" s="22">
        <f>SUM(V14:V14)</f>
      </c>
      <c r="W16" s="22">
        <f>SUM(W14:W14)</f>
      </c>
      <c r="X16" s="22">
        <f>SUM(X14:X14)</f>
      </c>
      <c r="Y16" s="22">
        <f>SUM(Y14:Y14)</f>
      </c>
      <c r="Z16" s="22">
        <f>SUM(Z14:Z14)</f>
      </c>
      <c r="AA16" s="22">
        <f>SUM(AA14:AA14)</f>
      </c>
      <c r="AB16" s="22">
        <f>SUM(AB14:AB14)</f>
      </c>
      <c r="AC16" s="22">
        <f>SUM(AC14:AC14)</f>
      </c>
      <c r="AD16" s="22">
        <f>SUM(AD14:AD14)</f>
      </c>
      <c r="AE16" s="22">
        <f>SUM(AE14:AE14)</f>
      </c>
      <c r="AF16" s="22">
        <f>SUM(AF14:AF14)</f>
      </c>
      <c r="AG16" s="22">
        <f>SUM(AG14:AG14)</f>
      </c>
      <c r="AH16" s="22">
        <f>SUM(AH14:AH14)</f>
      </c>
      <c r="AI16" s="22">
        <f>SUM(AI14:AI14)</f>
      </c>
      <c r="AJ16" s="22">
        <f>SUM(AJ14:AJ14)</f>
      </c>
      <c r="AK16" s="22">
        <f>SUM(AK14:AK14)</f>
      </c>
      <c r="AL16" s="22">
        <f>SUM(AL14:AL14)</f>
      </c>
      <c r="AM16" s="23"/>
    </row>
    <row r="18" ht="13.5" customHeight="1" spans="2:39" x14ac:dyDescent="0.25">
      <c r="B18" s="46"/>
      <c r="C18" s="28"/>
      <c r="D18" s="47" t="s">
        <v>43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/>
    </row>
    <row r="19" ht="13.5" customHeight="1" spans="2:39" x14ac:dyDescent="0.25">
      <c r="B19" s="48" t="s">
        <v>3</v>
      </c>
      <c r="C19" s="49" t="s">
        <v>665</v>
      </c>
      <c r="D19" s="50" t="s">
        <v>43</v>
      </c>
      <c r="E19" s="32" t="s">
        <v>668</v>
      </c>
      <c r="F19" s="32" t="s">
        <v>669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36.76</v>
      </c>
      <c r="W19" s="33">
        <v>36.76</v>
      </c>
      <c r="X19" s="33">
        <v>36.76</v>
      </c>
      <c r="Y19" s="33">
        <v>36.76</v>
      </c>
      <c r="Z19" s="33">
        <v>41.4</v>
      </c>
      <c r="AA19" s="33">
        <v>36.76</v>
      </c>
      <c r="AB19" s="33">
        <v>36.76</v>
      </c>
      <c r="AC19" s="33">
        <v>36.76</v>
      </c>
      <c r="AD19" s="33">
        <v>36.76</v>
      </c>
      <c r="AE19" s="33">
        <v>36.76</v>
      </c>
      <c r="AF19" s="33">
        <v>36.76</v>
      </c>
      <c r="AG19" s="33">
        <v>39.52</v>
      </c>
      <c r="AH19" s="33">
        <v>39.52</v>
      </c>
      <c r="AI19" s="33">
        <v>39.52</v>
      </c>
      <c r="AJ19" s="33">
        <v>39.52</v>
      </c>
      <c r="AK19" s="32"/>
      <c r="AL19" s="34">
        <f>SUM(G19:AK19)</f>
      </c>
      <c r="AM19" s="35"/>
    </row>
    <row r="20" ht="13.5" customHeight="1" spans="2:39" x14ac:dyDescent="0.25">
      <c r="B20" s="51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0"/>
    </row>
    <row r="21" ht="13.5" customHeight="1" spans="2:39" x14ac:dyDescent="0.25">
      <c r="B21" s="20"/>
      <c r="C21" s="21"/>
      <c r="D21" s="21" t="s">
        <v>89</v>
      </c>
      <c r="E21" s="21"/>
      <c r="F21" s="21"/>
      <c r="G21" s="22">
        <f>SUM(G19:G19)</f>
      </c>
      <c r="H21" s="22">
        <f>SUM(H19:H19)</f>
      </c>
      <c r="I21" s="22">
        <f>SUM(I19:I19)</f>
      </c>
      <c r="J21" s="22">
        <f>SUM(J19:J19)</f>
      </c>
      <c r="K21" s="22">
        <f>SUM(K19:K19)</f>
      </c>
      <c r="L21" s="22">
        <f>SUM(L19:L19)</f>
      </c>
      <c r="M21" s="22">
        <f>SUM(M19:M19)</f>
      </c>
      <c r="N21" s="22">
        <f>SUM(N19:N19)</f>
      </c>
      <c r="O21" s="22">
        <f>SUM(O19:O19)</f>
      </c>
      <c r="P21" s="22">
        <f>SUM(P19:P19)</f>
      </c>
      <c r="Q21" s="22">
        <f>SUM(Q19:Q19)</f>
      </c>
      <c r="R21" s="22">
        <f>SUM(R19:R19)</f>
      </c>
      <c r="S21" s="22">
        <f>SUM(S19:S19)</f>
      </c>
      <c r="T21" s="22">
        <f>SUM(T19:T19)</f>
      </c>
      <c r="U21" s="22">
        <f>SUM(U19:U19)</f>
      </c>
      <c r="V21" s="22">
        <f>SUM(V19:V19)</f>
      </c>
      <c r="W21" s="22">
        <f>SUM(W19:W19)</f>
      </c>
      <c r="X21" s="22">
        <f>SUM(X19:X19)</f>
      </c>
      <c r="Y21" s="22">
        <f>SUM(Y19:Y19)</f>
      </c>
      <c r="Z21" s="22">
        <f>SUM(Z19:Z19)</f>
      </c>
      <c r="AA21" s="22">
        <f>SUM(AA19:AA19)</f>
      </c>
      <c r="AB21" s="22">
        <f>SUM(AB19:AB19)</f>
      </c>
      <c r="AC21" s="22">
        <f>SUM(AC19:AC19)</f>
      </c>
      <c r="AD21" s="22">
        <f>SUM(AD19:AD19)</f>
      </c>
      <c r="AE21" s="22">
        <f>SUM(AE19:AE19)</f>
      </c>
      <c r="AF21" s="22">
        <f>SUM(AF19:AF19)</f>
      </c>
      <c r="AG21" s="22">
        <f>SUM(AG19:AG19)</f>
      </c>
      <c r="AH21" s="22">
        <f>SUM(AH19:AH19)</f>
      </c>
      <c r="AI21" s="22">
        <f>SUM(AI19:AI19)</f>
      </c>
      <c r="AJ21" s="22">
        <f>SUM(AJ19:AJ19)</f>
      </c>
      <c r="AK21" s="22">
        <f>SUM(AK19:AK19)</f>
      </c>
      <c r="AL21" s="22">
        <f>SUM(AL19:AL19)</f>
      </c>
      <c r="AM21" s="23"/>
    </row>
    <row r="23" ht="13.5" customHeight="1" spans="2:39" x14ac:dyDescent="0.25">
      <c r="B23" s="46"/>
      <c r="C23" s="28"/>
      <c r="D23" s="47" t="s">
        <v>44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90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3"/>
    </row>
    <row r="28" ht="12.75" customHeight="1" spans="2:39" x14ac:dyDescent="0.25">
      <c r="B28" s="11" t="s">
        <v>40</v>
      </c>
      <c r="C28" s="12"/>
      <c r="D28" s="12"/>
      <c r="E28" s="12"/>
      <c r="F28" s="12"/>
      <c r="G28" s="52" t="s">
        <v>7</v>
      </c>
      <c r="H28" s="52" t="s">
        <v>8</v>
      </c>
      <c r="I28" s="52" t="s">
        <v>9</v>
      </c>
      <c r="J28" s="52" t="s">
        <v>10</v>
      </c>
      <c r="K28" s="52" t="s">
        <v>11</v>
      </c>
      <c r="L28" s="52" t="s">
        <v>12</v>
      </c>
      <c r="M28" s="52" t="s">
        <v>13</v>
      </c>
      <c r="N28" s="52" t="s">
        <v>14</v>
      </c>
      <c r="O28" s="52" t="s">
        <v>15</v>
      </c>
      <c r="P28" s="52" t="s">
        <v>16</v>
      </c>
      <c r="Q28" s="52" t="s">
        <v>17</v>
      </c>
      <c r="R28" s="52" t="s">
        <v>18</v>
      </c>
      <c r="S28" s="52" t="s">
        <v>19</v>
      </c>
      <c r="T28" s="52" t="s">
        <v>20</v>
      </c>
      <c r="U28" s="52" t="s">
        <v>21</v>
      </c>
      <c r="V28" s="52" t="s">
        <v>22</v>
      </c>
      <c r="W28" s="52" t="s">
        <v>23</v>
      </c>
      <c r="X28" s="52" t="s">
        <v>24</v>
      </c>
      <c r="Y28" s="52" t="s">
        <v>25</v>
      </c>
      <c r="Z28" s="52" t="s">
        <v>26</v>
      </c>
      <c r="AA28" s="52" t="s">
        <v>27</v>
      </c>
      <c r="AB28" s="52" t="s">
        <v>28</v>
      </c>
      <c r="AC28" s="52" t="s">
        <v>29</v>
      </c>
      <c r="AD28" s="52" t="s">
        <v>30</v>
      </c>
      <c r="AE28" s="52" t="s">
        <v>31</v>
      </c>
      <c r="AF28" s="52" t="s">
        <v>32</v>
      </c>
      <c r="AG28" s="52" t="s">
        <v>33</v>
      </c>
      <c r="AH28" s="52" t="s">
        <v>34</v>
      </c>
      <c r="AI28" s="52" t="s">
        <v>35</v>
      </c>
      <c r="AJ28" s="52" t="s">
        <v>36</v>
      </c>
      <c r="AK28" s="52" t="s">
        <v>37</v>
      </c>
      <c r="AL28" s="52" t="s">
        <v>38</v>
      </c>
      <c r="AM28" s="15"/>
    </row>
    <row r="29" ht="12.75" customHeight="1" spans="2:39" x14ac:dyDescent="0.25">
      <c r="B29" s="16"/>
      <c r="C29" s="17"/>
      <c r="D29" s="17" t="s">
        <v>41</v>
      </c>
      <c r="E29" s="17"/>
      <c r="F29" s="17"/>
      <c r="G29" s="18">
        <f>G11</f>
      </c>
      <c r="H29" s="18">
        <f>H11</f>
      </c>
      <c r="I29" s="18">
        <f>I11</f>
      </c>
      <c r="J29" s="18">
        <f>J11</f>
      </c>
      <c r="K29" s="18">
        <f>K11</f>
      </c>
      <c r="L29" s="18">
        <f>L11</f>
      </c>
      <c r="M29" s="18">
        <f>M11</f>
      </c>
      <c r="N29" s="18">
        <f>N11</f>
      </c>
      <c r="O29" s="18">
        <f>O11</f>
      </c>
      <c r="P29" s="18">
        <f>P11</f>
      </c>
      <c r="Q29" s="18">
        <f>Q11</f>
      </c>
      <c r="R29" s="18">
        <f>R11</f>
      </c>
      <c r="S29" s="18">
        <f>S11</f>
      </c>
      <c r="T29" s="18">
        <f>T11</f>
      </c>
      <c r="U29" s="18">
        <f>U11</f>
      </c>
      <c r="V29" s="18">
        <f>V11</f>
      </c>
      <c r="W29" s="18">
        <f>W11</f>
      </c>
      <c r="X29" s="18">
        <f>X11</f>
      </c>
      <c r="Y29" s="18">
        <f>Y11</f>
      </c>
      <c r="Z29" s="18">
        <f>Z11</f>
      </c>
      <c r="AA29" s="18">
        <f>AA11</f>
      </c>
      <c r="AB29" s="18">
        <f>AB11</f>
      </c>
      <c r="AC29" s="18">
        <f>AC11</f>
      </c>
      <c r="AD29" s="18">
        <f>AD11</f>
      </c>
      <c r="AE29" s="18">
        <f>AE11</f>
      </c>
      <c r="AF29" s="18">
        <f>AF11</f>
      </c>
      <c r="AG29" s="18">
        <f>AG11</f>
      </c>
      <c r="AH29" s="18">
        <f>AH11</f>
      </c>
      <c r="AI29" s="18">
        <f>AI11</f>
      </c>
      <c r="AJ29" s="18">
        <f>AJ11</f>
      </c>
      <c r="AK29" s="18">
        <f>AK11</f>
      </c>
      <c r="AL29" s="18">
        <f>AL11</f>
      </c>
      <c r="AM29" s="19"/>
    </row>
    <row r="30" ht="12.75" customHeight="1" spans="2:39" x14ac:dyDescent="0.25">
      <c r="B30" s="16"/>
      <c r="C30" s="17"/>
      <c r="D30" s="17" t="s">
        <v>42</v>
      </c>
      <c r="E30" s="17"/>
      <c r="F30" s="17"/>
      <c r="G30" s="18">
        <f>G16</f>
      </c>
      <c r="H30" s="18">
        <f>H16</f>
      </c>
      <c r="I30" s="18">
        <f>I16</f>
      </c>
      <c r="J30" s="18">
        <f>J16</f>
      </c>
      <c r="K30" s="18">
        <f>K16</f>
      </c>
      <c r="L30" s="18">
        <f>L16</f>
      </c>
      <c r="M30" s="18">
        <f>M16</f>
      </c>
      <c r="N30" s="18">
        <f>N16</f>
      </c>
      <c r="O30" s="18">
        <f>O16</f>
      </c>
      <c r="P30" s="18">
        <f>P16</f>
      </c>
      <c r="Q30" s="18">
        <f>Q16</f>
      </c>
      <c r="R30" s="18">
        <f>R16</f>
      </c>
      <c r="S30" s="18">
        <f>S16</f>
      </c>
      <c r="T30" s="18">
        <f>T16</f>
      </c>
      <c r="U30" s="18">
        <f>U16</f>
      </c>
      <c r="V30" s="18">
        <f>V16</f>
      </c>
      <c r="W30" s="18">
        <f>W16</f>
      </c>
      <c r="X30" s="18">
        <f>X16</f>
      </c>
      <c r="Y30" s="18">
        <f>Y16</f>
      </c>
      <c r="Z30" s="18">
        <f>Z16</f>
      </c>
      <c r="AA30" s="18">
        <f>AA16</f>
      </c>
      <c r="AB30" s="18">
        <f>AB16</f>
      </c>
      <c r="AC30" s="18">
        <f>AC16</f>
      </c>
      <c r="AD30" s="18">
        <f>AD16</f>
      </c>
      <c r="AE30" s="18">
        <f>AE16</f>
      </c>
      <c r="AF30" s="18">
        <f>AF16</f>
      </c>
      <c r="AG30" s="18">
        <f>AG16</f>
      </c>
      <c r="AH30" s="18">
        <f>AH16</f>
      </c>
      <c r="AI30" s="18">
        <f>AI16</f>
      </c>
      <c r="AJ30" s="18">
        <f>AJ16</f>
      </c>
      <c r="AK30" s="18">
        <f>AK16</f>
      </c>
      <c r="AL30" s="18">
        <f>AL16</f>
      </c>
      <c r="AM30" s="19"/>
    </row>
    <row r="31" ht="12.75" customHeight="1" spans="2:39" x14ac:dyDescent="0.25">
      <c r="B31" s="16"/>
      <c r="C31" s="17"/>
      <c r="D31" s="17" t="s">
        <v>43</v>
      </c>
      <c r="E31" s="17"/>
      <c r="F31" s="17"/>
      <c r="G31" s="18">
        <f>G21</f>
      </c>
      <c r="H31" s="18">
        <f>H21</f>
      </c>
      <c r="I31" s="18">
        <f>I21</f>
      </c>
      <c r="J31" s="18">
        <f>J21</f>
      </c>
      <c r="K31" s="18">
        <f>K21</f>
      </c>
      <c r="L31" s="18">
        <f>L21</f>
      </c>
      <c r="M31" s="18">
        <f>M21</f>
      </c>
      <c r="N31" s="18">
        <f>N21</f>
      </c>
      <c r="O31" s="18">
        <f>O21</f>
      </c>
      <c r="P31" s="18">
        <f>P21</f>
      </c>
      <c r="Q31" s="18">
        <f>Q21</f>
      </c>
      <c r="R31" s="18">
        <f>R21</f>
      </c>
      <c r="S31" s="18">
        <f>S21</f>
      </c>
      <c r="T31" s="18">
        <f>T21</f>
      </c>
      <c r="U31" s="18">
        <f>U21</f>
      </c>
      <c r="V31" s="18">
        <f>V21</f>
      </c>
      <c r="W31" s="18">
        <f>W21</f>
      </c>
      <c r="X31" s="18">
        <f>X21</f>
      </c>
      <c r="Y31" s="18">
        <f>Y21</f>
      </c>
      <c r="Z31" s="18">
        <f>Z21</f>
      </c>
      <c r="AA31" s="18">
        <f>AA21</f>
      </c>
      <c r="AB31" s="18">
        <f>AB21</f>
      </c>
      <c r="AC31" s="18">
        <f>AC21</f>
      </c>
      <c r="AD31" s="18">
        <f>AD21</f>
      </c>
      <c r="AE31" s="18">
        <f>AE21</f>
      </c>
      <c r="AF31" s="18">
        <f>AF21</f>
      </c>
      <c r="AG31" s="18">
        <f>AG21</f>
      </c>
      <c r="AH31" s="18">
        <f>AH21</f>
      </c>
      <c r="AI31" s="18">
        <f>AI21</f>
      </c>
      <c r="AJ31" s="18">
        <f>AJ21</f>
      </c>
      <c r="AK31" s="18">
        <f>AK21</f>
      </c>
      <c r="AL31" s="18">
        <f>AL21</f>
      </c>
      <c r="AM31" s="19"/>
    </row>
    <row r="32" ht="12.75" customHeight="1" spans="2:39" x14ac:dyDescent="0.25">
      <c r="B32" s="16"/>
      <c r="C32" s="17"/>
      <c r="D32" s="17" t="s">
        <v>44</v>
      </c>
      <c r="E32" s="17"/>
      <c r="F32" s="17"/>
      <c r="G32" s="18">
        <f>G25</f>
      </c>
      <c r="H32" s="18">
        <f>H25</f>
      </c>
      <c r="I32" s="18">
        <f>I25</f>
      </c>
      <c r="J32" s="18">
        <f>J25</f>
      </c>
      <c r="K32" s="18">
        <f>K25</f>
      </c>
      <c r="L32" s="18">
        <f>L25</f>
      </c>
      <c r="M32" s="18">
        <f>M25</f>
      </c>
      <c r="N32" s="18">
        <f>N25</f>
      </c>
      <c r="O32" s="18">
        <f>O25</f>
      </c>
      <c r="P32" s="18">
        <f>P25</f>
      </c>
      <c r="Q32" s="18">
        <f>Q25</f>
      </c>
      <c r="R32" s="18">
        <f>R25</f>
      </c>
      <c r="S32" s="18">
        <f>S25</f>
      </c>
      <c r="T32" s="18">
        <f>T25</f>
      </c>
      <c r="U32" s="18">
        <f>U25</f>
      </c>
      <c r="V32" s="18">
        <f>V25</f>
      </c>
      <c r="W32" s="18">
        <f>W25</f>
      </c>
      <c r="X32" s="18">
        <f>X25</f>
      </c>
      <c r="Y32" s="18">
        <f>Y25</f>
      </c>
      <c r="Z32" s="18">
        <f>Z25</f>
      </c>
      <c r="AA32" s="18">
        <f>AA25</f>
      </c>
      <c r="AB32" s="18">
        <f>AB25</f>
      </c>
      <c r="AC32" s="18">
        <f>AC25</f>
      </c>
      <c r="AD32" s="18">
        <f>AD25</f>
      </c>
      <c r="AE32" s="18">
        <f>AE25</f>
      </c>
      <c r="AF32" s="18">
        <f>AF25</f>
      </c>
      <c r="AG32" s="18">
        <f>AG25</f>
      </c>
      <c r="AH32" s="18">
        <f>AH25</f>
      </c>
      <c r="AI32" s="18">
        <f>AI25</f>
      </c>
      <c r="AJ32" s="18">
        <f>AJ25</f>
      </c>
      <c r="AK32" s="18">
        <f>AK25</f>
      </c>
      <c r="AL32" s="18">
        <f>AL25</f>
      </c>
      <c r="AM32" s="19"/>
    </row>
    <row r="33" ht="12.75" customHeight="1" spans="2:39" x14ac:dyDescent="0.25">
      <c r="B33" s="20"/>
      <c r="C33" s="21"/>
      <c r="D33" s="21" t="s">
        <v>45</v>
      </c>
      <c r="E33" s="21"/>
      <c r="F33" s="21"/>
      <c r="G33" s="22">
        <f>G29+G30+G31+G32</f>
      </c>
      <c r="H33" s="22">
        <f>H29+H30+H31+H32</f>
      </c>
      <c r="I33" s="22">
        <f>I29+I30+I31+I32</f>
      </c>
      <c r="J33" s="22">
        <f>J29+J30+J31+J32</f>
      </c>
      <c r="K33" s="22">
        <f>K29+K30+K31+K32</f>
      </c>
      <c r="L33" s="22">
        <f>L29+L30+L31+L32</f>
      </c>
      <c r="M33" s="22">
        <f>M29+M30+M31+M32</f>
      </c>
      <c r="N33" s="22">
        <f>N29+N30+N31+N32</f>
      </c>
      <c r="O33" s="22">
        <f>O29+O30+O31+O32</f>
      </c>
      <c r="P33" s="22">
        <f>P29+P30+P31+P32</f>
      </c>
      <c r="Q33" s="22">
        <f>Q29+Q30+Q31+Q32</f>
      </c>
      <c r="R33" s="22">
        <f>R29+R30+R31+R32</f>
      </c>
      <c r="S33" s="22">
        <f>S29+S30+S31+S32</f>
      </c>
      <c r="T33" s="22">
        <f>T29+T30+T31+T32</f>
      </c>
      <c r="U33" s="22">
        <f>U29+U30+U31+U32</f>
      </c>
      <c r="V33" s="22">
        <f>V29+V30+V31+V32</f>
      </c>
      <c r="W33" s="22">
        <f>W29+W30+W31+W32</f>
      </c>
      <c r="X33" s="22">
        <f>X29+X30+X31+X32</f>
      </c>
      <c r="Y33" s="22">
        <f>Y29+Y30+Y31+Y32</f>
      </c>
      <c r="Z33" s="22">
        <f>Z29+Z30+Z31+Z32</f>
      </c>
      <c r="AA33" s="22">
        <f>AA29+AA30+AA31+AA32</f>
      </c>
      <c r="AB33" s="22">
        <f>AB29+AB30+AB31+AB32</f>
      </c>
      <c r="AC33" s="22">
        <f>AC29+AC30+AC31+AC32</f>
      </c>
      <c r="AD33" s="22">
        <f>AD29+AD30+AD31+AD32</f>
      </c>
      <c r="AE33" s="22">
        <f>AE29+AE30+AE31+AE32</f>
      </c>
      <c r="AF33" s="22">
        <f>AF29+AF30+AF31+AF32</f>
      </c>
      <c r="AG33" s="22">
        <f>AG29+AG30+AG31+AG32</f>
      </c>
      <c r="AH33" s="22">
        <f>AH29+AH30+AH31+AH32</f>
      </c>
      <c r="AI33" s="22">
        <f>AI29+AI30+AI31+AI32</f>
      </c>
      <c r="AJ33" s="22">
        <f>AJ29+AJ30+AJ31+AJ32</f>
      </c>
      <c r="AK33" s="22">
        <f>AK29+AK30+AK31+AK32</f>
      </c>
      <c r="AL33" s="22">
        <f>AL29+AL30+AL31+AL32</f>
      </c>
      <c r="AM33" s="23"/>
    </row>
    <row r="35" ht="12.75" customHeight="1" spans="2:39" x14ac:dyDescent="0.25">
      <c r="B35" s="11" t="s">
        <v>46</v>
      </c>
      <c r="C35" s="12"/>
      <c r="D35" s="12"/>
      <c r="E35" s="12"/>
      <c r="F35" s="12"/>
      <c r="G35" s="52" t="s">
        <v>7</v>
      </c>
      <c r="H35" s="52" t="s">
        <v>8</v>
      </c>
      <c r="I35" s="52" t="s">
        <v>9</v>
      </c>
      <c r="J35" s="52" t="s">
        <v>10</v>
      </c>
      <c r="K35" s="52" t="s">
        <v>11</v>
      </c>
      <c r="L35" s="52" t="s">
        <v>12</v>
      </c>
      <c r="M35" s="52" t="s">
        <v>13</v>
      </c>
      <c r="N35" s="52" t="s">
        <v>14</v>
      </c>
      <c r="O35" s="52" t="s">
        <v>15</v>
      </c>
      <c r="P35" s="52" t="s">
        <v>16</v>
      </c>
      <c r="Q35" s="52" t="s">
        <v>17</v>
      </c>
      <c r="R35" s="52" t="s">
        <v>18</v>
      </c>
      <c r="S35" s="52" t="s">
        <v>19</v>
      </c>
      <c r="T35" s="52" t="s">
        <v>20</v>
      </c>
      <c r="U35" s="52" t="s">
        <v>21</v>
      </c>
      <c r="V35" s="52" t="s">
        <v>22</v>
      </c>
      <c r="W35" s="52" t="s">
        <v>23</v>
      </c>
      <c r="X35" s="52" t="s">
        <v>24</v>
      </c>
      <c r="Y35" s="52" t="s">
        <v>25</v>
      </c>
      <c r="Z35" s="52" t="s">
        <v>26</v>
      </c>
      <c r="AA35" s="52" t="s">
        <v>27</v>
      </c>
      <c r="AB35" s="52" t="s">
        <v>28</v>
      </c>
      <c r="AC35" s="52" t="s">
        <v>29</v>
      </c>
      <c r="AD35" s="52" t="s">
        <v>30</v>
      </c>
      <c r="AE35" s="52" t="s">
        <v>31</v>
      </c>
      <c r="AF35" s="52" t="s">
        <v>32</v>
      </c>
      <c r="AG35" s="52" t="s">
        <v>33</v>
      </c>
      <c r="AH35" s="52" t="s">
        <v>34</v>
      </c>
      <c r="AI35" s="52" t="s">
        <v>35</v>
      </c>
      <c r="AJ35" s="52" t="s">
        <v>36</v>
      </c>
      <c r="AK35" s="52" t="s">
        <v>37</v>
      </c>
      <c r="AL35" s="52" t="s">
        <v>38</v>
      </c>
      <c r="AM35" s="15"/>
    </row>
    <row r="36" ht="12.75" customHeight="1" spans="2:39" x14ac:dyDescent="0.25">
      <c r="B36" s="16"/>
      <c r="C36" s="17"/>
      <c r="D36" s="17" t="s">
        <v>41</v>
      </c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9"/>
    </row>
    <row r="37" ht="12.75" customHeight="1" spans="2:39" x14ac:dyDescent="0.25">
      <c r="B37" s="16"/>
      <c r="C37" s="17"/>
      <c r="D37" s="17" t="s">
        <v>42</v>
      </c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9"/>
    </row>
    <row r="38" ht="12.75" customHeight="1" spans="2:39" x14ac:dyDescent="0.25">
      <c r="B38" s="16"/>
      <c r="C38" s="17"/>
      <c r="D38" s="17" t="s">
        <v>43</v>
      </c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9"/>
    </row>
    <row r="39" ht="12.75" customHeight="1" spans="2:39" x14ac:dyDescent="0.25">
      <c r="B39" s="16"/>
      <c r="C39" s="17"/>
      <c r="D39" s="17" t="s">
        <v>44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20"/>
      <c r="C40" s="21"/>
      <c r="D40" s="21" t="s">
        <v>45</v>
      </c>
      <c r="E40" s="21"/>
      <c r="F40" s="21"/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2">
        <f>AK36+AK37+AK38+AK39</f>
      </c>
      <c r="AL40" s="22">
        <f>AL36+AL37+AL38+AL39</f>
      </c>
      <c r="AM40" s="23"/>
    </row>
    <row r="42" ht="12.75" customHeight="1" spans="2:39" x14ac:dyDescent="0.25">
      <c r="B42" s="11" t="s">
        <v>47</v>
      </c>
      <c r="C42" s="12"/>
      <c r="D42" s="12"/>
      <c r="E42" s="12"/>
      <c r="F42" s="12"/>
      <c r="G42" s="52" t="s">
        <v>7</v>
      </c>
      <c r="H42" s="52" t="s">
        <v>8</v>
      </c>
      <c r="I42" s="52" t="s">
        <v>9</v>
      </c>
      <c r="J42" s="52" t="s">
        <v>10</v>
      </c>
      <c r="K42" s="52" t="s">
        <v>11</v>
      </c>
      <c r="L42" s="52" t="s">
        <v>12</v>
      </c>
      <c r="M42" s="52" t="s">
        <v>13</v>
      </c>
      <c r="N42" s="52" t="s">
        <v>14</v>
      </c>
      <c r="O42" s="52" t="s">
        <v>15</v>
      </c>
      <c r="P42" s="52" t="s">
        <v>16</v>
      </c>
      <c r="Q42" s="52" t="s">
        <v>17</v>
      </c>
      <c r="R42" s="52" t="s">
        <v>18</v>
      </c>
      <c r="S42" s="52" t="s">
        <v>19</v>
      </c>
      <c r="T42" s="52" t="s">
        <v>20</v>
      </c>
      <c r="U42" s="52" t="s">
        <v>21</v>
      </c>
      <c r="V42" s="52" t="s">
        <v>22</v>
      </c>
      <c r="W42" s="52" t="s">
        <v>23</v>
      </c>
      <c r="X42" s="52" t="s">
        <v>24</v>
      </c>
      <c r="Y42" s="52" t="s">
        <v>25</v>
      </c>
      <c r="Z42" s="52" t="s">
        <v>26</v>
      </c>
      <c r="AA42" s="52" t="s">
        <v>27</v>
      </c>
      <c r="AB42" s="52" t="s">
        <v>28</v>
      </c>
      <c r="AC42" s="52" t="s">
        <v>29</v>
      </c>
      <c r="AD42" s="52" t="s">
        <v>30</v>
      </c>
      <c r="AE42" s="52" t="s">
        <v>31</v>
      </c>
      <c r="AF42" s="52" t="s">
        <v>32</v>
      </c>
      <c r="AG42" s="52" t="s">
        <v>33</v>
      </c>
      <c r="AH42" s="52" t="s">
        <v>34</v>
      </c>
      <c r="AI42" s="52" t="s">
        <v>35</v>
      </c>
      <c r="AJ42" s="52" t="s">
        <v>36</v>
      </c>
      <c r="AK42" s="52" t="s">
        <v>37</v>
      </c>
      <c r="AL42" s="52" t="s">
        <v>38</v>
      </c>
      <c r="AM42" s="15"/>
    </row>
    <row r="43" ht="12.75" customHeight="1" spans="2:39" x14ac:dyDescent="0.25">
      <c r="B43" s="16"/>
      <c r="C43" s="17"/>
      <c r="D43" s="17" t="s">
        <v>41</v>
      </c>
      <c r="E43" s="17"/>
      <c r="F43" s="17"/>
      <c r="G43" s="24">
        <f>G36-G29</f>
      </c>
      <c r="H43" s="24">
        <f>H36-H29</f>
      </c>
      <c r="I43" s="24">
        <f>I36-I29</f>
      </c>
      <c r="J43" s="24">
        <f>J36-J29</f>
      </c>
      <c r="K43" s="24">
        <f>K36-K29</f>
      </c>
      <c r="L43" s="24">
        <f>L36-L29</f>
      </c>
      <c r="M43" s="24">
        <f>M36-M29</f>
      </c>
      <c r="N43" s="24">
        <f>N36-N29</f>
      </c>
      <c r="O43" s="24">
        <f>O36-O29</f>
      </c>
      <c r="P43" s="24">
        <f>P36-P29</f>
      </c>
      <c r="Q43" s="24">
        <f>Q36-Q29</f>
      </c>
      <c r="R43" s="24">
        <f>R36-R29</f>
      </c>
      <c r="S43" s="24">
        <f>S36-S29</f>
      </c>
      <c r="T43" s="24">
        <f>T36-T29</f>
      </c>
      <c r="U43" s="24">
        <f>U36-U29</f>
      </c>
      <c r="V43" s="24">
        <f>V36-V29</f>
      </c>
      <c r="W43" s="24">
        <f>W36-W29</f>
      </c>
      <c r="X43" s="24">
        <f>X36-X29</f>
      </c>
      <c r="Y43" s="24">
        <f>Y36-Y29</f>
      </c>
      <c r="Z43" s="24">
        <f>Z36-Z29</f>
      </c>
      <c r="AA43" s="24">
        <f>AA36-AA29</f>
      </c>
      <c r="AB43" s="24">
        <f>AB36-AB29</f>
      </c>
      <c r="AC43" s="24">
        <f>AC36-AC29</f>
      </c>
      <c r="AD43" s="24">
        <f>AD36-AD29</f>
      </c>
      <c r="AE43" s="24">
        <f>AE36-AE29</f>
      </c>
      <c r="AF43" s="24">
        <f>AF36-AF29</f>
      </c>
      <c r="AG43" s="24">
        <f>AG36-AG29</f>
      </c>
      <c r="AH43" s="24">
        <f>AH36-AH29</f>
      </c>
      <c r="AI43" s="24">
        <f>AI36-AI29</f>
      </c>
      <c r="AJ43" s="24">
        <f>AJ36-AJ29</f>
      </c>
      <c r="AK43" s="24">
        <f>AK36-AK29</f>
      </c>
      <c r="AL43" s="24">
        <f>AL36-AL29</f>
      </c>
      <c r="AM43" s="19"/>
    </row>
    <row r="44" ht="12.75" customHeight="1" spans="2:39" x14ac:dyDescent="0.25">
      <c r="B44" s="16"/>
      <c r="C44" s="17"/>
      <c r="D44" s="17" t="s">
        <v>42</v>
      </c>
      <c r="E44" s="17"/>
      <c r="F44" s="17"/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24">
        <f>AK37-AK30</f>
      </c>
      <c r="AL44" s="24">
        <f>AL37-AL30</f>
      </c>
      <c r="AM44" s="19"/>
    </row>
    <row r="45" ht="12.75" customHeight="1" spans="2:39" x14ac:dyDescent="0.25">
      <c r="B45" s="16"/>
      <c r="C45" s="17"/>
      <c r="D45" s="17" t="s">
        <v>43</v>
      </c>
      <c r="E45" s="17"/>
      <c r="F45" s="17"/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24">
        <f>AK38-AK31</f>
      </c>
      <c r="AL45" s="24">
        <f>AL38-AL31</f>
      </c>
      <c r="AM45" s="19"/>
    </row>
    <row r="46" ht="12.75" customHeight="1" spans="2:39" x14ac:dyDescent="0.25">
      <c r="B46" s="16"/>
      <c r="C46" s="17"/>
      <c r="D46" s="17" t="s">
        <v>44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20"/>
      <c r="C47" s="21"/>
      <c r="D47" s="21" t="s">
        <v>45</v>
      </c>
      <c r="E47" s="21"/>
      <c r="F47" s="21"/>
      <c r="G47" s="25">
        <f>G43+G44+G45+G46</f>
      </c>
      <c r="H47" s="25">
        <f>H43+H44+H45+H46</f>
      </c>
      <c r="I47" s="25">
        <f>I43+I44+I45+I46</f>
      </c>
      <c r="J47" s="25">
        <f>J43+J44+J45+J46</f>
      </c>
      <c r="K47" s="25">
        <f>K43+K44+K45+K46</f>
      </c>
      <c r="L47" s="25">
        <f>L43+L44+L45+L46</f>
      </c>
      <c r="M47" s="25">
        <f>M43+M44+M45+M46</f>
      </c>
      <c r="N47" s="25">
        <f>N43+N44+N45+N46</f>
      </c>
      <c r="O47" s="25">
        <f>O43+O44+O45+O46</f>
      </c>
      <c r="P47" s="25">
        <f>P43+P44+P45+P46</f>
      </c>
      <c r="Q47" s="25">
        <f>Q43+Q44+Q45+Q46</f>
      </c>
      <c r="R47" s="25">
        <f>R43+R44+R45+R46</f>
      </c>
      <c r="S47" s="25">
        <f>S43+S44+S45+S46</f>
      </c>
      <c r="T47" s="25">
        <f>T43+T44+T45+T46</f>
      </c>
      <c r="U47" s="25">
        <f>U43+U44+U45+U46</f>
      </c>
      <c r="V47" s="25">
        <f>V43+V44+V45+V46</f>
      </c>
      <c r="W47" s="25">
        <f>W43+W44+W45+W46</f>
      </c>
      <c r="X47" s="25">
        <f>X43+X44+X45+X46</f>
      </c>
      <c r="Y47" s="25">
        <f>Y43+Y44+Y45+Y46</f>
      </c>
      <c r="Z47" s="25">
        <f>Z43+Z44+Z45+Z46</f>
      </c>
      <c r="AA47" s="25">
        <f>AA43+AA44+AA45+AA46</f>
      </c>
      <c r="AB47" s="25">
        <f>AB43+AB44+AB45+AB46</f>
      </c>
      <c r="AC47" s="25">
        <f>AC43+AC44+AC45+AC46</f>
      </c>
      <c r="AD47" s="25">
        <f>AD43+AD44+AD45+AD46</f>
      </c>
      <c r="AE47" s="25">
        <f>AE43+AE44+AE45+AE46</f>
      </c>
      <c r="AF47" s="25">
        <f>AF43+AF44+AF45+AF46</f>
      </c>
      <c r="AG47" s="25">
        <f>AG43+AG44+AG45+AG46</f>
      </c>
      <c r="AH47" s="25">
        <f>AH43+AH44+AH45+AH46</f>
      </c>
      <c r="AI47" s="25">
        <f>AI43+AI44+AI45+AI46</f>
      </c>
      <c r="AJ47" s="25">
        <f>AJ43+AJ44+AJ45+AJ46</f>
      </c>
      <c r="AK47" s="25">
        <f>AK43+AK44+AK45+AK46</f>
      </c>
      <c r="AL47" s="25">
        <f>AL43+AL44+AL45+AL46</f>
      </c>
      <c r="AM47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685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686</v>
      </c>
      <c r="E13" s="32"/>
      <c r="F13" s="32"/>
      <c r="G13" s="32"/>
      <c r="H13" s="32"/>
      <c r="I13" s="33">
        <v>58.02</v>
      </c>
      <c r="J13" s="33">
        <v>48.4</v>
      </c>
      <c r="K13" s="33">
        <v>79.45</v>
      </c>
      <c r="L13" s="33">
        <v>49.7</v>
      </c>
      <c r="M13" s="33">
        <v>51.6</v>
      </c>
      <c r="N13" s="33">
        <v>81.92</v>
      </c>
      <c r="O13" s="33">
        <v>49.63</v>
      </c>
      <c r="P13" s="33">
        <v>58.29</v>
      </c>
      <c r="Q13" s="33">
        <v>73.31</v>
      </c>
      <c r="R13" s="33">
        <v>54.37</v>
      </c>
      <c r="S13" s="33">
        <v>56.41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687</v>
      </c>
      <c r="E14" s="32"/>
      <c r="F14" s="32"/>
      <c r="G14" s="32"/>
      <c r="H14" s="32"/>
      <c r="I14" s="33">
        <v>20486.49</v>
      </c>
      <c r="J14" s="33">
        <v>18738.54</v>
      </c>
      <c r="K14" s="33">
        <v>19844.57</v>
      </c>
      <c r="L14" s="33">
        <v>19790.75</v>
      </c>
      <c r="M14" s="33">
        <v>24119.87</v>
      </c>
      <c r="N14" s="33">
        <v>27810.45</v>
      </c>
      <c r="O14" s="33">
        <v>25591.98</v>
      </c>
      <c r="P14" s="33">
        <v>25105.32</v>
      </c>
      <c r="Q14" s="33">
        <v>25367.92</v>
      </c>
      <c r="R14" s="33">
        <v>19551.61</v>
      </c>
      <c r="S14" s="33">
        <v>18161.73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688</v>
      </c>
      <c r="E15" s="32"/>
      <c r="F15" s="32"/>
      <c r="G15" s="32"/>
      <c r="H15" s="32"/>
      <c r="I15" s="33">
        <v>1518.73</v>
      </c>
      <c r="J15" s="33">
        <v>1192.2</v>
      </c>
      <c r="K15" s="33">
        <v>1268</v>
      </c>
      <c r="L15" s="33">
        <v>1413.76</v>
      </c>
      <c r="M15" s="33">
        <v>1343.8</v>
      </c>
      <c r="N15" s="33">
        <v>1180.54</v>
      </c>
      <c r="O15" s="33">
        <v>940.11</v>
      </c>
      <c r="P15" s="33">
        <v>1105.29</v>
      </c>
      <c r="Q15" s="33">
        <v>1011.67</v>
      </c>
      <c r="R15" s="33">
        <v>962.86</v>
      </c>
      <c r="S15" s="33">
        <v>935.53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689</v>
      </c>
      <c r="E16" s="32"/>
      <c r="F16" s="32"/>
      <c r="G16" s="32"/>
      <c r="H16" s="32"/>
      <c r="I16" s="33">
        <v>55.98</v>
      </c>
      <c r="J16" s="33">
        <v>48.4</v>
      </c>
      <c r="K16" s="33">
        <v>45.91</v>
      </c>
      <c r="L16" s="33">
        <v>55.38</v>
      </c>
      <c r="M16" s="33">
        <v>74.77</v>
      </c>
      <c r="N16" s="33">
        <v>83.09</v>
      </c>
      <c r="O16" s="33">
        <v>80.6</v>
      </c>
      <c r="P16" s="33">
        <v>78.67</v>
      </c>
      <c r="Q16" s="33">
        <v>81.29</v>
      </c>
      <c r="R16" s="33">
        <v>65.71</v>
      </c>
      <c r="S16" s="33">
        <v>55.32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690</v>
      </c>
      <c r="E17" s="32"/>
      <c r="F17" s="32"/>
      <c r="G17" s="32"/>
      <c r="H17" s="32"/>
      <c r="I17" s="33">
        <v>168.01</v>
      </c>
      <c r="J17" s="33">
        <v>163.53</v>
      </c>
      <c r="K17" s="33">
        <v>163.53</v>
      </c>
      <c r="L17" s="33">
        <v>161.27</v>
      </c>
      <c r="M17" s="33">
        <v>161.27</v>
      </c>
      <c r="N17" s="33">
        <v>165.76</v>
      </c>
      <c r="O17" s="33">
        <v>153.93</v>
      </c>
      <c r="P17" s="33">
        <v>155.98</v>
      </c>
      <c r="Q17" s="33">
        <v>162.21</v>
      </c>
      <c r="R17" s="33">
        <v>169.99</v>
      </c>
      <c r="S17" s="33">
        <v>174.22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7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40"/>
    </row>
    <row r="19" ht="12.75" customHeight="1" spans="2:37" x14ac:dyDescent="0.25">
      <c r="B19" s="20" t="s">
        <v>85</v>
      </c>
      <c r="C19" s="21"/>
      <c r="D19" s="21"/>
      <c r="E19" s="22">
        <f>SUM(E13:E17)</f>
      </c>
      <c r="F19" s="22">
        <f>SUM(F13:F17)</f>
      </c>
      <c r="G19" s="22">
        <f>SUM(G13:G17)</f>
      </c>
      <c r="H19" s="22">
        <f>SUM(H13:H17)</f>
      </c>
      <c r="I19" s="22">
        <f>SUM(I13:I17)</f>
      </c>
      <c r="J19" s="22">
        <f>SUM(J13:J17)</f>
      </c>
      <c r="K19" s="22">
        <f>SUM(K13:K17)</f>
      </c>
      <c r="L19" s="22">
        <f>SUM(L13:L17)</f>
      </c>
      <c r="M19" s="22">
        <f>SUM(M13:M17)</f>
      </c>
      <c r="N19" s="22">
        <f>SUM(N13:N17)</f>
      </c>
      <c r="O19" s="22">
        <f>SUM(O13:O17)</f>
      </c>
      <c r="P19" s="22">
        <f>SUM(P13:P17)</f>
      </c>
      <c r="Q19" s="22">
        <f>SUM(Q13:Q17)</f>
      </c>
      <c r="R19" s="22">
        <f>SUM(R13:R17)</f>
      </c>
      <c r="S19" s="22">
        <f>SUM(S13:S17)</f>
      </c>
      <c r="T19" s="22">
        <f>SUM(T13:T17)</f>
      </c>
      <c r="U19" s="22">
        <f>SUM(U13:U17)</f>
      </c>
      <c r="V19" s="22">
        <f>SUM(V13:V17)</f>
      </c>
      <c r="W19" s="22">
        <f>SUM(W13:W17)</f>
      </c>
      <c r="X19" s="22">
        <f>SUM(X13:X17)</f>
      </c>
      <c r="Y19" s="22">
        <f>SUM(Y13:Y17)</f>
      </c>
      <c r="Z19" s="22">
        <f>SUM(Z13:Z17)</f>
      </c>
      <c r="AA19" s="22">
        <f>SUM(AA13:AA17)</f>
      </c>
      <c r="AB19" s="22">
        <f>SUM(AB13:AB17)</f>
      </c>
      <c r="AC19" s="22">
        <f>SUM(AC13:AC17)</f>
      </c>
      <c r="AD19" s="22">
        <f>SUM(AD13:AD17)</f>
      </c>
      <c r="AE19" s="22">
        <f>SUM(AE13:AE17)</f>
      </c>
      <c r="AF19" s="22">
        <f>SUM(AF13:AF17)</f>
      </c>
      <c r="AG19" s="22">
        <f>SUM(AG13:AG17)</f>
      </c>
      <c r="AH19" s="22">
        <f>SUM(AH13:AH17)</f>
      </c>
      <c r="AI19" s="22">
        <f>SUM(AI13:AI17)</f>
      </c>
      <c r="AJ19" s="22">
        <f>SUM(AJ13:AJ17)</f>
      </c>
      <c r="AK19" s="23"/>
    </row>
    <row r="21" ht="12.75" customHeight="1" spans="2:37" x14ac:dyDescent="0.25">
      <c r="B21" s="26" t="s">
        <v>43</v>
      </c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9"/>
    </row>
    <row r="22" ht="12.75" customHeight="1" spans="2:37" x14ac:dyDescent="0.25">
      <c r="B22" s="30" t="s">
        <v>43</v>
      </c>
      <c r="C22" s="31" t="s">
        <v>3</v>
      </c>
      <c r="D22" s="32" t="s">
        <v>691</v>
      </c>
      <c r="E22" s="32"/>
      <c r="F22" s="32"/>
      <c r="G22" s="32"/>
      <c r="H22" s="33">
        <v>35.01</v>
      </c>
      <c r="I22" s="33">
        <v>35.01</v>
      </c>
      <c r="J22" s="33">
        <v>35.01</v>
      </c>
      <c r="K22" s="32"/>
      <c r="L22" s="33">
        <v>35.01</v>
      </c>
      <c r="M22" s="33">
        <v>35.01</v>
      </c>
      <c r="N22" s="33">
        <v>35.01</v>
      </c>
      <c r="O22" s="33">
        <v>35.01</v>
      </c>
      <c r="P22" s="33">
        <v>35.01</v>
      </c>
      <c r="Q22" s="33">
        <v>35.01</v>
      </c>
      <c r="R22" s="33">
        <v>35.01</v>
      </c>
      <c r="S22" s="33">
        <v>36.76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89</v>
      </c>
      <c r="C24" s="21"/>
      <c r="D24" s="21"/>
      <c r="E24" s="22">
        <f>SUM(E22:E22)</f>
      </c>
      <c r="F24" s="22">
        <f>SUM(F22:F22)</f>
      </c>
      <c r="G24" s="22">
        <f>SUM(G22:G22)</f>
      </c>
      <c r="H24" s="22">
        <f>SUM(H22:H22)</f>
      </c>
      <c r="I24" s="22">
        <f>SUM(I22:I22)</f>
      </c>
      <c r="J24" s="22">
        <f>SUM(J22:J22)</f>
      </c>
      <c r="K24" s="22">
        <f>SUM(K22:K22)</f>
      </c>
      <c r="L24" s="22">
        <f>SUM(L22:L22)</f>
      </c>
      <c r="M24" s="22">
        <f>SUM(M22:M22)</f>
      </c>
      <c r="N24" s="22">
        <f>SUM(N22:N22)</f>
      </c>
      <c r="O24" s="22">
        <f>SUM(O22:O22)</f>
      </c>
      <c r="P24" s="22">
        <f>SUM(P22:P22)</f>
      </c>
      <c r="Q24" s="22">
        <f>SUM(Q22:Q22)</f>
      </c>
      <c r="R24" s="22">
        <f>SUM(R22:R22)</f>
      </c>
      <c r="S24" s="22">
        <f>SUM(S22:S22)</f>
      </c>
      <c r="T24" s="22">
        <f>SUM(T22:T22)</f>
      </c>
      <c r="U24" s="22">
        <f>SUM(U22:U22)</f>
      </c>
      <c r="V24" s="22">
        <f>SUM(V22:V22)</f>
      </c>
      <c r="W24" s="22">
        <f>SUM(W22:W22)</f>
      </c>
      <c r="X24" s="22">
        <f>SUM(X22:X22)</f>
      </c>
      <c r="Y24" s="22">
        <f>SUM(Y22:Y22)</f>
      </c>
      <c r="Z24" s="22">
        <f>SUM(Z22:Z22)</f>
      </c>
      <c r="AA24" s="22">
        <f>SUM(AA22:AA22)</f>
      </c>
      <c r="AB24" s="22">
        <f>SUM(AB22:AB22)</f>
      </c>
      <c r="AC24" s="22">
        <f>SUM(AC22:AC22)</f>
      </c>
      <c r="AD24" s="22">
        <f>SUM(AD22:AD22)</f>
      </c>
      <c r="AE24" s="22">
        <f>SUM(AE22:AE22)</f>
      </c>
      <c r="AF24" s="22">
        <f>SUM(AF22:AF22)</f>
      </c>
      <c r="AG24" s="22">
        <f>SUM(AG22:AG22)</f>
      </c>
      <c r="AH24" s="22">
        <f>SUM(AH22:AH22)</f>
      </c>
      <c r="AI24" s="22">
        <f>SUM(AI22:AI22)</f>
      </c>
      <c r="AJ24" s="22">
        <f>SUM(AJ22:AJ22)</f>
      </c>
      <c r="AK24" s="23"/>
    </row>
    <row r="26" ht="12.75" customHeight="1" spans="2:37" x14ac:dyDescent="0.25">
      <c r="B26" s="26" t="s">
        <v>44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7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</row>
    <row r="28" ht="12.75" customHeight="1" spans="2:37" x14ac:dyDescent="0.25">
      <c r="B28" s="20" t="s">
        <v>90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3"/>
    </row>
    <row r="31" ht="12.75" customHeight="1" spans="2:37" x14ac:dyDescent="0.25">
      <c r="B31" s="11" t="s">
        <v>40</v>
      </c>
      <c r="C31" s="12"/>
      <c r="D31" s="13"/>
      <c r="E31" s="14" t="s">
        <v>7</v>
      </c>
      <c r="F31" s="14" t="s">
        <v>8</v>
      </c>
      <c r="G31" s="14" t="s">
        <v>9</v>
      </c>
      <c r="H31" s="14" t="s">
        <v>10</v>
      </c>
      <c r="I31" s="14" t="s">
        <v>11</v>
      </c>
      <c r="J31" s="14" t="s">
        <v>12</v>
      </c>
      <c r="K31" s="14" t="s">
        <v>13</v>
      </c>
      <c r="L31" s="14" t="s">
        <v>14</v>
      </c>
      <c r="M31" s="14" t="s">
        <v>15</v>
      </c>
      <c r="N31" s="14" t="s">
        <v>16</v>
      </c>
      <c r="O31" s="14" t="s">
        <v>17</v>
      </c>
      <c r="P31" s="14" t="s">
        <v>18</v>
      </c>
      <c r="Q31" s="14" t="s">
        <v>19</v>
      </c>
      <c r="R31" s="14" t="s">
        <v>20</v>
      </c>
      <c r="S31" s="14" t="s">
        <v>21</v>
      </c>
      <c r="T31" s="14" t="s">
        <v>22</v>
      </c>
      <c r="U31" s="14" t="s">
        <v>23</v>
      </c>
      <c r="V31" s="14" t="s">
        <v>24</v>
      </c>
      <c r="W31" s="14" t="s">
        <v>25</v>
      </c>
      <c r="X31" s="14" t="s">
        <v>26</v>
      </c>
      <c r="Y31" s="14" t="s">
        <v>27</v>
      </c>
      <c r="Z31" s="14" t="s">
        <v>28</v>
      </c>
      <c r="AA31" s="14" t="s">
        <v>29</v>
      </c>
      <c r="AB31" s="14" t="s">
        <v>30</v>
      </c>
      <c r="AC31" s="14" t="s">
        <v>31</v>
      </c>
      <c r="AD31" s="14" t="s">
        <v>32</v>
      </c>
      <c r="AE31" s="14" t="s">
        <v>33</v>
      </c>
      <c r="AF31" s="14" t="s">
        <v>34</v>
      </c>
      <c r="AG31" s="14" t="s">
        <v>35</v>
      </c>
      <c r="AH31" s="14" t="s">
        <v>36</v>
      </c>
      <c r="AI31" s="14" t="s">
        <v>37</v>
      </c>
      <c r="AJ31" s="14" t="s">
        <v>38</v>
      </c>
      <c r="AK31" s="15"/>
    </row>
    <row r="32" ht="12.75" customHeight="1" spans="2:37" x14ac:dyDescent="0.25">
      <c r="B32" s="16" t="s">
        <v>41</v>
      </c>
      <c r="C32" s="17"/>
      <c r="D32" s="17"/>
      <c r="E32" s="18">
        <f>E10</f>
      </c>
      <c r="F32" s="18">
        <f>F10</f>
      </c>
      <c r="G32" s="18">
        <f>G10</f>
      </c>
      <c r="H32" s="18">
        <f>H10</f>
      </c>
      <c r="I32" s="18">
        <f>I10</f>
      </c>
      <c r="J32" s="18">
        <f>J10</f>
      </c>
      <c r="K32" s="18">
        <f>K10</f>
      </c>
      <c r="L32" s="18">
        <f>L10</f>
      </c>
      <c r="M32" s="18">
        <f>M10</f>
      </c>
      <c r="N32" s="18">
        <f>N10</f>
      </c>
      <c r="O32" s="18">
        <f>O10</f>
      </c>
      <c r="P32" s="18">
        <f>P10</f>
      </c>
      <c r="Q32" s="18">
        <f>Q10</f>
      </c>
      <c r="R32" s="18">
        <f>R10</f>
      </c>
      <c r="S32" s="18">
        <f>S10</f>
      </c>
      <c r="T32" s="18">
        <f>T10</f>
      </c>
      <c r="U32" s="18">
        <f>U10</f>
      </c>
      <c r="V32" s="18">
        <f>V10</f>
      </c>
      <c r="W32" s="18">
        <f>W10</f>
      </c>
      <c r="X32" s="18">
        <f>X10</f>
      </c>
      <c r="Y32" s="18">
        <f>Y10</f>
      </c>
      <c r="Z32" s="18">
        <f>Z10</f>
      </c>
      <c r="AA32" s="18">
        <f>AA10</f>
      </c>
      <c r="AB32" s="18">
        <f>AB10</f>
      </c>
      <c r="AC32" s="18">
        <f>AC10</f>
      </c>
      <c r="AD32" s="18">
        <f>AD10</f>
      </c>
      <c r="AE32" s="18">
        <f>AE10</f>
      </c>
      <c r="AF32" s="18">
        <f>AF10</f>
      </c>
      <c r="AG32" s="18">
        <f>AG10</f>
      </c>
      <c r="AH32" s="18">
        <f>AH10</f>
      </c>
      <c r="AI32" s="18">
        <f>AI10</f>
      </c>
      <c r="AJ32" s="18">
        <f>AJ10</f>
      </c>
      <c r="AK32" s="19"/>
    </row>
    <row r="33" ht="12.75" customHeight="1" spans="2:37" x14ac:dyDescent="0.25">
      <c r="B33" s="16" t="s">
        <v>42</v>
      </c>
      <c r="C33" s="17"/>
      <c r="D33" s="17"/>
      <c r="E33" s="18">
        <f>E19</f>
      </c>
      <c r="F33" s="18">
        <f>F19</f>
      </c>
      <c r="G33" s="18">
        <f>G19</f>
      </c>
      <c r="H33" s="18">
        <f>H19</f>
      </c>
      <c r="I33" s="18">
        <f>I19</f>
      </c>
      <c r="J33" s="18">
        <f>J19</f>
      </c>
      <c r="K33" s="18">
        <f>K19</f>
      </c>
      <c r="L33" s="18">
        <f>L19</f>
      </c>
      <c r="M33" s="18">
        <f>M19</f>
      </c>
      <c r="N33" s="18">
        <f>N19</f>
      </c>
      <c r="O33" s="18">
        <f>O19</f>
      </c>
      <c r="P33" s="18">
        <f>P19</f>
      </c>
      <c r="Q33" s="18">
        <f>Q19</f>
      </c>
      <c r="R33" s="18">
        <f>R19</f>
      </c>
      <c r="S33" s="18">
        <f>S19</f>
      </c>
      <c r="T33" s="18">
        <f>T19</f>
      </c>
      <c r="U33" s="18">
        <f>U19</f>
      </c>
      <c r="V33" s="18">
        <f>V19</f>
      </c>
      <c r="W33" s="18">
        <f>W19</f>
      </c>
      <c r="X33" s="18">
        <f>X19</f>
      </c>
      <c r="Y33" s="18">
        <f>Y19</f>
      </c>
      <c r="Z33" s="18">
        <f>Z19</f>
      </c>
      <c r="AA33" s="18">
        <f>AA19</f>
      </c>
      <c r="AB33" s="18">
        <f>AB19</f>
      </c>
      <c r="AC33" s="18">
        <f>AC19</f>
      </c>
      <c r="AD33" s="18">
        <f>AD19</f>
      </c>
      <c r="AE33" s="18">
        <f>AE19</f>
      </c>
      <c r="AF33" s="18">
        <f>AF19</f>
      </c>
      <c r="AG33" s="18">
        <f>AG19</f>
      </c>
      <c r="AH33" s="18">
        <f>AH19</f>
      </c>
      <c r="AI33" s="18">
        <f>AI19</f>
      </c>
      <c r="AJ33" s="18">
        <f>AJ19</f>
      </c>
      <c r="AK33" s="19"/>
    </row>
    <row r="34" ht="12.75" customHeight="1" spans="2:37" x14ac:dyDescent="0.25">
      <c r="B34" s="16" t="s">
        <v>43</v>
      </c>
      <c r="C34" s="17"/>
      <c r="D34" s="17"/>
      <c r="E34" s="18">
        <f>E24</f>
      </c>
      <c r="F34" s="18">
        <f>F24</f>
      </c>
      <c r="G34" s="18">
        <f>G24</f>
      </c>
      <c r="H34" s="18">
        <f>H24</f>
      </c>
      <c r="I34" s="18">
        <f>I24</f>
      </c>
      <c r="J34" s="18">
        <f>J24</f>
      </c>
      <c r="K34" s="18">
        <f>K24</f>
      </c>
      <c r="L34" s="18">
        <f>L24</f>
      </c>
      <c r="M34" s="18">
        <f>M24</f>
      </c>
      <c r="N34" s="18">
        <f>N24</f>
      </c>
      <c r="O34" s="18">
        <f>O24</f>
      </c>
      <c r="P34" s="18">
        <f>P24</f>
      </c>
      <c r="Q34" s="18">
        <f>Q24</f>
      </c>
      <c r="R34" s="18">
        <f>R24</f>
      </c>
      <c r="S34" s="18">
        <f>S24</f>
      </c>
      <c r="T34" s="18">
        <f>T24</f>
      </c>
      <c r="U34" s="18">
        <f>U24</f>
      </c>
      <c r="V34" s="18">
        <f>V24</f>
      </c>
      <c r="W34" s="18">
        <f>W24</f>
      </c>
      <c r="X34" s="18">
        <f>X24</f>
      </c>
      <c r="Y34" s="18">
        <f>Y24</f>
      </c>
      <c r="Z34" s="18">
        <f>Z24</f>
      </c>
      <c r="AA34" s="18">
        <f>AA24</f>
      </c>
      <c r="AB34" s="18">
        <f>AB24</f>
      </c>
      <c r="AC34" s="18">
        <f>AC24</f>
      </c>
      <c r="AD34" s="18">
        <f>AD24</f>
      </c>
      <c r="AE34" s="18">
        <f>AE24</f>
      </c>
      <c r="AF34" s="18">
        <f>AF24</f>
      </c>
      <c r="AG34" s="18">
        <f>AG24</f>
      </c>
      <c r="AH34" s="18">
        <f>AH24</f>
      </c>
      <c r="AI34" s="18">
        <f>AI24</f>
      </c>
      <c r="AJ34" s="18">
        <f>AJ24</f>
      </c>
      <c r="AK34" s="19"/>
    </row>
    <row r="35" ht="12.75" customHeight="1" spans="2:37" x14ac:dyDescent="0.25">
      <c r="B35" s="16" t="s">
        <v>44</v>
      </c>
      <c r="C35" s="17"/>
      <c r="D35" s="17"/>
      <c r="E35" s="18">
        <f>E28</f>
      </c>
      <c r="F35" s="18">
        <f>F28</f>
      </c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9"/>
    </row>
    <row r="36" ht="12.75" customHeight="1" spans="2:37" x14ac:dyDescent="0.25">
      <c r="B36" s="20" t="s">
        <v>45</v>
      </c>
      <c r="C36" s="21"/>
      <c r="D36" s="21"/>
      <c r="E36" s="22">
        <f>E32+E33+E34+E35</f>
      </c>
      <c r="F36" s="22">
        <f>F32+F33+F34+F35</f>
      </c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3"/>
    </row>
    <row r="38" ht="12.75" customHeight="1" spans="2:37" x14ac:dyDescent="0.25">
      <c r="B38" s="11" t="s">
        <v>46</v>
      </c>
      <c r="C38" s="12"/>
      <c r="D38" s="13"/>
      <c r="E38" s="14" t="s">
        <v>7</v>
      </c>
      <c r="F38" s="14" t="s">
        <v>8</v>
      </c>
      <c r="G38" s="14" t="s">
        <v>9</v>
      </c>
      <c r="H38" s="14" t="s">
        <v>10</v>
      </c>
      <c r="I38" s="14" t="s">
        <v>11</v>
      </c>
      <c r="J38" s="14" t="s">
        <v>12</v>
      </c>
      <c r="K38" s="14" t="s">
        <v>13</v>
      </c>
      <c r="L38" s="14" t="s">
        <v>14</v>
      </c>
      <c r="M38" s="14" t="s">
        <v>15</v>
      </c>
      <c r="N38" s="14" t="s">
        <v>16</v>
      </c>
      <c r="O38" s="14" t="s">
        <v>17</v>
      </c>
      <c r="P38" s="14" t="s">
        <v>18</v>
      </c>
      <c r="Q38" s="14" t="s">
        <v>19</v>
      </c>
      <c r="R38" s="14" t="s">
        <v>20</v>
      </c>
      <c r="S38" s="14" t="s">
        <v>21</v>
      </c>
      <c r="T38" s="14" t="s">
        <v>22</v>
      </c>
      <c r="U38" s="14" t="s">
        <v>23</v>
      </c>
      <c r="V38" s="14" t="s">
        <v>24</v>
      </c>
      <c r="W38" s="14" t="s">
        <v>25</v>
      </c>
      <c r="X38" s="14" t="s">
        <v>26</v>
      </c>
      <c r="Y38" s="14" t="s">
        <v>27</v>
      </c>
      <c r="Z38" s="14" t="s">
        <v>28</v>
      </c>
      <c r="AA38" s="14" t="s">
        <v>29</v>
      </c>
      <c r="AB38" s="14" t="s">
        <v>30</v>
      </c>
      <c r="AC38" s="14" t="s">
        <v>31</v>
      </c>
      <c r="AD38" s="14" t="s">
        <v>32</v>
      </c>
      <c r="AE38" s="14" t="s">
        <v>33</v>
      </c>
      <c r="AF38" s="14" t="s">
        <v>34</v>
      </c>
      <c r="AG38" s="14" t="s">
        <v>35</v>
      </c>
      <c r="AH38" s="14" t="s">
        <v>36</v>
      </c>
      <c r="AI38" s="14" t="s">
        <v>37</v>
      </c>
      <c r="AJ38" s="14" t="s">
        <v>38</v>
      </c>
      <c r="AK38" s="15"/>
    </row>
    <row r="39" ht="12.75" customHeight="1" spans="2:37" x14ac:dyDescent="0.25">
      <c r="B39" s="16" t="s">
        <v>41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42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43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44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20" t="s">
        <v>45</v>
      </c>
      <c r="C43" s="21"/>
      <c r="D43" s="21"/>
      <c r="E43" s="22">
        <f>E39+E40+E41+E42</f>
      </c>
      <c r="F43" s="22">
        <f>F39+F40+F41+F42</f>
      </c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3"/>
    </row>
    <row r="45" ht="12.75" customHeight="1" spans="2:37" x14ac:dyDescent="0.25">
      <c r="B45" s="11" t="s">
        <v>47</v>
      </c>
      <c r="C45" s="12"/>
      <c r="D45" s="13"/>
      <c r="E45" s="14" t="s">
        <v>7</v>
      </c>
      <c r="F45" s="14" t="s">
        <v>8</v>
      </c>
      <c r="G45" s="14" t="s">
        <v>9</v>
      </c>
      <c r="H45" s="14" t="s">
        <v>10</v>
      </c>
      <c r="I45" s="14" t="s">
        <v>11</v>
      </c>
      <c r="J45" s="14" t="s">
        <v>12</v>
      </c>
      <c r="K45" s="14" t="s">
        <v>13</v>
      </c>
      <c r="L45" s="14" t="s">
        <v>14</v>
      </c>
      <c r="M45" s="14" t="s">
        <v>15</v>
      </c>
      <c r="N45" s="14" t="s">
        <v>16</v>
      </c>
      <c r="O45" s="14" t="s">
        <v>17</v>
      </c>
      <c r="P45" s="14" t="s">
        <v>18</v>
      </c>
      <c r="Q45" s="14" t="s">
        <v>19</v>
      </c>
      <c r="R45" s="14" t="s">
        <v>20</v>
      </c>
      <c r="S45" s="14" t="s">
        <v>21</v>
      </c>
      <c r="T45" s="14" t="s">
        <v>22</v>
      </c>
      <c r="U45" s="14" t="s">
        <v>23</v>
      </c>
      <c r="V45" s="14" t="s">
        <v>24</v>
      </c>
      <c r="W45" s="14" t="s">
        <v>25</v>
      </c>
      <c r="X45" s="14" t="s">
        <v>26</v>
      </c>
      <c r="Y45" s="14" t="s">
        <v>27</v>
      </c>
      <c r="Z45" s="14" t="s">
        <v>28</v>
      </c>
      <c r="AA45" s="14" t="s">
        <v>29</v>
      </c>
      <c r="AB45" s="14" t="s">
        <v>30</v>
      </c>
      <c r="AC45" s="14" t="s">
        <v>31</v>
      </c>
      <c r="AD45" s="14" t="s">
        <v>32</v>
      </c>
      <c r="AE45" s="14" t="s">
        <v>33</v>
      </c>
      <c r="AF45" s="14" t="s">
        <v>34</v>
      </c>
      <c r="AG45" s="14" t="s">
        <v>35</v>
      </c>
      <c r="AH45" s="14" t="s">
        <v>36</v>
      </c>
      <c r="AI45" s="14" t="s">
        <v>37</v>
      </c>
      <c r="AJ45" s="14" t="s">
        <v>38</v>
      </c>
      <c r="AK45" s="15"/>
    </row>
    <row r="46" ht="12.75" customHeight="1" spans="2:37" x14ac:dyDescent="0.25">
      <c r="B46" s="16" t="s">
        <v>41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42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43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44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20" t="s">
        <v>45</v>
      </c>
      <c r="C50" s="21"/>
      <c r="D50" s="21"/>
      <c r="E50" s="25">
        <f>E46+E47+E48+E49</f>
      </c>
      <c r="F50" s="25">
        <f>F46+F47+F48+F49</f>
      </c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685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692</v>
      </c>
      <c r="K8" s="44" t="s">
        <v>693</v>
      </c>
      <c r="L8" s="44" t="s">
        <v>694</v>
      </c>
      <c r="M8" s="44" t="s">
        <v>695</v>
      </c>
      <c r="N8" s="44" t="s">
        <v>696</v>
      </c>
      <c r="O8" s="44" t="s">
        <v>697</v>
      </c>
      <c r="P8" s="44" t="s">
        <v>698</v>
      </c>
      <c r="Q8" s="44" t="s">
        <v>699</v>
      </c>
      <c r="R8" s="44" t="s">
        <v>700</v>
      </c>
      <c r="S8" s="44" t="s">
        <v>701</v>
      </c>
      <c r="T8" s="44" t="s">
        <v>702</v>
      </c>
      <c r="U8" s="44" t="s">
        <v>703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685</v>
      </c>
      <c r="D14" s="50" t="s">
        <v>42</v>
      </c>
      <c r="E14" s="32" t="s">
        <v>3</v>
      </c>
      <c r="F14" s="32" t="s">
        <v>686</v>
      </c>
      <c r="G14" s="32"/>
      <c r="H14" s="32"/>
      <c r="I14" s="32"/>
      <c r="J14" s="32"/>
      <c r="K14" s="33">
        <v>58.02</v>
      </c>
      <c r="L14" s="33">
        <v>48.4</v>
      </c>
      <c r="M14" s="33">
        <v>79.45</v>
      </c>
      <c r="N14" s="33">
        <v>49.7</v>
      </c>
      <c r="O14" s="33">
        <v>51.6</v>
      </c>
      <c r="P14" s="33">
        <v>81.92</v>
      </c>
      <c r="Q14" s="33">
        <v>49.63</v>
      </c>
      <c r="R14" s="33">
        <v>58.29</v>
      </c>
      <c r="S14" s="33">
        <v>73.31</v>
      </c>
      <c r="T14" s="33">
        <v>54.37</v>
      </c>
      <c r="U14" s="33">
        <v>56.41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685</v>
      </c>
      <c r="D15" s="50" t="s">
        <v>42</v>
      </c>
      <c r="E15" s="32" t="s">
        <v>3</v>
      </c>
      <c r="F15" s="32" t="s">
        <v>687</v>
      </c>
      <c r="G15" s="32"/>
      <c r="H15" s="32"/>
      <c r="I15" s="32"/>
      <c r="J15" s="32"/>
      <c r="K15" s="33">
        <v>20486.49</v>
      </c>
      <c r="L15" s="33">
        <v>18738.54</v>
      </c>
      <c r="M15" s="33">
        <v>19844.57</v>
      </c>
      <c r="N15" s="33">
        <v>19790.75</v>
      </c>
      <c r="O15" s="33">
        <v>24119.87</v>
      </c>
      <c r="P15" s="33">
        <v>27810.45</v>
      </c>
      <c r="Q15" s="33">
        <v>25591.98</v>
      </c>
      <c r="R15" s="33">
        <v>25105.32</v>
      </c>
      <c r="S15" s="33">
        <v>25367.92</v>
      </c>
      <c r="T15" s="33">
        <v>19551.61</v>
      </c>
      <c r="U15" s="33">
        <v>18161.73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685</v>
      </c>
      <c r="D16" s="50" t="s">
        <v>42</v>
      </c>
      <c r="E16" s="32" t="s">
        <v>3</v>
      </c>
      <c r="F16" s="32" t="s">
        <v>688</v>
      </c>
      <c r="G16" s="32"/>
      <c r="H16" s="32"/>
      <c r="I16" s="32"/>
      <c r="J16" s="32"/>
      <c r="K16" s="33">
        <v>1518.73</v>
      </c>
      <c r="L16" s="33">
        <v>1192.2</v>
      </c>
      <c r="M16" s="33">
        <v>1268</v>
      </c>
      <c r="N16" s="33">
        <v>1413.76</v>
      </c>
      <c r="O16" s="33">
        <v>1343.8</v>
      </c>
      <c r="P16" s="33">
        <v>1180.54</v>
      </c>
      <c r="Q16" s="33">
        <v>940.11</v>
      </c>
      <c r="R16" s="33">
        <v>1105.29</v>
      </c>
      <c r="S16" s="33">
        <v>1011.67</v>
      </c>
      <c r="T16" s="33">
        <v>962.86</v>
      </c>
      <c r="U16" s="33">
        <v>935.53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685</v>
      </c>
      <c r="D17" s="50" t="s">
        <v>42</v>
      </c>
      <c r="E17" s="32" t="s">
        <v>3</v>
      </c>
      <c r="F17" s="32" t="s">
        <v>689</v>
      </c>
      <c r="G17" s="32"/>
      <c r="H17" s="32"/>
      <c r="I17" s="32"/>
      <c r="J17" s="32"/>
      <c r="K17" s="33">
        <v>55.98</v>
      </c>
      <c r="L17" s="33">
        <v>48.4</v>
      </c>
      <c r="M17" s="33">
        <v>45.91</v>
      </c>
      <c r="N17" s="33">
        <v>55.38</v>
      </c>
      <c r="O17" s="33">
        <v>74.77</v>
      </c>
      <c r="P17" s="33">
        <v>83.09</v>
      </c>
      <c r="Q17" s="33">
        <v>80.6</v>
      </c>
      <c r="R17" s="33">
        <v>78.67</v>
      </c>
      <c r="S17" s="33">
        <v>81.29</v>
      </c>
      <c r="T17" s="33">
        <v>65.71</v>
      </c>
      <c r="U17" s="33">
        <v>55.32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685</v>
      </c>
      <c r="D18" s="50" t="s">
        <v>42</v>
      </c>
      <c r="E18" s="32" t="s">
        <v>3</v>
      </c>
      <c r="F18" s="32" t="s">
        <v>690</v>
      </c>
      <c r="G18" s="32"/>
      <c r="H18" s="32"/>
      <c r="I18" s="32"/>
      <c r="J18" s="32"/>
      <c r="K18" s="33">
        <v>168.01</v>
      </c>
      <c r="L18" s="33">
        <v>163.53</v>
      </c>
      <c r="M18" s="33">
        <v>163.53</v>
      </c>
      <c r="N18" s="33">
        <v>161.27</v>
      </c>
      <c r="O18" s="33">
        <v>161.27</v>
      </c>
      <c r="P18" s="33">
        <v>165.76</v>
      </c>
      <c r="Q18" s="33">
        <v>153.93</v>
      </c>
      <c r="R18" s="33">
        <v>155.98</v>
      </c>
      <c r="S18" s="33">
        <v>162.21</v>
      </c>
      <c r="T18" s="33">
        <v>169.99</v>
      </c>
      <c r="U18" s="33">
        <v>174.22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51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0"/>
    </row>
    <row r="20" ht="13.5" customHeight="1" spans="2:39" x14ac:dyDescent="0.25">
      <c r="B20" s="20"/>
      <c r="C20" s="21"/>
      <c r="D20" s="21" t="s">
        <v>85</v>
      </c>
      <c r="E20" s="21"/>
      <c r="F20" s="21"/>
      <c r="G20" s="22">
        <f>SUM(G14:G18)</f>
      </c>
      <c r="H20" s="22">
        <f>SUM(H14:H18)</f>
      </c>
      <c r="I20" s="22">
        <f>SUM(I14:I18)</f>
      </c>
      <c r="J20" s="22">
        <f>SUM(J14:J18)</f>
      </c>
      <c r="K20" s="22">
        <f>SUM(K14:K18)</f>
      </c>
      <c r="L20" s="22">
        <f>SUM(L14:L18)</f>
      </c>
      <c r="M20" s="22">
        <f>SUM(M14:M18)</f>
      </c>
      <c r="N20" s="22">
        <f>SUM(N14:N18)</f>
      </c>
      <c r="O20" s="22">
        <f>SUM(O14:O18)</f>
      </c>
      <c r="P20" s="22">
        <f>SUM(P14:P18)</f>
      </c>
      <c r="Q20" s="22">
        <f>SUM(Q14:Q18)</f>
      </c>
      <c r="R20" s="22">
        <f>SUM(R14:R18)</f>
      </c>
      <c r="S20" s="22">
        <f>SUM(S14:S18)</f>
      </c>
      <c r="T20" s="22">
        <f>SUM(T14:T18)</f>
      </c>
      <c r="U20" s="22">
        <f>SUM(U14:U18)</f>
      </c>
      <c r="V20" s="22">
        <f>SUM(V14:V18)</f>
      </c>
      <c r="W20" s="22">
        <f>SUM(W14:W18)</f>
      </c>
      <c r="X20" s="22">
        <f>SUM(X14:X18)</f>
      </c>
      <c r="Y20" s="22">
        <f>SUM(Y14:Y18)</f>
      </c>
      <c r="Z20" s="22">
        <f>SUM(Z14:Z18)</f>
      </c>
      <c r="AA20" s="22">
        <f>SUM(AA14:AA18)</f>
      </c>
      <c r="AB20" s="22">
        <f>SUM(AB14:AB18)</f>
      </c>
      <c r="AC20" s="22">
        <f>SUM(AC14:AC18)</f>
      </c>
      <c r="AD20" s="22">
        <f>SUM(AD14:AD18)</f>
      </c>
      <c r="AE20" s="22">
        <f>SUM(AE14:AE18)</f>
      </c>
      <c r="AF20" s="22">
        <f>SUM(AF14:AF18)</f>
      </c>
      <c r="AG20" s="22">
        <f>SUM(AG14:AG18)</f>
      </c>
      <c r="AH20" s="22">
        <f>SUM(AH14:AH18)</f>
      </c>
      <c r="AI20" s="22">
        <f>SUM(AI14:AI18)</f>
      </c>
      <c r="AJ20" s="22">
        <f>SUM(AJ14:AJ18)</f>
      </c>
      <c r="AK20" s="22">
        <f>SUM(AK14:AK18)</f>
      </c>
      <c r="AL20" s="22">
        <f>SUM(AL14:AL18)</f>
      </c>
      <c r="AM20" s="23"/>
    </row>
    <row r="22" ht="13.5" customHeight="1" spans="2:39" x14ac:dyDescent="0.25">
      <c r="B22" s="46"/>
      <c r="C22" s="28"/>
      <c r="D22" s="47" t="s">
        <v>43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9"/>
    </row>
    <row r="23" ht="13.5" customHeight="1" spans="2:39" x14ac:dyDescent="0.25">
      <c r="B23" s="48" t="s">
        <v>3</v>
      </c>
      <c r="C23" s="49" t="s">
        <v>685</v>
      </c>
      <c r="D23" s="50" t="s">
        <v>43</v>
      </c>
      <c r="E23" s="32" t="s">
        <v>3</v>
      </c>
      <c r="F23" s="32" t="s">
        <v>691</v>
      </c>
      <c r="G23" s="32"/>
      <c r="H23" s="32"/>
      <c r="I23" s="32"/>
      <c r="J23" s="33">
        <v>35.01</v>
      </c>
      <c r="K23" s="33">
        <v>35.01</v>
      </c>
      <c r="L23" s="33">
        <v>35.01</v>
      </c>
      <c r="M23" s="32"/>
      <c r="N23" s="33">
        <v>35.01</v>
      </c>
      <c r="O23" s="33">
        <v>35.01</v>
      </c>
      <c r="P23" s="33">
        <v>35.01</v>
      </c>
      <c r="Q23" s="33">
        <v>35.01</v>
      </c>
      <c r="R23" s="33">
        <v>35.01</v>
      </c>
      <c r="S23" s="33">
        <v>35.01</v>
      </c>
      <c r="T23" s="33">
        <v>35.01</v>
      </c>
      <c r="U23" s="33">
        <v>36.76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89</v>
      </c>
      <c r="E25" s="21"/>
      <c r="F25" s="21"/>
      <c r="G25" s="22">
        <f>SUM(G23:G23)</f>
      </c>
      <c r="H25" s="22">
        <f>SUM(H23:H23)</f>
      </c>
      <c r="I25" s="22">
        <f>SUM(I23:I23)</f>
      </c>
      <c r="J25" s="22">
        <f>SUM(J23:J23)</f>
      </c>
      <c r="K25" s="22">
        <f>SUM(K23:K23)</f>
      </c>
      <c r="L25" s="22">
        <f>SUM(L23:L23)</f>
      </c>
      <c r="M25" s="22">
        <f>SUM(M23:M23)</f>
      </c>
      <c r="N25" s="22">
        <f>SUM(N23:N23)</f>
      </c>
      <c r="O25" s="22">
        <f>SUM(O23:O23)</f>
      </c>
      <c r="P25" s="22">
        <f>SUM(P23:P23)</f>
      </c>
      <c r="Q25" s="22">
        <f>SUM(Q23:Q23)</f>
      </c>
      <c r="R25" s="22">
        <f>SUM(R23:R23)</f>
      </c>
      <c r="S25" s="22">
        <f>SUM(S23:S23)</f>
      </c>
      <c r="T25" s="22">
        <f>SUM(T23:T23)</f>
      </c>
      <c r="U25" s="22">
        <f>SUM(U23:U23)</f>
      </c>
      <c r="V25" s="22">
        <f>SUM(V23:V23)</f>
      </c>
      <c r="W25" s="22">
        <f>SUM(W23:W23)</f>
      </c>
      <c r="X25" s="22">
        <f>SUM(X23:X23)</f>
      </c>
      <c r="Y25" s="22">
        <f>SUM(Y23:Y23)</f>
      </c>
      <c r="Z25" s="22">
        <f>SUM(Z23:Z23)</f>
      </c>
      <c r="AA25" s="22">
        <f>SUM(AA23:AA23)</f>
      </c>
      <c r="AB25" s="22">
        <f>SUM(AB23:AB23)</f>
      </c>
      <c r="AC25" s="22">
        <f>SUM(AC23:AC23)</f>
      </c>
      <c r="AD25" s="22">
        <f>SUM(AD23:AD23)</f>
      </c>
      <c r="AE25" s="22">
        <f>SUM(AE23:AE23)</f>
      </c>
      <c r="AF25" s="22">
        <f>SUM(AF23:AF23)</f>
      </c>
      <c r="AG25" s="22">
        <f>SUM(AG23:AG23)</f>
      </c>
      <c r="AH25" s="22">
        <f>SUM(AH23:AH23)</f>
      </c>
      <c r="AI25" s="22">
        <f>SUM(AI23:AI23)</f>
      </c>
      <c r="AJ25" s="22">
        <f>SUM(AJ23:AJ23)</f>
      </c>
      <c r="AK25" s="22">
        <f>SUM(AK23:AK23)</f>
      </c>
      <c r="AL25" s="22">
        <f>SUM(AL23:AL23)</f>
      </c>
      <c r="AM25" s="23"/>
    </row>
    <row r="27" ht="13.5" customHeight="1" spans="2:39" x14ac:dyDescent="0.25">
      <c r="B27" s="46"/>
      <c r="C27" s="28"/>
      <c r="D27" s="47" t="s">
        <v>44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51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40"/>
    </row>
    <row r="29" ht="13.5" customHeight="1" spans="2:39" x14ac:dyDescent="0.25">
      <c r="B29" s="20"/>
      <c r="C29" s="21"/>
      <c r="D29" s="21" t="s">
        <v>90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3"/>
    </row>
    <row r="32" ht="12.75" customHeight="1" spans="2:39" x14ac:dyDescent="0.25">
      <c r="B32" s="11" t="s">
        <v>40</v>
      </c>
      <c r="C32" s="12"/>
      <c r="D32" s="12"/>
      <c r="E32" s="12"/>
      <c r="F32" s="12"/>
      <c r="G32" s="52" t="s">
        <v>7</v>
      </c>
      <c r="H32" s="52" t="s">
        <v>8</v>
      </c>
      <c r="I32" s="52" t="s">
        <v>9</v>
      </c>
      <c r="J32" s="52" t="s">
        <v>10</v>
      </c>
      <c r="K32" s="52" t="s">
        <v>11</v>
      </c>
      <c r="L32" s="52" t="s">
        <v>12</v>
      </c>
      <c r="M32" s="52" t="s">
        <v>13</v>
      </c>
      <c r="N32" s="52" t="s">
        <v>14</v>
      </c>
      <c r="O32" s="52" t="s">
        <v>15</v>
      </c>
      <c r="P32" s="52" t="s">
        <v>16</v>
      </c>
      <c r="Q32" s="52" t="s">
        <v>17</v>
      </c>
      <c r="R32" s="52" t="s">
        <v>18</v>
      </c>
      <c r="S32" s="52" t="s">
        <v>19</v>
      </c>
      <c r="T32" s="52" t="s">
        <v>20</v>
      </c>
      <c r="U32" s="52" t="s">
        <v>21</v>
      </c>
      <c r="V32" s="52" t="s">
        <v>22</v>
      </c>
      <c r="W32" s="52" t="s">
        <v>23</v>
      </c>
      <c r="X32" s="52" t="s">
        <v>24</v>
      </c>
      <c r="Y32" s="52" t="s">
        <v>25</v>
      </c>
      <c r="Z32" s="52" t="s">
        <v>26</v>
      </c>
      <c r="AA32" s="52" t="s">
        <v>27</v>
      </c>
      <c r="AB32" s="52" t="s">
        <v>28</v>
      </c>
      <c r="AC32" s="52" t="s">
        <v>29</v>
      </c>
      <c r="AD32" s="52" t="s">
        <v>30</v>
      </c>
      <c r="AE32" s="52" t="s">
        <v>31</v>
      </c>
      <c r="AF32" s="52" t="s">
        <v>32</v>
      </c>
      <c r="AG32" s="52" t="s">
        <v>33</v>
      </c>
      <c r="AH32" s="52" t="s">
        <v>34</v>
      </c>
      <c r="AI32" s="52" t="s">
        <v>35</v>
      </c>
      <c r="AJ32" s="52" t="s">
        <v>36</v>
      </c>
      <c r="AK32" s="52" t="s">
        <v>37</v>
      </c>
      <c r="AL32" s="52" t="s">
        <v>38</v>
      </c>
      <c r="AM32" s="15"/>
    </row>
    <row r="33" ht="12.75" customHeight="1" spans="2:39" x14ac:dyDescent="0.25">
      <c r="B33" s="16"/>
      <c r="C33" s="17"/>
      <c r="D33" s="17" t="s">
        <v>41</v>
      </c>
      <c r="E33" s="17"/>
      <c r="F33" s="17"/>
      <c r="G33" s="18">
        <f>G11</f>
      </c>
      <c r="H33" s="18">
        <f>H11</f>
      </c>
      <c r="I33" s="18">
        <f>I11</f>
      </c>
      <c r="J33" s="18">
        <f>J11</f>
      </c>
      <c r="K33" s="18">
        <f>K11</f>
      </c>
      <c r="L33" s="18">
        <f>L11</f>
      </c>
      <c r="M33" s="18">
        <f>M11</f>
      </c>
      <c r="N33" s="18">
        <f>N11</f>
      </c>
      <c r="O33" s="18">
        <f>O11</f>
      </c>
      <c r="P33" s="18">
        <f>P11</f>
      </c>
      <c r="Q33" s="18">
        <f>Q11</f>
      </c>
      <c r="R33" s="18">
        <f>R11</f>
      </c>
      <c r="S33" s="18">
        <f>S11</f>
      </c>
      <c r="T33" s="18">
        <f>T11</f>
      </c>
      <c r="U33" s="18">
        <f>U11</f>
      </c>
      <c r="V33" s="18">
        <f>V11</f>
      </c>
      <c r="W33" s="18">
        <f>W11</f>
      </c>
      <c r="X33" s="18">
        <f>X11</f>
      </c>
      <c r="Y33" s="18">
        <f>Y11</f>
      </c>
      <c r="Z33" s="18">
        <f>Z11</f>
      </c>
      <c r="AA33" s="18">
        <f>AA11</f>
      </c>
      <c r="AB33" s="18">
        <f>AB11</f>
      </c>
      <c r="AC33" s="18">
        <f>AC11</f>
      </c>
      <c r="AD33" s="18">
        <f>AD11</f>
      </c>
      <c r="AE33" s="18">
        <f>AE11</f>
      </c>
      <c r="AF33" s="18">
        <f>AF11</f>
      </c>
      <c r="AG33" s="18">
        <f>AG11</f>
      </c>
      <c r="AH33" s="18">
        <f>AH11</f>
      </c>
      <c r="AI33" s="18">
        <f>AI11</f>
      </c>
      <c r="AJ33" s="18">
        <f>AJ11</f>
      </c>
      <c r="AK33" s="18">
        <f>AK11</f>
      </c>
      <c r="AL33" s="18">
        <f>AL11</f>
      </c>
      <c r="AM33" s="19"/>
    </row>
    <row r="34" ht="12.75" customHeight="1" spans="2:39" x14ac:dyDescent="0.25">
      <c r="B34" s="16"/>
      <c r="C34" s="17"/>
      <c r="D34" s="17" t="s">
        <v>42</v>
      </c>
      <c r="E34" s="17"/>
      <c r="F34" s="17"/>
      <c r="G34" s="18">
        <f>G20</f>
      </c>
      <c r="H34" s="18">
        <f>H20</f>
      </c>
      <c r="I34" s="18">
        <f>I20</f>
      </c>
      <c r="J34" s="18">
        <f>J20</f>
      </c>
      <c r="K34" s="18">
        <f>K20</f>
      </c>
      <c r="L34" s="18">
        <f>L20</f>
      </c>
      <c r="M34" s="18">
        <f>M20</f>
      </c>
      <c r="N34" s="18">
        <f>N20</f>
      </c>
      <c r="O34" s="18">
        <f>O20</f>
      </c>
      <c r="P34" s="18">
        <f>P20</f>
      </c>
      <c r="Q34" s="18">
        <f>Q20</f>
      </c>
      <c r="R34" s="18">
        <f>R20</f>
      </c>
      <c r="S34" s="18">
        <f>S20</f>
      </c>
      <c r="T34" s="18">
        <f>T20</f>
      </c>
      <c r="U34" s="18">
        <f>U20</f>
      </c>
      <c r="V34" s="18">
        <f>V20</f>
      </c>
      <c r="W34" s="18">
        <f>W20</f>
      </c>
      <c r="X34" s="18">
        <f>X20</f>
      </c>
      <c r="Y34" s="18">
        <f>Y20</f>
      </c>
      <c r="Z34" s="18">
        <f>Z20</f>
      </c>
      <c r="AA34" s="18">
        <f>AA20</f>
      </c>
      <c r="AB34" s="18">
        <f>AB20</f>
      </c>
      <c r="AC34" s="18">
        <f>AC20</f>
      </c>
      <c r="AD34" s="18">
        <f>AD20</f>
      </c>
      <c r="AE34" s="18">
        <f>AE20</f>
      </c>
      <c r="AF34" s="18">
        <f>AF20</f>
      </c>
      <c r="AG34" s="18">
        <f>AG20</f>
      </c>
      <c r="AH34" s="18">
        <f>AH20</f>
      </c>
      <c r="AI34" s="18">
        <f>AI20</f>
      </c>
      <c r="AJ34" s="18">
        <f>AJ20</f>
      </c>
      <c r="AK34" s="18">
        <f>AK20</f>
      </c>
      <c r="AL34" s="18">
        <f>AL20</f>
      </c>
      <c r="AM34" s="19"/>
    </row>
    <row r="35" ht="12.75" customHeight="1" spans="2:39" x14ac:dyDescent="0.25">
      <c r="B35" s="16"/>
      <c r="C35" s="17"/>
      <c r="D35" s="17" t="s">
        <v>43</v>
      </c>
      <c r="E35" s="17"/>
      <c r="F35" s="17"/>
      <c r="G35" s="18">
        <f>G25</f>
      </c>
      <c r="H35" s="18">
        <f>H25</f>
      </c>
      <c r="I35" s="18">
        <f>I25</f>
      </c>
      <c r="J35" s="18">
        <f>J25</f>
      </c>
      <c r="K35" s="18">
        <f>K25</f>
      </c>
      <c r="L35" s="18">
        <f>L25</f>
      </c>
      <c r="M35" s="18">
        <f>M25</f>
      </c>
      <c r="N35" s="18">
        <f>N25</f>
      </c>
      <c r="O35" s="18">
        <f>O25</f>
      </c>
      <c r="P35" s="18">
        <f>P25</f>
      </c>
      <c r="Q35" s="18">
        <f>Q25</f>
      </c>
      <c r="R35" s="18">
        <f>R25</f>
      </c>
      <c r="S35" s="18">
        <f>S25</f>
      </c>
      <c r="T35" s="18">
        <f>T25</f>
      </c>
      <c r="U35" s="18">
        <f>U25</f>
      </c>
      <c r="V35" s="18">
        <f>V25</f>
      </c>
      <c r="W35" s="18">
        <f>W25</f>
      </c>
      <c r="X35" s="18">
        <f>X25</f>
      </c>
      <c r="Y35" s="18">
        <f>Y25</f>
      </c>
      <c r="Z35" s="18">
        <f>Z25</f>
      </c>
      <c r="AA35" s="18">
        <f>AA25</f>
      </c>
      <c r="AB35" s="18">
        <f>AB25</f>
      </c>
      <c r="AC35" s="18">
        <f>AC25</f>
      </c>
      <c r="AD35" s="18">
        <f>AD25</f>
      </c>
      <c r="AE35" s="18">
        <f>AE25</f>
      </c>
      <c r="AF35" s="18">
        <f>AF25</f>
      </c>
      <c r="AG35" s="18">
        <f>AG25</f>
      </c>
      <c r="AH35" s="18">
        <f>AH25</f>
      </c>
      <c r="AI35" s="18">
        <f>AI25</f>
      </c>
      <c r="AJ35" s="18">
        <f>AJ25</f>
      </c>
      <c r="AK35" s="18">
        <f>AK25</f>
      </c>
      <c r="AL35" s="18">
        <f>AL25</f>
      </c>
      <c r="AM35" s="19"/>
    </row>
    <row r="36" ht="12.75" customHeight="1" spans="2:39" x14ac:dyDescent="0.25">
      <c r="B36" s="16"/>
      <c r="C36" s="17"/>
      <c r="D36" s="17" t="s">
        <v>44</v>
      </c>
      <c r="E36" s="17"/>
      <c r="F36" s="17"/>
      <c r="G36" s="18">
        <f>G29</f>
      </c>
      <c r="H36" s="18">
        <f>H29</f>
      </c>
      <c r="I36" s="18">
        <f>I29</f>
      </c>
      <c r="J36" s="18">
        <f>J29</f>
      </c>
      <c r="K36" s="18">
        <f>K29</f>
      </c>
      <c r="L36" s="18">
        <f>L29</f>
      </c>
      <c r="M36" s="18">
        <f>M29</f>
      </c>
      <c r="N36" s="18">
        <f>N29</f>
      </c>
      <c r="O36" s="18">
        <f>O29</f>
      </c>
      <c r="P36" s="18">
        <f>P29</f>
      </c>
      <c r="Q36" s="18">
        <f>Q29</f>
      </c>
      <c r="R36" s="18">
        <f>R29</f>
      </c>
      <c r="S36" s="18">
        <f>S29</f>
      </c>
      <c r="T36" s="18">
        <f>T29</f>
      </c>
      <c r="U36" s="18">
        <f>U29</f>
      </c>
      <c r="V36" s="18">
        <f>V29</f>
      </c>
      <c r="W36" s="18">
        <f>W29</f>
      </c>
      <c r="X36" s="18">
        <f>X29</f>
      </c>
      <c r="Y36" s="18">
        <f>Y29</f>
      </c>
      <c r="Z36" s="18">
        <f>Z29</f>
      </c>
      <c r="AA36" s="18">
        <f>AA29</f>
      </c>
      <c r="AB36" s="18">
        <f>AB29</f>
      </c>
      <c r="AC36" s="18">
        <f>AC29</f>
      </c>
      <c r="AD36" s="18">
        <f>AD29</f>
      </c>
      <c r="AE36" s="18">
        <f>AE29</f>
      </c>
      <c r="AF36" s="18">
        <f>AF29</f>
      </c>
      <c r="AG36" s="18">
        <f>AG29</f>
      </c>
      <c r="AH36" s="18">
        <f>AH29</f>
      </c>
      <c r="AI36" s="18">
        <f>AI29</f>
      </c>
      <c r="AJ36" s="18">
        <f>AJ29</f>
      </c>
      <c r="AK36" s="18">
        <f>AK29</f>
      </c>
      <c r="AL36" s="18">
        <f>AL29</f>
      </c>
      <c r="AM36" s="19"/>
    </row>
    <row r="37" ht="12.75" customHeight="1" spans="2:39" x14ac:dyDescent="0.25">
      <c r="B37" s="20"/>
      <c r="C37" s="21"/>
      <c r="D37" s="21" t="s">
        <v>45</v>
      </c>
      <c r="E37" s="21"/>
      <c r="F37" s="21"/>
      <c r="G37" s="22">
        <f>G33+G34+G35+G36</f>
      </c>
      <c r="H37" s="22">
        <f>H33+H34+H35+H36</f>
      </c>
      <c r="I37" s="22">
        <f>I33+I34+I35+I36</f>
      </c>
      <c r="J37" s="22">
        <f>J33+J34+J35+J36</f>
      </c>
      <c r="K37" s="22">
        <f>K33+K34+K35+K36</f>
      </c>
      <c r="L37" s="22">
        <f>L33+L34+L35+L36</f>
      </c>
      <c r="M37" s="22">
        <f>M33+M34+M35+M36</f>
      </c>
      <c r="N37" s="22">
        <f>N33+N34+N35+N36</f>
      </c>
      <c r="O37" s="22">
        <f>O33+O34+O35+O36</f>
      </c>
      <c r="P37" s="22">
        <f>P33+P34+P35+P36</f>
      </c>
      <c r="Q37" s="22">
        <f>Q33+Q34+Q35+Q36</f>
      </c>
      <c r="R37" s="22">
        <f>R33+R34+R35+R36</f>
      </c>
      <c r="S37" s="22">
        <f>S33+S34+S35+S36</f>
      </c>
      <c r="T37" s="22">
        <f>T33+T34+T35+T36</f>
      </c>
      <c r="U37" s="22">
        <f>U33+U34+U35+U36</f>
      </c>
      <c r="V37" s="22">
        <f>V33+V34+V35+V36</f>
      </c>
      <c r="W37" s="22">
        <f>W33+W34+W35+W36</f>
      </c>
      <c r="X37" s="22">
        <f>X33+X34+X35+X36</f>
      </c>
      <c r="Y37" s="22">
        <f>Y33+Y34+Y35+Y36</f>
      </c>
      <c r="Z37" s="22">
        <f>Z33+Z34+Z35+Z36</f>
      </c>
      <c r="AA37" s="22">
        <f>AA33+AA34+AA35+AA36</f>
      </c>
      <c r="AB37" s="22">
        <f>AB33+AB34+AB35+AB36</f>
      </c>
      <c r="AC37" s="22">
        <f>AC33+AC34+AC35+AC36</f>
      </c>
      <c r="AD37" s="22">
        <f>AD33+AD34+AD35+AD36</f>
      </c>
      <c r="AE37" s="22">
        <f>AE33+AE34+AE35+AE36</f>
      </c>
      <c r="AF37" s="22">
        <f>AF33+AF34+AF35+AF36</f>
      </c>
      <c r="AG37" s="22">
        <f>AG33+AG34+AG35+AG36</f>
      </c>
      <c r="AH37" s="22">
        <f>AH33+AH34+AH35+AH36</f>
      </c>
      <c r="AI37" s="22">
        <f>AI33+AI34+AI35+AI36</f>
      </c>
      <c r="AJ37" s="22">
        <f>AJ33+AJ34+AJ35+AJ36</f>
      </c>
      <c r="AK37" s="22">
        <f>AK33+AK34+AK35+AK36</f>
      </c>
      <c r="AL37" s="22">
        <f>AL33+AL34+AL35+AL36</f>
      </c>
      <c r="AM37" s="23"/>
    </row>
    <row r="39" ht="12.75" customHeight="1" spans="2:39" x14ac:dyDescent="0.25">
      <c r="B39" s="11" t="s">
        <v>46</v>
      </c>
      <c r="C39" s="12"/>
      <c r="D39" s="12"/>
      <c r="E39" s="12"/>
      <c r="F39" s="12"/>
      <c r="G39" s="52" t="s">
        <v>7</v>
      </c>
      <c r="H39" s="52" t="s">
        <v>8</v>
      </c>
      <c r="I39" s="52" t="s">
        <v>9</v>
      </c>
      <c r="J39" s="52" t="s">
        <v>10</v>
      </c>
      <c r="K39" s="52" t="s">
        <v>11</v>
      </c>
      <c r="L39" s="52" t="s">
        <v>12</v>
      </c>
      <c r="M39" s="52" t="s">
        <v>13</v>
      </c>
      <c r="N39" s="52" t="s">
        <v>14</v>
      </c>
      <c r="O39" s="52" t="s">
        <v>15</v>
      </c>
      <c r="P39" s="52" t="s">
        <v>16</v>
      </c>
      <c r="Q39" s="52" t="s">
        <v>17</v>
      </c>
      <c r="R39" s="52" t="s">
        <v>18</v>
      </c>
      <c r="S39" s="52" t="s">
        <v>19</v>
      </c>
      <c r="T39" s="52" t="s">
        <v>20</v>
      </c>
      <c r="U39" s="52" t="s">
        <v>21</v>
      </c>
      <c r="V39" s="52" t="s">
        <v>22</v>
      </c>
      <c r="W39" s="52" t="s">
        <v>23</v>
      </c>
      <c r="X39" s="52" t="s">
        <v>24</v>
      </c>
      <c r="Y39" s="52" t="s">
        <v>25</v>
      </c>
      <c r="Z39" s="52" t="s">
        <v>26</v>
      </c>
      <c r="AA39" s="52" t="s">
        <v>27</v>
      </c>
      <c r="AB39" s="52" t="s">
        <v>28</v>
      </c>
      <c r="AC39" s="52" t="s">
        <v>29</v>
      </c>
      <c r="AD39" s="52" t="s">
        <v>30</v>
      </c>
      <c r="AE39" s="52" t="s">
        <v>31</v>
      </c>
      <c r="AF39" s="52" t="s">
        <v>32</v>
      </c>
      <c r="AG39" s="52" t="s">
        <v>33</v>
      </c>
      <c r="AH39" s="52" t="s">
        <v>34</v>
      </c>
      <c r="AI39" s="52" t="s">
        <v>35</v>
      </c>
      <c r="AJ39" s="52" t="s">
        <v>36</v>
      </c>
      <c r="AK39" s="52" t="s">
        <v>37</v>
      </c>
      <c r="AL39" s="52" t="s">
        <v>38</v>
      </c>
      <c r="AM39" s="15"/>
    </row>
    <row r="40" ht="12.75" customHeight="1" spans="2:39" x14ac:dyDescent="0.25">
      <c r="B40" s="16"/>
      <c r="C40" s="17"/>
      <c r="D40" s="17" t="s">
        <v>41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42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43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44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20"/>
      <c r="C44" s="21"/>
      <c r="D44" s="21" t="s">
        <v>45</v>
      </c>
      <c r="E44" s="21"/>
      <c r="F44" s="21"/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2">
        <f>AK40+AK41+AK42+AK43</f>
      </c>
      <c r="AL44" s="22">
        <f>AL40+AL41+AL42+AL43</f>
      </c>
      <c r="AM44" s="23"/>
    </row>
    <row r="46" ht="12.75" customHeight="1" spans="2:39" x14ac:dyDescent="0.25">
      <c r="B46" s="11" t="s">
        <v>47</v>
      </c>
      <c r="C46" s="12"/>
      <c r="D46" s="12"/>
      <c r="E46" s="12"/>
      <c r="F46" s="12"/>
      <c r="G46" s="52" t="s">
        <v>7</v>
      </c>
      <c r="H46" s="52" t="s">
        <v>8</v>
      </c>
      <c r="I46" s="52" t="s">
        <v>9</v>
      </c>
      <c r="J46" s="52" t="s">
        <v>10</v>
      </c>
      <c r="K46" s="52" t="s">
        <v>11</v>
      </c>
      <c r="L46" s="52" t="s">
        <v>12</v>
      </c>
      <c r="M46" s="52" t="s">
        <v>13</v>
      </c>
      <c r="N46" s="52" t="s">
        <v>14</v>
      </c>
      <c r="O46" s="52" t="s">
        <v>15</v>
      </c>
      <c r="P46" s="52" t="s">
        <v>16</v>
      </c>
      <c r="Q46" s="52" t="s">
        <v>17</v>
      </c>
      <c r="R46" s="52" t="s">
        <v>18</v>
      </c>
      <c r="S46" s="52" t="s">
        <v>19</v>
      </c>
      <c r="T46" s="52" t="s">
        <v>20</v>
      </c>
      <c r="U46" s="52" t="s">
        <v>21</v>
      </c>
      <c r="V46" s="52" t="s">
        <v>22</v>
      </c>
      <c r="W46" s="52" t="s">
        <v>23</v>
      </c>
      <c r="X46" s="52" t="s">
        <v>24</v>
      </c>
      <c r="Y46" s="52" t="s">
        <v>25</v>
      </c>
      <c r="Z46" s="52" t="s">
        <v>26</v>
      </c>
      <c r="AA46" s="52" t="s">
        <v>27</v>
      </c>
      <c r="AB46" s="52" t="s">
        <v>28</v>
      </c>
      <c r="AC46" s="52" t="s">
        <v>29</v>
      </c>
      <c r="AD46" s="52" t="s">
        <v>30</v>
      </c>
      <c r="AE46" s="52" t="s">
        <v>31</v>
      </c>
      <c r="AF46" s="52" t="s">
        <v>32</v>
      </c>
      <c r="AG46" s="52" t="s">
        <v>33</v>
      </c>
      <c r="AH46" s="52" t="s">
        <v>34</v>
      </c>
      <c r="AI46" s="52" t="s">
        <v>35</v>
      </c>
      <c r="AJ46" s="52" t="s">
        <v>36</v>
      </c>
      <c r="AK46" s="52" t="s">
        <v>37</v>
      </c>
      <c r="AL46" s="52" t="s">
        <v>38</v>
      </c>
      <c r="AM46" s="15"/>
    </row>
    <row r="47" ht="12.75" customHeight="1" spans="2:39" x14ac:dyDescent="0.25">
      <c r="B47" s="16"/>
      <c r="C47" s="17"/>
      <c r="D47" s="17" t="s">
        <v>41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42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43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44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20"/>
      <c r="C51" s="21"/>
      <c r="D51" s="21" t="s">
        <v>45</v>
      </c>
      <c r="E51" s="21"/>
      <c r="F51" s="21"/>
      <c r="G51" s="25">
        <f>G47+G48+G49+G50</f>
      </c>
      <c r="H51" s="25">
        <f>H47+H48+H49+H50</f>
      </c>
      <c r="I51" s="25">
        <f>I47+I48+I49+I50</f>
      </c>
      <c r="J51" s="25">
        <f>J47+J48+J49+J50</f>
      </c>
      <c r="K51" s="25">
        <f>K47+K48+K49+K50</f>
      </c>
      <c r="L51" s="25">
        <f>L47+L48+L49+L50</f>
      </c>
      <c r="M51" s="25">
        <f>M47+M48+M49+M50</f>
      </c>
      <c r="N51" s="25">
        <f>N47+N48+N49+N50</f>
      </c>
      <c r="O51" s="25">
        <f>O47+O48+O49+O50</f>
      </c>
      <c r="P51" s="25">
        <f>P47+P48+P49+P50</f>
      </c>
      <c r="Q51" s="25">
        <f>Q47+Q48+Q49+Q50</f>
      </c>
      <c r="R51" s="25">
        <f>R47+R48+R49+R50</f>
      </c>
      <c r="S51" s="25">
        <f>S47+S48+S49+S50</f>
      </c>
      <c r="T51" s="25">
        <f>T47+T48+T49+T50</f>
      </c>
      <c r="U51" s="25">
        <f>U47+U48+U49+U50</f>
      </c>
      <c r="V51" s="25">
        <f>V47+V48+V49+V50</f>
      </c>
      <c r="W51" s="25">
        <f>W47+W48+W49+W50</f>
      </c>
      <c r="X51" s="25">
        <f>X47+X48+X49+X50</f>
      </c>
      <c r="Y51" s="25">
        <f>Y47+Y48+Y49+Y50</f>
      </c>
      <c r="Z51" s="25">
        <f>Z47+Z48+Z49+Z50</f>
      </c>
      <c r="AA51" s="25">
        <f>AA47+AA48+AA49+AA50</f>
      </c>
      <c r="AB51" s="25">
        <f>AB47+AB48+AB49+AB50</f>
      </c>
      <c r="AC51" s="25">
        <f>AC47+AC48+AC49+AC50</f>
      </c>
      <c r="AD51" s="25">
        <f>AD47+AD48+AD49+AD50</f>
      </c>
      <c r="AE51" s="25">
        <f>AE47+AE48+AE49+AE50</f>
      </c>
      <c r="AF51" s="25">
        <f>AF47+AF48+AF49+AF50</f>
      </c>
      <c r="AG51" s="25">
        <f>AG47+AG48+AG49+AG50</f>
      </c>
      <c r="AH51" s="25">
        <f>AH47+AH48+AH49+AH50</f>
      </c>
      <c r="AI51" s="25">
        <f>AI47+AI48+AI49+AI50</f>
      </c>
      <c r="AJ51" s="25">
        <f>AJ47+AJ48+AJ49+AJ50</f>
      </c>
      <c r="AK51" s="25">
        <f>AK47+AK48+AK49+AK50</f>
      </c>
      <c r="AL51" s="25">
        <f>AL47+AL48+AL49+AL50</f>
      </c>
      <c r="AM51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704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705</v>
      </c>
      <c r="E9" s="32"/>
      <c r="F9" s="32"/>
      <c r="G9" s="32"/>
      <c r="H9" s="32"/>
      <c r="I9" s="33">
        <v>3724.39</v>
      </c>
      <c r="J9" s="33">
        <v>2822.29</v>
      </c>
      <c r="K9" s="33">
        <v>2165.97</v>
      </c>
      <c r="L9" s="33">
        <v>1675.81</v>
      </c>
      <c r="M9" s="33">
        <v>793.95</v>
      </c>
      <c r="N9" s="33">
        <v>490.65</v>
      </c>
      <c r="O9" s="33">
        <v>425.32</v>
      </c>
      <c r="P9" s="33">
        <v>413.19</v>
      </c>
      <c r="Q9" s="33">
        <v>415.11</v>
      </c>
      <c r="R9" s="36">
        <f>418.58+1305.70</f>
        <v>1724.28</v>
      </c>
      <c r="S9" s="32"/>
      <c r="T9" s="33">
        <v>2213.8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706</v>
      </c>
      <c r="E14" s="32"/>
      <c r="F14" s="32"/>
      <c r="G14" s="32"/>
      <c r="H14" s="33">
        <v>1662.28</v>
      </c>
      <c r="I14" s="33">
        <v>1581.47</v>
      </c>
      <c r="J14" s="33">
        <v>1258.65</v>
      </c>
      <c r="K14" s="33">
        <v>1081.07</v>
      </c>
      <c r="L14" s="33">
        <v>1627.83</v>
      </c>
      <c r="M14" s="33">
        <v>2316.59</v>
      </c>
      <c r="N14" s="33">
        <v>3808.74</v>
      </c>
      <c r="O14" s="33">
        <v>4202.42</v>
      </c>
      <c r="P14" s="33">
        <v>3155.8</v>
      </c>
      <c r="Q14" s="33">
        <v>2731.84</v>
      </c>
      <c r="R14" s="33">
        <v>1155.72</v>
      </c>
      <c r="S14" s="33">
        <v>1019.86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707</v>
      </c>
      <c r="E15" s="32"/>
      <c r="F15" s="32"/>
      <c r="G15" s="32"/>
      <c r="H15" s="33">
        <v>1410.27</v>
      </c>
      <c r="I15" s="33">
        <v>1351.27</v>
      </c>
      <c r="J15" s="33">
        <v>1174.57</v>
      </c>
      <c r="K15" s="33">
        <v>1000.45</v>
      </c>
      <c r="L15" s="33">
        <v>1096.28</v>
      </c>
      <c r="M15" s="33">
        <v>1633.39</v>
      </c>
      <c r="N15" s="33">
        <v>2793.8</v>
      </c>
      <c r="O15" s="33">
        <v>2755.32</v>
      </c>
      <c r="P15" s="33">
        <v>2100.8</v>
      </c>
      <c r="Q15" s="33">
        <v>1889.36</v>
      </c>
      <c r="R15" s="33">
        <v>991.23</v>
      </c>
      <c r="S15" s="33">
        <v>837.16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708</v>
      </c>
      <c r="E16" s="32"/>
      <c r="F16" s="32"/>
      <c r="G16" s="32"/>
      <c r="H16" s="36">
        <f>40.87+2269.34</f>
        <v>2310.21</v>
      </c>
      <c r="I16" s="36">
        <f>40.87+1839.73</f>
        <v>1880.6</v>
      </c>
      <c r="J16" s="36">
        <f>1513.41+40.87</f>
        <v>1554.28</v>
      </c>
      <c r="K16" s="36">
        <f>1368.03+40.87</f>
        <v>1408.8999999999999</v>
      </c>
      <c r="L16" s="36">
        <f>1964.48+40.87</f>
        <v>2005.35</v>
      </c>
      <c r="M16" s="36">
        <f>40.92+2650.55</f>
        <v>2691.4700000000003</v>
      </c>
      <c r="N16" s="36">
        <f>40.92+4276.13</f>
        <v>4317.05</v>
      </c>
      <c r="O16" s="36">
        <f>40.92+4156.67</f>
        <v>4197.59</v>
      </c>
      <c r="P16" s="36">
        <f>3129.23+40.92</f>
        <v>3170.15</v>
      </c>
      <c r="Q16" s="36">
        <f>2647.84+40.92</f>
        <v>2688.76</v>
      </c>
      <c r="R16" s="36">
        <f>1478.17+41.22</f>
        <v>1519.39</v>
      </c>
      <c r="S16" s="36">
        <f>1453.81+41.76</f>
        <v>1495.57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709</v>
      </c>
      <c r="E17" s="32"/>
      <c r="F17" s="32"/>
      <c r="G17" s="32"/>
      <c r="H17" s="33">
        <v>336.8</v>
      </c>
      <c r="I17" s="33">
        <v>327.24</v>
      </c>
      <c r="J17" s="33">
        <v>267.26</v>
      </c>
      <c r="K17" s="33">
        <v>246.91</v>
      </c>
      <c r="L17" s="33">
        <v>250.27</v>
      </c>
      <c r="M17" s="33">
        <v>240.87</v>
      </c>
      <c r="N17" s="33">
        <v>352.75</v>
      </c>
      <c r="O17" s="33">
        <v>413.67</v>
      </c>
      <c r="P17" s="33">
        <v>351.07</v>
      </c>
      <c r="Q17" s="33">
        <v>518.28</v>
      </c>
      <c r="R17" s="33">
        <v>284.62</v>
      </c>
      <c r="S17" s="33">
        <v>253.93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710</v>
      </c>
      <c r="E18" s="32"/>
      <c r="F18" s="32"/>
      <c r="G18" s="32"/>
      <c r="H18" s="33">
        <v>597.56</v>
      </c>
      <c r="I18" s="33">
        <v>560.21</v>
      </c>
      <c r="J18" s="33">
        <v>541.19</v>
      </c>
      <c r="K18" s="33">
        <v>469.47</v>
      </c>
      <c r="L18" s="33">
        <v>743.66</v>
      </c>
      <c r="M18" s="33">
        <v>1016.18</v>
      </c>
      <c r="N18" s="33">
        <v>1816.35</v>
      </c>
      <c r="O18" s="33">
        <v>1868.85</v>
      </c>
      <c r="P18" s="33">
        <v>1413.69</v>
      </c>
      <c r="Q18" s="33">
        <v>1225.05</v>
      </c>
      <c r="R18" s="33">
        <v>648.95</v>
      </c>
      <c r="S18" s="33">
        <v>627.79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711</v>
      </c>
      <c r="E19" s="32"/>
      <c r="F19" s="32"/>
      <c r="G19" s="32"/>
      <c r="H19" s="33">
        <v>2230.68</v>
      </c>
      <c r="I19" s="33">
        <v>1975.34</v>
      </c>
      <c r="J19" s="33">
        <v>1650.34</v>
      </c>
      <c r="K19" s="33">
        <v>1304.27</v>
      </c>
      <c r="L19" s="33">
        <v>1673.48</v>
      </c>
      <c r="M19" s="33">
        <v>2371.31</v>
      </c>
      <c r="N19" s="33">
        <v>4250.73</v>
      </c>
      <c r="O19" s="33">
        <v>4540.42</v>
      </c>
      <c r="P19" s="33">
        <v>3469.89</v>
      </c>
      <c r="Q19" s="33">
        <v>2911.7</v>
      </c>
      <c r="R19" s="33">
        <v>1546.14</v>
      </c>
      <c r="S19" s="33">
        <v>1596.97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712</v>
      </c>
      <c r="E20" s="32"/>
      <c r="F20" s="32"/>
      <c r="G20" s="32"/>
      <c r="H20" s="33">
        <v>1224.7</v>
      </c>
      <c r="I20" s="33">
        <v>1057.91</v>
      </c>
      <c r="J20" s="33">
        <v>948.65</v>
      </c>
      <c r="K20" s="33">
        <v>815.32</v>
      </c>
      <c r="L20" s="33">
        <v>1148.61</v>
      </c>
      <c r="M20" s="33">
        <v>1819.73</v>
      </c>
      <c r="N20" s="33">
        <v>3000.93</v>
      </c>
      <c r="O20" s="33">
        <v>3059.02</v>
      </c>
      <c r="P20" s="33">
        <v>2386.57</v>
      </c>
      <c r="Q20" s="33">
        <v>2245.94</v>
      </c>
      <c r="R20" s="33">
        <v>1178.82</v>
      </c>
      <c r="S20" s="33">
        <v>944.93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85</v>
      </c>
      <c r="C22" s="21"/>
      <c r="D22" s="21"/>
      <c r="E22" s="22">
        <f>SUM(E14:E20)</f>
      </c>
      <c r="F22" s="22">
        <f>SUM(F14:F20)</f>
      </c>
      <c r="G22" s="22">
        <f>SUM(G14:G20)</f>
      </c>
      <c r="H22" s="22">
        <f>SUM(H14:H20)</f>
      </c>
      <c r="I22" s="22">
        <f>SUM(I14:I20)</f>
      </c>
      <c r="J22" s="22">
        <f>SUM(J14:J20)</f>
      </c>
      <c r="K22" s="22">
        <f>SUM(K14:K20)</f>
      </c>
      <c r="L22" s="22">
        <f>SUM(L14:L20)</f>
      </c>
      <c r="M22" s="22">
        <f>SUM(M14:M20)</f>
      </c>
      <c r="N22" s="22">
        <f>SUM(N14:N20)</f>
      </c>
      <c r="O22" s="22">
        <f>SUM(O14:O20)</f>
      </c>
      <c r="P22" s="22">
        <f>SUM(P14:P20)</f>
      </c>
      <c r="Q22" s="22">
        <f>SUM(Q14:Q20)</f>
      </c>
      <c r="R22" s="22">
        <f>SUM(R14:R20)</f>
      </c>
      <c r="S22" s="22">
        <f>SUM(S14:S20)</f>
      </c>
      <c r="T22" s="22">
        <f>SUM(T14:T20)</f>
      </c>
      <c r="U22" s="22">
        <f>SUM(U14:U20)</f>
      </c>
      <c r="V22" s="22">
        <f>SUM(V14:V20)</f>
      </c>
      <c r="W22" s="22">
        <f>SUM(W14:W20)</f>
      </c>
      <c r="X22" s="22">
        <f>SUM(X14:X20)</f>
      </c>
      <c r="Y22" s="22">
        <f>SUM(Y14:Y20)</f>
      </c>
      <c r="Z22" s="22">
        <f>SUM(Z14:Z20)</f>
      </c>
      <c r="AA22" s="22">
        <f>SUM(AA14:AA20)</f>
      </c>
      <c r="AB22" s="22">
        <f>SUM(AB14:AB20)</f>
      </c>
      <c r="AC22" s="22">
        <f>SUM(AC14:AC20)</f>
      </c>
      <c r="AD22" s="22">
        <f>SUM(AD14:AD20)</f>
      </c>
      <c r="AE22" s="22">
        <f>SUM(AE14:AE20)</f>
      </c>
      <c r="AF22" s="22">
        <f>SUM(AF14:AF20)</f>
      </c>
      <c r="AG22" s="22">
        <f>SUM(AG14:AG20)</f>
      </c>
      <c r="AH22" s="22">
        <f>SUM(AH14:AH20)</f>
      </c>
      <c r="AI22" s="22">
        <f>SUM(AI14:AI20)</f>
      </c>
      <c r="AJ22" s="22">
        <f>SUM(AJ14:AJ20)</f>
      </c>
      <c r="AK22" s="23"/>
    </row>
    <row r="24" ht="12.75" customHeight="1" spans="2:37" x14ac:dyDescent="0.25">
      <c r="B24" s="26" t="s">
        <v>43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43</v>
      </c>
      <c r="C25" s="31" t="s">
        <v>3</v>
      </c>
      <c r="D25" s="32" t="s">
        <v>705</v>
      </c>
      <c r="E25" s="32"/>
      <c r="F25" s="32"/>
      <c r="G25" s="32"/>
      <c r="H25" s="32"/>
      <c r="I25" s="36">
        <f>3567.89+3620.14</f>
        <v>7188.03</v>
      </c>
      <c r="J25" s="36">
        <f>3228.48+3181.49</f>
        <v>6409.969999999999</v>
      </c>
      <c r="K25" s="36">
        <f>3498.82+2829.60</f>
        <v>6328.42</v>
      </c>
      <c r="L25" s="36">
        <f>3168.31+2804.01</f>
        <v>5972.32</v>
      </c>
      <c r="M25" s="36">
        <f>3306.63+2924.13</f>
        <v>6230.76</v>
      </c>
      <c r="N25" s="36">
        <f>3900.47+3589.06</f>
        <v>7489.53</v>
      </c>
      <c r="O25" s="36">
        <f>3269.40+2891.79</f>
        <v>6161.1900000000005</v>
      </c>
      <c r="P25" s="36">
        <f>3905.84+3596.04</f>
        <v>7501.88</v>
      </c>
      <c r="Q25" s="36">
        <f>4320.28+3767.62</f>
        <v>8087.9</v>
      </c>
      <c r="R25" s="36">
        <f>3548.30+2895.99+3875.02+3225.51</f>
        <v>13544.82</v>
      </c>
      <c r="S25" s="36">
        <f>3019.03+2472.00</f>
        <v>5491.030000000001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89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29" ht="12.75" customHeight="1" spans="2:37" x14ac:dyDescent="0.25">
      <c r="B29" s="26" t="s">
        <v>44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0" t="s">
        <v>44</v>
      </c>
      <c r="C30" s="31" t="s">
        <v>3</v>
      </c>
      <c r="D30" s="32" t="s">
        <v>705</v>
      </c>
      <c r="E30" s="32"/>
      <c r="F30" s="32"/>
      <c r="G30" s="32"/>
      <c r="H30" s="32"/>
      <c r="I30" s="33">
        <v>498.78</v>
      </c>
      <c r="J30" s="33">
        <v>498.84</v>
      </c>
      <c r="K30" s="33">
        <v>557.76</v>
      </c>
      <c r="L30" s="33">
        <v>550.55</v>
      </c>
      <c r="M30" s="33">
        <v>550.55</v>
      </c>
      <c r="N30" s="33">
        <v>543.7</v>
      </c>
      <c r="O30" s="33">
        <v>550.55</v>
      </c>
      <c r="P30" s="33">
        <v>543.7</v>
      </c>
      <c r="Q30" s="33">
        <v>564.46</v>
      </c>
      <c r="R30" s="36">
        <f>563.89+566.44</f>
        <v>1130.33</v>
      </c>
      <c r="S30" s="32"/>
      <c r="T30" s="33">
        <v>569.25</v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90</v>
      </c>
      <c r="C32" s="21"/>
      <c r="D32" s="21"/>
      <c r="E32" s="22">
        <f>SUM(E30:E30)</f>
      </c>
      <c r="F32" s="22">
        <f>SUM(F30:F30)</f>
      </c>
      <c r="G32" s="22">
        <f>SUM(G30:G30)</f>
      </c>
      <c r="H32" s="22">
        <f>SUM(H30:H30)</f>
      </c>
      <c r="I32" s="22">
        <f>SUM(I30:I30)</f>
      </c>
      <c r="J32" s="22">
        <f>SUM(J30:J30)</f>
      </c>
      <c r="K32" s="22">
        <f>SUM(K30:K30)</f>
      </c>
      <c r="L32" s="22">
        <f>SUM(L30:L30)</f>
      </c>
      <c r="M32" s="22">
        <f>SUM(M30:M30)</f>
      </c>
      <c r="N32" s="22">
        <f>SUM(N30:N30)</f>
      </c>
      <c r="O32" s="22">
        <f>SUM(O30:O30)</f>
      </c>
      <c r="P32" s="22">
        <f>SUM(P30:P30)</f>
      </c>
      <c r="Q32" s="22">
        <f>SUM(Q30:Q30)</f>
      </c>
      <c r="R32" s="22">
        <f>SUM(R30:R30)</f>
      </c>
      <c r="S32" s="22">
        <f>SUM(S30:S30)</f>
      </c>
      <c r="T32" s="22">
        <f>SUM(T30:T30)</f>
      </c>
      <c r="U32" s="22">
        <f>SUM(U30:U30)</f>
      </c>
      <c r="V32" s="22">
        <f>SUM(V30:V30)</f>
      </c>
      <c r="W32" s="22">
        <f>SUM(W30:W30)</f>
      </c>
      <c r="X32" s="22">
        <f>SUM(X30:X30)</f>
      </c>
      <c r="Y32" s="22">
        <f>SUM(Y30:Y30)</f>
      </c>
      <c r="Z32" s="22">
        <f>SUM(Z30:Z30)</f>
      </c>
      <c r="AA32" s="22">
        <f>SUM(AA30:AA30)</f>
      </c>
      <c r="AB32" s="22">
        <f>SUM(AB30:AB30)</f>
      </c>
      <c r="AC32" s="22">
        <f>SUM(AC30:AC30)</f>
      </c>
      <c r="AD32" s="22">
        <f>SUM(AD30:AD30)</f>
      </c>
      <c r="AE32" s="22">
        <f>SUM(AE30:AE30)</f>
      </c>
      <c r="AF32" s="22">
        <f>SUM(AF30:AF30)</f>
      </c>
      <c r="AG32" s="22">
        <f>SUM(AG30:AG30)</f>
      </c>
      <c r="AH32" s="22">
        <f>SUM(AH30:AH30)</f>
      </c>
      <c r="AI32" s="22">
        <f>SUM(AI30:AI30)</f>
      </c>
      <c r="AJ32" s="22">
        <f>SUM(AJ30:AJ30)</f>
      </c>
      <c r="AK32" s="23"/>
    </row>
    <row r="35" ht="12.75" customHeight="1" spans="2:37" x14ac:dyDescent="0.25">
      <c r="B35" s="11" t="s">
        <v>40</v>
      </c>
      <c r="C35" s="12"/>
      <c r="D35" s="13"/>
      <c r="E35" s="14" t="s">
        <v>7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  <c r="K35" s="14" t="s">
        <v>13</v>
      </c>
      <c r="L35" s="14" t="s">
        <v>14</v>
      </c>
      <c r="M35" s="14" t="s">
        <v>15</v>
      </c>
      <c r="N35" s="14" t="s">
        <v>16</v>
      </c>
      <c r="O35" s="14" t="s">
        <v>17</v>
      </c>
      <c r="P35" s="14" t="s">
        <v>18</v>
      </c>
      <c r="Q35" s="14" t="s">
        <v>19</v>
      </c>
      <c r="R35" s="14" t="s">
        <v>20</v>
      </c>
      <c r="S35" s="14" t="s">
        <v>21</v>
      </c>
      <c r="T35" s="14" t="s">
        <v>22</v>
      </c>
      <c r="U35" s="14" t="s">
        <v>23</v>
      </c>
      <c r="V35" s="14" t="s">
        <v>24</v>
      </c>
      <c r="W35" s="14" t="s">
        <v>25</v>
      </c>
      <c r="X35" s="14" t="s">
        <v>26</v>
      </c>
      <c r="Y35" s="14" t="s">
        <v>27</v>
      </c>
      <c r="Z35" s="14" t="s">
        <v>28</v>
      </c>
      <c r="AA35" s="14" t="s">
        <v>29</v>
      </c>
      <c r="AB35" s="14" t="s">
        <v>30</v>
      </c>
      <c r="AC35" s="14" t="s">
        <v>31</v>
      </c>
      <c r="AD35" s="14" t="s">
        <v>32</v>
      </c>
      <c r="AE35" s="14" t="s">
        <v>33</v>
      </c>
      <c r="AF35" s="14" t="s">
        <v>34</v>
      </c>
      <c r="AG35" s="14" t="s">
        <v>35</v>
      </c>
      <c r="AH35" s="14" t="s">
        <v>36</v>
      </c>
      <c r="AI35" s="14" t="s">
        <v>37</v>
      </c>
      <c r="AJ35" s="14" t="s">
        <v>38</v>
      </c>
      <c r="AK35" s="15"/>
    </row>
    <row r="36" ht="12.75" customHeight="1" spans="2:37" x14ac:dyDescent="0.25">
      <c r="B36" s="16" t="s">
        <v>41</v>
      </c>
      <c r="C36" s="17"/>
      <c r="D36" s="17"/>
      <c r="E36" s="18">
        <f>E11</f>
      </c>
      <c r="F36" s="18">
        <f>F11</f>
      </c>
      <c r="G36" s="18">
        <f>G11</f>
      </c>
      <c r="H36" s="18">
        <f>H11</f>
      </c>
      <c r="I36" s="18">
        <f>I11</f>
      </c>
      <c r="J36" s="18">
        <f>J11</f>
      </c>
      <c r="K36" s="18">
        <f>K11</f>
      </c>
      <c r="L36" s="18">
        <f>L11</f>
      </c>
      <c r="M36" s="18">
        <f>M11</f>
      </c>
      <c r="N36" s="18">
        <f>N11</f>
      </c>
      <c r="O36" s="18">
        <f>O11</f>
      </c>
      <c r="P36" s="18">
        <f>P11</f>
      </c>
      <c r="Q36" s="18">
        <f>Q11</f>
      </c>
      <c r="R36" s="18">
        <f>R11</f>
      </c>
      <c r="S36" s="18">
        <f>S11</f>
      </c>
      <c r="T36" s="18">
        <f>T11</f>
      </c>
      <c r="U36" s="18">
        <f>U11</f>
      </c>
      <c r="V36" s="18">
        <f>V11</f>
      </c>
      <c r="W36" s="18">
        <f>W11</f>
      </c>
      <c r="X36" s="18">
        <f>X11</f>
      </c>
      <c r="Y36" s="18">
        <f>Y11</f>
      </c>
      <c r="Z36" s="18">
        <f>Z11</f>
      </c>
      <c r="AA36" s="18">
        <f>AA11</f>
      </c>
      <c r="AB36" s="18">
        <f>AB11</f>
      </c>
      <c r="AC36" s="18">
        <f>AC11</f>
      </c>
      <c r="AD36" s="18">
        <f>AD11</f>
      </c>
      <c r="AE36" s="18">
        <f>AE11</f>
      </c>
      <c r="AF36" s="18">
        <f>AF11</f>
      </c>
      <c r="AG36" s="18">
        <f>AG11</f>
      </c>
      <c r="AH36" s="18">
        <f>AH11</f>
      </c>
      <c r="AI36" s="18">
        <f>AI11</f>
      </c>
      <c r="AJ36" s="18">
        <f>AJ11</f>
      </c>
      <c r="AK36" s="19"/>
    </row>
    <row r="37" ht="12.75" customHeight="1" spans="2:37" x14ac:dyDescent="0.25">
      <c r="B37" s="16" t="s">
        <v>42</v>
      </c>
      <c r="C37" s="17"/>
      <c r="D37" s="17"/>
      <c r="E37" s="18">
        <f>E22</f>
      </c>
      <c r="F37" s="18">
        <f>F22</f>
      </c>
      <c r="G37" s="18">
        <f>G22</f>
      </c>
      <c r="H37" s="18">
        <f>H22</f>
      </c>
      <c r="I37" s="18">
        <f>I22</f>
      </c>
      <c r="J37" s="18">
        <f>J22</f>
      </c>
      <c r="K37" s="18">
        <f>K22</f>
      </c>
      <c r="L37" s="18">
        <f>L22</f>
      </c>
      <c r="M37" s="18">
        <f>M22</f>
      </c>
      <c r="N37" s="18">
        <f>N22</f>
      </c>
      <c r="O37" s="18">
        <f>O22</f>
      </c>
      <c r="P37" s="18">
        <f>P22</f>
      </c>
      <c r="Q37" s="18">
        <f>Q22</f>
      </c>
      <c r="R37" s="18">
        <f>R22</f>
      </c>
      <c r="S37" s="18">
        <f>S22</f>
      </c>
      <c r="T37" s="18">
        <f>T22</f>
      </c>
      <c r="U37" s="18">
        <f>U22</f>
      </c>
      <c r="V37" s="18">
        <f>V22</f>
      </c>
      <c r="W37" s="18">
        <f>W22</f>
      </c>
      <c r="X37" s="18">
        <f>X22</f>
      </c>
      <c r="Y37" s="18">
        <f>Y22</f>
      </c>
      <c r="Z37" s="18">
        <f>Z22</f>
      </c>
      <c r="AA37" s="18">
        <f>AA22</f>
      </c>
      <c r="AB37" s="18">
        <f>AB22</f>
      </c>
      <c r="AC37" s="18">
        <f>AC22</f>
      </c>
      <c r="AD37" s="18">
        <f>AD22</f>
      </c>
      <c r="AE37" s="18">
        <f>AE22</f>
      </c>
      <c r="AF37" s="18">
        <f>AF22</f>
      </c>
      <c r="AG37" s="18">
        <f>AG22</f>
      </c>
      <c r="AH37" s="18">
        <f>AH22</f>
      </c>
      <c r="AI37" s="18">
        <f>AI22</f>
      </c>
      <c r="AJ37" s="18">
        <f>AJ22</f>
      </c>
      <c r="AK37" s="19"/>
    </row>
    <row r="38" ht="12.75" customHeight="1" spans="2:37" x14ac:dyDescent="0.25">
      <c r="B38" s="16" t="s">
        <v>43</v>
      </c>
      <c r="C38" s="17"/>
      <c r="D38" s="17"/>
      <c r="E38" s="18">
        <f>E27</f>
      </c>
      <c r="F38" s="18">
        <f>F27</f>
      </c>
      <c r="G38" s="18">
        <f>G27</f>
      </c>
      <c r="H38" s="18">
        <f>H27</f>
      </c>
      <c r="I38" s="18">
        <f>I27</f>
      </c>
      <c r="J38" s="18">
        <f>J27</f>
      </c>
      <c r="K38" s="18">
        <f>K27</f>
      </c>
      <c r="L38" s="18">
        <f>L27</f>
      </c>
      <c r="M38" s="18">
        <f>M27</f>
      </c>
      <c r="N38" s="18">
        <f>N27</f>
      </c>
      <c r="O38" s="18">
        <f>O27</f>
      </c>
      <c r="P38" s="18">
        <f>P27</f>
      </c>
      <c r="Q38" s="18">
        <f>Q27</f>
      </c>
      <c r="R38" s="18">
        <f>R27</f>
      </c>
      <c r="S38" s="18">
        <f>S27</f>
      </c>
      <c r="T38" s="18">
        <f>T27</f>
      </c>
      <c r="U38" s="18">
        <f>U27</f>
      </c>
      <c r="V38" s="18">
        <f>V27</f>
      </c>
      <c r="W38" s="18">
        <f>W27</f>
      </c>
      <c r="X38" s="18">
        <f>X27</f>
      </c>
      <c r="Y38" s="18">
        <f>Y27</f>
      </c>
      <c r="Z38" s="18">
        <f>Z27</f>
      </c>
      <c r="AA38" s="18">
        <f>AA27</f>
      </c>
      <c r="AB38" s="18">
        <f>AB27</f>
      </c>
      <c r="AC38" s="18">
        <f>AC27</f>
      </c>
      <c r="AD38" s="18">
        <f>AD27</f>
      </c>
      <c r="AE38" s="18">
        <f>AE27</f>
      </c>
      <c r="AF38" s="18">
        <f>AF27</f>
      </c>
      <c r="AG38" s="18">
        <f>AG27</f>
      </c>
      <c r="AH38" s="18">
        <f>AH27</f>
      </c>
      <c r="AI38" s="18">
        <f>AI27</f>
      </c>
      <c r="AJ38" s="18">
        <f>AJ27</f>
      </c>
      <c r="AK38" s="19"/>
    </row>
    <row r="39" ht="12.75" customHeight="1" spans="2:37" x14ac:dyDescent="0.25">
      <c r="B39" s="16" t="s">
        <v>44</v>
      </c>
      <c r="C39" s="17"/>
      <c r="D39" s="17"/>
      <c r="E39" s="18">
        <f>E32</f>
      </c>
      <c r="F39" s="18">
        <f>F32</f>
      </c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9"/>
    </row>
    <row r="40" ht="12.75" customHeight="1" spans="2:37" x14ac:dyDescent="0.25">
      <c r="B40" s="20" t="s">
        <v>45</v>
      </c>
      <c r="C40" s="21"/>
      <c r="D40" s="21"/>
      <c r="E40" s="22">
        <f>E36+E37+E38+E39</f>
      </c>
      <c r="F40" s="22">
        <f>F36+F37+F38+F39</f>
      </c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3"/>
    </row>
    <row r="42" ht="12.75" customHeight="1" spans="2:37" x14ac:dyDescent="0.25">
      <c r="B42" s="11" t="s">
        <v>46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42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43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44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47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42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43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44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20" t="s">
        <v>45</v>
      </c>
      <c r="C54" s="21"/>
      <c r="D54" s="21"/>
      <c r="E54" s="25">
        <f>E50+E51+E52+E53</f>
      </c>
      <c r="F54" s="25">
        <f>F50+F51+F52+F53</f>
      </c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704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713</v>
      </c>
      <c r="K8" s="44" t="s">
        <v>714</v>
      </c>
      <c r="L8" s="44" t="s">
        <v>715</v>
      </c>
      <c r="M8" s="44" t="s">
        <v>716</v>
      </c>
      <c r="N8" s="44" t="s">
        <v>717</v>
      </c>
      <c r="O8" s="44" t="s">
        <v>718</v>
      </c>
      <c r="P8" s="44" t="s">
        <v>719</v>
      </c>
      <c r="Q8" s="44" t="s">
        <v>720</v>
      </c>
      <c r="R8" s="44" t="s">
        <v>721</v>
      </c>
      <c r="S8" s="44" t="s">
        <v>722</v>
      </c>
      <c r="T8" s="44" t="s">
        <v>723</v>
      </c>
      <c r="U8" s="44" t="s">
        <v>724</v>
      </c>
      <c r="V8" s="44" t="s">
        <v>206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704</v>
      </c>
      <c r="D10" s="50" t="s">
        <v>41</v>
      </c>
      <c r="E10" s="32" t="s">
        <v>3</v>
      </c>
      <c r="F10" s="32" t="s">
        <v>705</v>
      </c>
      <c r="G10" s="32"/>
      <c r="H10" s="32"/>
      <c r="I10" s="32"/>
      <c r="J10" s="32"/>
      <c r="K10" s="33">
        <v>3724.39</v>
      </c>
      <c r="L10" s="33">
        <v>2822.29</v>
      </c>
      <c r="M10" s="33">
        <v>2165.97</v>
      </c>
      <c r="N10" s="33">
        <v>1675.81</v>
      </c>
      <c r="O10" s="33">
        <v>793.95</v>
      </c>
      <c r="P10" s="33">
        <v>490.65</v>
      </c>
      <c r="Q10" s="33">
        <v>425.32</v>
      </c>
      <c r="R10" s="33">
        <v>413.19</v>
      </c>
      <c r="S10" s="33">
        <v>415.11</v>
      </c>
      <c r="T10" s="33">
        <f>418.58+1305.70</f>
        <v>1724.28</v>
      </c>
      <c r="U10" s="32"/>
      <c r="V10" s="33">
        <v>2213.8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704</v>
      </c>
      <c r="D15" s="50" t="s">
        <v>42</v>
      </c>
      <c r="E15" s="32" t="s">
        <v>3</v>
      </c>
      <c r="F15" s="32" t="s">
        <v>706</v>
      </c>
      <c r="G15" s="32"/>
      <c r="H15" s="32"/>
      <c r="I15" s="32"/>
      <c r="J15" s="33">
        <v>1662.28</v>
      </c>
      <c r="K15" s="33">
        <v>1581.47</v>
      </c>
      <c r="L15" s="33">
        <v>1258.65</v>
      </c>
      <c r="M15" s="33">
        <v>1081.07</v>
      </c>
      <c r="N15" s="33">
        <v>1627.83</v>
      </c>
      <c r="O15" s="33">
        <v>2316.59</v>
      </c>
      <c r="P15" s="33">
        <v>3808.74</v>
      </c>
      <c r="Q15" s="33">
        <v>4202.42</v>
      </c>
      <c r="R15" s="33">
        <v>3155.8</v>
      </c>
      <c r="S15" s="33">
        <v>2731.84</v>
      </c>
      <c r="T15" s="33">
        <v>1155.72</v>
      </c>
      <c r="U15" s="33">
        <v>1019.86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704</v>
      </c>
      <c r="D16" s="50" t="s">
        <v>42</v>
      </c>
      <c r="E16" s="32" t="s">
        <v>3</v>
      </c>
      <c r="F16" s="32" t="s">
        <v>707</v>
      </c>
      <c r="G16" s="32"/>
      <c r="H16" s="32"/>
      <c r="I16" s="32"/>
      <c r="J16" s="33">
        <v>1410.27</v>
      </c>
      <c r="K16" s="33">
        <v>1351.27</v>
      </c>
      <c r="L16" s="33">
        <v>1174.57</v>
      </c>
      <c r="M16" s="33">
        <v>1000.45</v>
      </c>
      <c r="N16" s="33">
        <v>1096.28</v>
      </c>
      <c r="O16" s="33">
        <v>1633.39</v>
      </c>
      <c r="P16" s="33">
        <v>2793.8</v>
      </c>
      <c r="Q16" s="33">
        <v>2755.32</v>
      </c>
      <c r="R16" s="33">
        <v>2100.8</v>
      </c>
      <c r="S16" s="33">
        <v>1889.36</v>
      </c>
      <c r="T16" s="33">
        <v>991.23</v>
      </c>
      <c r="U16" s="33">
        <v>837.16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704</v>
      </c>
      <c r="D17" s="50" t="s">
        <v>42</v>
      </c>
      <c r="E17" s="32" t="s">
        <v>3</v>
      </c>
      <c r="F17" s="32" t="s">
        <v>708</v>
      </c>
      <c r="G17" s="32"/>
      <c r="H17" s="32"/>
      <c r="I17" s="32"/>
      <c r="J17" s="33">
        <f>40.87+2269.34</f>
        <v>2310.21</v>
      </c>
      <c r="K17" s="33">
        <f>40.87+1839.73</f>
        <v>1880.6</v>
      </c>
      <c r="L17" s="33">
        <f>1513.41+40.87</f>
        <v>1554.28</v>
      </c>
      <c r="M17" s="33">
        <f>1368.03+40.87</f>
        <v>1408.8999999999999</v>
      </c>
      <c r="N17" s="33">
        <f>1964.48+40.87</f>
        <v>2005.35</v>
      </c>
      <c r="O17" s="33">
        <f>40.92+2650.55</f>
        <v>2691.4700000000003</v>
      </c>
      <c r="P17" s="33">
        <f>40.92+4276.13</f>
        <v>4317.05</v>
      </c>
      <c r="Q17" s="33">
        <f>40.92+4156.67</f>
        <v>4197.59</v>
      </c>
      <c r="R17" s="33">
        <f>3129.23+40.92</f>
        <v>3170.15</v>
      </c>
      <c r="S17" s="33">
        <f>2647.84+40.92</f>
        <v>2688.76</v>
      </c>
      <c r="T17" s="33">
        <f>1478.17+41.22</f>
        <v>1519.39</v>
      </c>
      <c r="U17" s="33">
        <f>1453.81+41.76</f>
        <v>1495.57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704</v>
      </c>
      <c r="D18" s="50" t="s">
        <v>42</v>
      </c>
      <c r="E18" s="32" t="s">
        <v>3</v>
      </c>
      <c r="F18" s="32" t="s">
        <v>709</v>
      </c>
      <c r="G18" s="32"/>
      <c r="H18" s="32"/>
      <c r="I18" s="32"/>
      <c r="J18" s="33">
        <v>336.8</v>
      </c>
      <c r="K18" s="33">
        <v>327.24</v>
      </c>
      <c r="L18" s="33">
        <v>267.26</v>
      </c>
      <c r="M18" s="33">
        <v>246.91</v>
      </c>
      <c r="N18" s="33">
        <v>250.27</v>
      </c>
      <c r="O18" s="33">
        <v>240.87</v>
      </c>
      <c r="P18" s="33">
        <v>352.75</v>
      </c>
      <c r="Q18" s="33">
        <v>413.67</v>
      </c>
      <c r="R18" s="33">
        <v>351.07</v>
      </c>
      <c r="S18" s="33">
        <v>518.28</v>
      </c>
      <c r="T18" s="33">
        <v>284.62</v>
      </c>
      <c r="U18" s="33">
        <v>253.93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704</v>
      </c>
      <c r="D19" s="50" t="s">
        <v>42</v>
      </c>
      <c r="E19" s="32" t="s">
        <v>3</v>
      </c>
      <c r="F19" s="32" t="s">
        <v>710</v>
      </c>
      <c r="G19" s="32"/>
      <c r="H19" s="32"/>
      <c r="I19" s="32"/>
      <c r="J19" s="33">
        <v>597.56</v>
      </c>
      <c r="K19" s="33">
        <v>560.21</v>
      </c>
      <c r="L19" s="33">
        <v>541.19</v>
      </c>
      <c r="M19" s="33">
        <v>469.47</v>
      </c>
      <c r="N19" s="33">
        <v>743.66</v>
      </c>
      <c r="O19" s="33">
        <v>1016.18</v>
      </c>
      <c r="P19" s="33">
        <v>1816.35</v>
      </c>
      <c r="Q19" s="33">
        <v>1868.85</v>
      </c>
      <c r="R19" s="33">
        <v>1413.69</v>
      </c>
      <c r="S19" s="33">
        <v>1225.05</v>
      </c>
      <c r="T19" s="33">
        <v>648.95</v>
      </c>
      <c r="U19" s="33">
        <v>627.79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704</v>
      </c>
      <c r="D20" s="50" t="s">
        <v>42</v>
      </c>
      <c r="E20" s="32" t="s">
        <v>3</v>
      </c>
      <c r="F20" s="32" t="s">
        <v>711</v>
      </c>
      <c r="G20" s="32"/>
      <c r="H20" s="32"/>
      <c r="I20" s="32"/>
      <c r="J20" s="33">
        <v>2230.68</v>
      </c>
      <c r="K20" s="33">
        <v>1975.34</v>
      </c>
      <c r="L20" s="33">
        <v>1650.34</v>
      </c>
      <c r="M20" s="33">
        <v>1304.27</v>
      </c>
      <c r="N20" s="33">
        <v>1673.48</v>
      </c>
      <c r="O20" s="33">
        <v>2371.31</v>
      </c>
      <c r="P20" s="33">
        <v>4250.73</v>
      </c>
      <c r="Q20" s="33">
        <v>4540.42</v>
      </c>
      <c r="R20" s="33">
        <v>3469.89</v>
      </c>
      <c r="S20" s="33">
        <v>2911.7</v>
      </c>
      <c r="T20" s="33">
        <v>1546.14</v>
      </c>
      <c r="U20" s="33">
        <v>1596.97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704</v>
      </c>
      <c r="D21" s="50" t="s">
        <v>42</v>
      </c>
      <c r="E21" s="32" t="s">
        <v>3</v>
      </c>
      <c r="F21" s="32" t="s">
        <v>712</v>
      </c>
      <c r="G21" s="32"/>
      <c r="H21" s="32"/>
      <c r="I21" s="32"/>
      <c r="J21" s="33">
        <v>1224.7</v>
      </c>
      <c r="K21" s="33">
        <v>1057.91</v>
      </c>
      <c r="L21" s="33">
        <v>948.65</v>
      </c>
      <c r="M21" s="33">
        <v>815.32</v>
      </c>
      <c r="N21" s="33">
        <v>1148.61</v>
      </c>
      <c r="O21" s="33">
        <v>1819.73</v>
      </c>
      <c r="P21" s="33">
        <v>3000.93</v>
      </c>
      <c r="Q21" s="33">
        <v>3059.02</v>
      </c>
      <c r="R21" s="33">
        <v>2386.57</v>
      </c>
      <c r="S21" s="33">
        <v>2245.94</v>
      </c>
      <c r="T21" s="33">
        <v>1178.82</v>
      </c>
      <c r="U21" s="33">
        <v>944.93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85</v>
      </c>
      <c r="E23" s="21"/>
      <c r="F23" s="21"/>
      <c r="G23" s="22">
        <f>SUM(G15:G21)</f>
      </c>
      <c r="H23" s="22">
        <f>SUM(H15:H21)</f>
      </c>
      <c r="I23" s="22">
        <f>SUM(I15:I21)</f>
      </c>
      <c r="J23" s="22">
        <f>SUM(J15:J21)</f>
      </c>
      <c r="K23" s="22">
        <f>SUM(K15:K21)</f>
      </c>
      <c r="L23" s="22">
        <f>SUM(L15:L21)</f>
      </c>
      <c r="M23" s="22">
        <f>SUM(M15:M21)</f>
      </c>
      <c r="N23" s="22">
        <f>SUM(N15:N21)</f>
      </c>
      <c r="O23" s="22">
        <f>SUM(O15:O21)</f>
      </c>
      <c r="P23" s="22">
        <f>SUM(P15:P21)</f>
      </c>
      <c r="Q23" s="22">
        <f>SUM(Q15:Q21)</f>
      </c>
      <c r="R23" s="22">
        <f>SUM(R15:R21)</f>
      </c>
      <c r="S23" s="22">
        <f>SUM(S15:S21)</f>
      </c>
      <c r="T23" s="22">
        <f>SUM(T15:T21)</f>
      </c>
      <c r="U23" s="22">
        <f>SUM(U15:U21)</f>
      </c>
      <c r="V23" s="22">
        <f>SUM(V15:V21)</f>
      </c>
      <c r="W23" s="22">
        <f>SUM(W15:W21)</f>
      </c>
      <c r="X23" s="22">
        <f>SUM(X15:X21)</f>
      </c>
      <c r="Y23" s="22">
        <f>SUM(Y15:Y21)</f>
      </c>
      <c r="Z23" s="22">
        <f>SUM(Z15:Z21)</f>
      </c>
      <c r="AA23" s="22">
        <f>SUM(AA15:AA21)</f>
      </c>
      <c r="AB23" s="22">
        <f>SUM(AB15:AB21)</f>
      </c>
      <c r="AC23" s="22">
        <f>SUM(AC15:AC21)</f>
      </c>
      <c r="AD23" s="22">
        <f>SUM(AD15:AD21)</f>
      </c>
      <c r="AE23" s="22">
        <f>SUM(AE15:AE21)</f>
      </c>
      <c r="AF23" s="22">
        <f>SUM(AF15:AF21)</f>
      </c>
      <c r="AG23" s="22">
        <f>SUM(AG15:AG21)</f>
      </c>
      <c r="AH23" s="22">
        <f>SUM(AH15:AH21)</f>
      </c>
      <c r="AI23" s="22">
        <f>SUM(AI15:AI21)</f>
      </c>
      <c r="AJ23" s="22">
        <f>SUM(AJ15:AJ21)</f>
      </c>
      <c r="AK23" s="22">
        <f>SUM(AK15:AK21)</f>
      </c>
      <c r="AL23" s="22">
        <f>SUM(AL15:AL21)</f>
      </c>
      <c r="AM23" s="23"/>
    </row>
    <row r="25" ht="13.5" customHeight="1" spans="2:39" x14ac:dyDescent="0.25">
      <c r="B25" s="46"/>
      <c r="C25" s="28"/>
      <c r="D25" s="47" t="s">
        <v>43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704</v>
      </c>
      <c r="D26" s="50" t="s">
        <v>43</v>
      </c>
      <c r="E26" s="32" t="s">
        <v>3</v>
      </c>
      <c r="F26" s="32" t="s">
        <v>705</v>
      </c>
      <c r="G26" s="32"/>
      <c r="H26" s="32"/>
      <c r="I26" s="32"/>
      <c r="J26" s="32"/>
      <c r="K26" s="33">
        <f>3567.89+3620.14</f>
        <v>7188.03</v>
      </c>
      <c r="L26" s="33">
        <f>3228.48+3181.49</f>
        <v>6409.969999999999</v>
      </c>
      <c r="M26" s="33">
        <f>3498.82+2829.60</f>
        <v>6328.42</v>
      </c>
      <c r="N26" s="33">
        <f>3168.31+2804.01</f>
        <v>5972.32</v>
      </c>
      <c r="O26" s="33">
        <f>3306.63+2924.13</f>
        <v>6230.76</v>
      </c>
      <c r="P26" s="33">
        <f>3900.47+3589.06</f>
        <v>7489.53</v>
      </c>
      <c r="Q26" s="33">
        <f>3269.40+2891.79</f>
        <v>6161.1900000000005</v>
      </c>
      <c r="R26" s="33">
        <f>3905.84+3596.04</f>
        <v>7501.88</v>
      </c>
      <c r="S26" s="33">
        <f>4320.28+3767.62</f>
        <v>8087.9</v>
      </c>
      <c r="T26" s="33">
        <f>3548.30+2895.99+3875.02+3225.51</f>
        <v>13544.82</v>
      </c>
      <c r="U26" s="33">
        <f>3019.03+2472.00</f>
        <v>5491.030000000001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89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0" ht="13.5" customHeight="1" spans="2:39" x14ac:dyDescent="0.25">
      <c r="B30" s="46"/>
      <c r="C30" s="28"/>
      <c r="D30" s="47" t="s">
        <v>44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48" t="s">
        <v>3</v>
      </c>
      <c r="C31" s="49" t="s">
        <v>704</v>
      </c>
      <c r="D31" s="50" t="s">
        <v>44</v>
      </c>
      <c r="E31" s="32" t="s">
        <v>3</v>
      </c>
      <c r="F31" s="32" t="s">
        <v>705</v>
      </c>
      <c r="G31" s="32"/>
      <c r="H31" s="32"/>
      <c r="I31" s="32"/>
      <c r="J31" s="32"/>
      <c r="K31" s="33">
        <v>498.78</v>
      </c>
      <c r="L31" s="33">
        <v>498.84</v>
      </c>
      <c r="M31" s="33">
        <v>557.76</v>
      </c>
      <c r="N31" s="33">
        <v>550.55</v>
      </c>
      <c r="O31" s="33">
        <v>550.55</v>
      </c>
      <c r="P31" s="33">
        <v>543.7</v>
      </c>
      <c r="Q31" s="33">
        <v>550.55</v>
      </c>
      <c r="R31" s="33">
        <v>543.7</v>
      </c>
      <c r="S31" s="33">
        <v>564.46</v>
      </c>
      <c r="T31" s="33">
        <f>563.89+566.44</f>
        <v>1130.33</v>
      </c>
      <c r="U31" s="32"/>
      <c r="V31" s="33">
        <v>569.25</v>
      </c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90</v>
      </c>
      <c r="E33" s="21"/>
      <c r="F33" s="21"/>
      <c r="G33" s="22">
        <f>SUM(G31:G31)</f>
      </c>
      <c r="H33" s="22">
        <f>SUM(H31:H31)</f>
      </c>
      <c r="I33" s="22">
        <f>SUM(I31:I31)</f>
      </c>
      <c r="J33" s="22">
        <f>SUM(J31:J31)</f>
      </c>
      <c r="K33" s="22">
        <f>SUM(K31:K31)</f>
      </c>
      <c r="L33" s="22">
        <f>SUM(L31:L31)</f>
      </c>
      <c r="M33" s="22">
        <f>SUM(M31:M31)</f>
      </c>
      <c r="N33" s="22">
        <f>SUM(N31:N31)</f>
      </c>
      <c r="O33" s="22">
        <f>SUM(O31:O31)</f>
      </c>
      <c r="P33" s="22">
        <f>SUM(P31:P31)</f>
      </c>
      <c r="Q33" s="22">
        <f>SUM(Q31:Q31)</f>
      </c>
      <c r="R33" s="22">
        <f>SUM(R31:R31)</f>
      </c>
      <c r="S33" s="22">
        <f>SUM(S31:S31)</f>
      </c>
      <c r="T33" s="22">
        <f>SUM(T31:T31)</f>
      </c>
      <c r="U33" s="22">
        <f>SUM(U31:U31)</f>
      </c>
      <c r="V33" s="22">
        <f>SUM(V31:V31)</f>
      </c>
      <c r="W33" s="22">
        <f>SUM(W31:W31)</f>
      </c>
      <c r="X33" s="22">
        <f>SUM(X31:X31)</f>
      </c>
      <c r="Y33" s="22">
        <f>SUM(Y31:Y31)</f>
      </c>
      <c r="Z33" s="22">
        <f>SUM(Z31:Z31)</f>
      </c>
      <c r="AA33" s="22">
        <f>SUM(AA31:AA31)</f>
      </c>
      <c r="AB33" s="22">
        <f>SUM(AB31:AB31)</f>
      </c>
      <c r="AC33" s="22">
        <f>SUM(AC31:AC31)</f>
      </c>
      <c r="AD33" s="22">
        <f>SUM(AD31:AD31)</f>
      </c>
      <c r="AE33" s="22">
        <f>SUM(AE31:AE31)</f>
      </c>
      <c r="AF33" s="22">
        <f>SUM(AF31:AF31)</f>
      </c>
      <c r="AG33" s="22">
        <f>SUM(AG31:AG31)</f>
      </c>
      <c r="AH33" s="22">
        <f>SUM(AH31:AH31)</f>
      </c>
      <c r="AI33" s="22">
        <f>SUM(AI31:AI31)</f>
      </c>
      <c r="AJ33" s="22">
        <f>SUM(AJ31:AJ31)</f>
      </c>
      <c r="AK33" s="22">
        <f>SUM(AK31:AK31)</f>
      </c>
      <c r="AL33" s="22">
        <f>SUM(AL31:AL31)</f>
      </c>
      <c r="AM33" s="23"/>
    </row>
    <row r="36" ht="12.75" customHeight="1" spans="2:39" x14ac:dyDescent="0.25">
      <c r="B36" s="11" t="s">
        <v>40</v>
      </c>
      <c r="C36" s="12"/>
      <c r="D36" s="12"/>
      <c r="E36" s="12"/>
      <c r="F36" s="12"/>
      <c r="G36" s="52" t="s">
        <v>7</v>
      </c>
      <c r="H36" s="52" t="s">
        <v>8</v>
      </c>
      <c r="I36" s="52" t="s">
        <v>9</v>
      </c>
      <c r="J36" s="52" t="s">
        <v>10</v>
      </c>
      <c r="K36" s="52" t="s">
        <v>11</v>
      </c>
      <c r="L36" s="52" t="s">
        <v>12</v>
      </c>
      <c r="M36" s="52" t="s">
        <v>13</v>
      </c>
      <c r="N36" s="52" t="s">
        <v>14</v>
      </c>
      <c r="O36" s="52" t="s">
        <v>15</v>
      </c>
      <c r="P36" s="52" t="s">
        <v>16</v>
      </c>
      <c r="Q36" s="52" t="s">
        <v>17</v>
      </c>
      <c r="R36" s="52" t="s">
        <v>18</v>
      </c>
      <c r="S36" s="52" t="s">
        <v>19</v>
      </c>
      <c r="T36" s="52" t="s">
        <v>20</v>
      </c>
      <c r="U36" s="52" t="s">
        <v>21</v>
      </c>
      <c r="V36" s="52" t="s">
        <v>22</v>
      </c>
      <c r="W36" s="52" t="s">
        <v>23</v>
      </c>
      <c r="X36" s="52" t="s">
        <v>24</v>
      </c>
      <c r="Y36" s="52" t="s">
        <v>25</v>
      </c>
      <c r="Z36" s="52" t="s">
        <v>26</v>
      </c>
      <c r="AA36" s="52" t="s">
        <v>27</v>
      </c>
      <c r="AB36" s="52" t="s">
        <v>28</v>
      </c>
      <c r="AC36" s="52" t="s">
        <v>29</v>
      </c>
      <c r="AD36" s="52" t="s">
        <v>30</v>
      </c>
      <c r="AE36" s="52" t="s">
        <v>31</v>
      </c>
      <c r="AF36" s="52" t="s">
        <v>32</v>
      </c>
      <c r="AG36" s="52" t="s">
        <v>33</v>
      </c>
      <c r="AH36" s="52" t="s">
        <v>34</v>
      </c>
      <c r="AI36" s="52" t="s">
        <v>35</v>
      </c>
      <c r="AJ36" s="52" t="s">
        <v>36</v>
      </c>
      <c r="AK36" s="52" t="s">
        <v>37</v>
      </c>
      <c r="AL36" s="52" t="s">
        <v>38</v>
      </c>
      <c r="AM36" s="15"/>
    </row>
    <row r="37" ht="12.75" customHeight="1" spans="2:39" x14ac:dyDescent="0.25">
      <c r="B37" s="16"/>
      <c r="C37" s="17"/>
      <c r="D37" s="17" t="s">
        <v>41</v>
      </c>
      <c r="E37" s="17"/>
      <c r="F37" s="17"/>
      <c r="G37" s="18">
        <f>G12</f>
      </c>
      <c r="H37" s="18">
        <f>H12</f>
      </c>
      <c r="I37" s="18">
        <f>I12</f>
      </c>
      <c r="J37" s="18">
        <f>J12</f>
      </c>
      <c r="K37" s="18">
        <f>K12</f>
      </c>
      <c r="L37" s="18">
        <f>L12</f>
      </c>
      <c r="M37" s="18">
        <f>M12</f>
      </c>
      <c r="N37" s="18">
        <f>N12</f>
      </c>
      <c r="O37" s="18">
        <f>O12</f>
      </c>
      <c r="P37" s="18">
        <f>P12</f>
      </c>
      <c r="Q37" s="18">
        <f>Q12</f>
      </c>
      <c r="R37" s="18">
        <f>R12</f>
      </c>
      <c r="S37" s="18">
        <f>S12</f>
      </c>
      <c r="T37" s="18">
        <f>T12</f>
      </c>
      <c r="U37" s="18">
        <f>U12</f>
      </c>
      <c r="V37" s="18">
        <f>V12</f>
      </c>
      <c r="W37" s="18">
        <f>W12</f>
      </c>
      <c r="X37" s="18">
        <f>X12</f>
      </c>
      <c r="Y37" s="18">
        <f>Y12</f>
      </c>
      <c r="Z37" s="18">
        <f>Z12</f>
      </c>
      <c r="AA37" s="18">
        <f>AA12</f>
      </c>
      <c r="AB37" s="18">
        <f>AB12</f>
      </c>
      <c r="AC37" s="18">
        <f>AC12</f>
      </c>
      <c r="AD37" s="18">
        <f>AD12</f>
      </c>
      <c r="AE37" s="18">
        <f>AE12</f>
      </c>
      <c r="AF37" s="18">
        <f>AF12</f>
      </c>
      <c r="AG37" s="18">
        <f>AG12</f>
      </c>
      <c r="AH37" s="18">
        <f>AH12</f>
      </c>
      <c r="AI37" s="18">
        <f>AI12</f>
      </c>
      <c r="AJ37" s="18">
        <f>AJ12</f>
      </c>
      <c r="AK37" s="18">
        <f>AK12</f>
      </c>
      <c r="AL37" s="18">
        <f>AL12</f>
      </c>
      <c r="AM37" s="19"/>
    </row>
    <row r="38" ht="12.75" customHeight="1" spans="2:39" x14ac:dyDescent="0.25">
      <c r="B38" s="16"/>
      <c r="C38" s="17"/>
      <c r="D38" s="17" t="s">
        <v>42</v>
      </c>
      <c r="E38" s="17"/>
      <c r="F38" s="17"/>
      <c r="G38" s="18">
        <f>G23</f>
      </c>
      <c r="H38" s="18">
        <f>H23</f>
      </c>
      <c r="I38" s="18">
        <f>I23</f>
      </c>
      <c r="J38" s="18">
        <f>J23</f>
      </c>
      <c r="K38" s="18">
        <f>K23</f>
      </c>
      <c r="L38" s="18">
        <f>L23</f>
      </c>
      <c r="M38" s="18">
        <f>M23</f>
      </c>
      <c r="N38" s="18">
        <f>N23</f>
      </c>
      <c r="O38" s="18">
        <f>O23</f>
      </c>
      <c r="P38" s="18">
        <f>P23</f>
      </c>
      <c r="Q38" s="18">
        <f>Q23</f>
      </c>
      <c r="R38" s="18">
        <f>R23</f>
      </c>
      <c r="S38" s="18">
        <f>S23</f>
      </c>
      <c r="T38" s="18">
        <f>T23</f>
      </c>
      <c r="U38" s="18">
        <f>U23</f>
      </c>
      <c r="V38" s="18">
        <f>V23</f>
      </c>
      <c r="W38" s="18">
        <f>W23</f>
      </c>
      <c r="X38" s="18">
        <f>X23</f>
      </c>
      <c r="Y38" s="18">
        <f>Y23</f>
      </c>
      <c r="Z38" s="18">
        <f>Z23</f>
      </c>
      <c r="AA38" s="18">
        <f>AA23</f>
      </c>
      <c r="AB38" s="18">
        <f>AB23</f>
      </c>
      <c r="AC38" s="18">
        <f>AC23</f>
      </c>
      <c r="AD38" s="18">
        <f>AD23</f>
      </c>
      <c r="AE38" s="18">
        <f>AE23</f>
      </c>
      <c r="AF38" s="18">
        <f>AF23</f>
      </c>
      <c r="AG38" s="18">
        <f>AG23</f>
      </c>
      <c r="AH38" s="18">
        <f>AH23</f>
      </c>
      <c r="AI38" s="18">
        <f>AI23</f>
      </c>
      <c r="AJ38" s="18">
        <f>AJ23</f>
      </c>
      <c r="AK38" s="18">
        <f>AK23</f>
      </c>
      <c r="AL38" s="18">
        <f>AL23</f>
      </c>
      <c r="AM38" s="19"/>
    </row>
    <row r="39" ht="12.75" customHeight="1" spans="2:39" x14ac:dyDescent="0.25">
      <c r="B39" s="16"/>
      <c r="C39" s="17"/>
      <c r="D39" s="17" t="s">
        <v>43</v>
      </c>
      <c r="E39" s="17"/>
      <c r="F39" s="17"/>
      <c r="G39" s="18">
        <f>G28</f>
      </c>
      <c r="H39" s="18">
        <f>H28</f>
      </c>
      <c r="I39" s="18">
        <f>I28</f>
      </c>
      <c r="J39" s="18">
        <f>J28</f>
      </c>
      <c r="K39" s="18">
        <f>K28</f>
      </c>
      <c r="L39" s="18">
        <f>L28</f>
      </c>
      <c r="M39" s="18">
        <f>M28</f>
      </c>
      <c r="N39" s="18">
        <f>N28</f>
      </c>
      <c r="O39" s="18">
        <f>O28</f>
      </c>
      <c r="P39" s="18">
        <f>P28</f>
      </c>
      <c r="Q39" s="18">
        <f>Q28</f>
      </c>
      <c r="R39" s="18">
        <f>R28</f>
      </c>
      <c r="S39" s="18">
        <f>S28</f>
      </c>
      <c r="T39" s="18">
        <f>T28</f>
      </c>
      <c r="U39" s="18">
        <f>U28</f>
      </c>
      <c r="V39" s="18">
        <f>V28</f>
      </c>
      <c r="W39" s="18">
        <f>W28</f>
      </c>
      <c r="X39" s="18">
        <f>X28</f>
      </c>
      <c r="Y39" s="18">
        <f>Y28</f>
      </c>
      <c r="Z39" s="18">
        <f>Z28</f>
      </c>
      <c r="AA39" s="18">
        <f>AA28</f>
      </c>
      <c r="AB39" s="18">
        <f>AB28</f>
      </c>
      <c r="AC39" s="18">
        <f>AC28</f>
      </c>
      <c r="AD39" s="18">
        <f>AD28</f>
      </c>
      <c r="AE39" s="18">
        <f>AE28</f>
      </c>
      <c r="AF39" s="18">
        <f>AF28</f>
      </c>
      <c r="AG39" s="18">
        <f>AG28</f>
      </c>
      <c r="AH39" s="18">
        <f>AH28</f>
      </c>
      <c r="AI39" s="18">
        <f>AI28</f>
      </c>
      <c r="AJ39" s="18">
        <f>AJ28</f>
      </c>
      <c r="AK39" s="18">
        <f>AK28</f>
      </c>
      <c r="AL39" s="18">
        <f>AL28</f>
      </c>
      <c r="AM39" s="19"/>
    </row>
    <row r="40" ht="12.75" customHeight="1" spans="2:39" x14ac:dyDescent="0.25">
      <c r="B40" s="16"/>
      <c r="C40" s="17"/>
      <c r="D40" s="17" t="s">
        <v>44</v>
      </c>
      <c r="E40" s="17"/>
      <c r="F40" s="17"/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8">
        <f>AK33</f>
      </c>
      <c r="AL40" s="18">
        <f>AL33</f>
      </c>
      <c r="AM40" s="19"/>
    </row>
    <row r="41" ht="12.75" customHeight="1" spans="2:39" x14ac:dyDescent="0.25">
      <c r="B41" s="20"/>
      <c r="C41" s="21"/>
      <c r="D41" s="21" t="s">
        <v>45</v>
      </c>
      <c r="E41" s="21"/>
      <c r="F41" s="21"/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2">
        <f>AK37+AK38+AK39+AK40</f>
      </c>
      <c r="AL41" s="22">
        <f>AL37+AL38+AL39+AL40</f>
      </c>
      <c r="AM41" s="23"/>
    </row>
    <row r="43" ht="12.75" customHeight="1" spans="2:39" x14ac:dyDescent="0.25">
      <c r="B43" s="11" t="s">
        <v>46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47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5">
        <f>AK51+AK52+AK53+AK54</f>
      </c>
      <c r="AL55" s="25">
        <f>AL51+AL52+AL53+AL54</f>
      </c>
      <c r="AM5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725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86</v>
      </c>
      <c r="D9" s="32" t="s">
        <v>726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6">
        <f>3279.15+3354.98</f>
        <v>6634.13</v>
      </c>
      <c r="V9" s="32"/>
      <c r="W9" s="33">
        <v>2432.35</v>
      </c>
      <c r="X9" s="33">
        <v>1389.58</v>
      </c>
      <c r="Y9" s="33">
        <v>967.99</v>
      </c>
      <c r="Z9" s="33">
        <v>665.06</v>
      </c>
      <c r="AA9" s="33">
        <v>473.79</v>
      </c>
      <c r="AB9" s="33">
        <v>440.01</v>
      </c>
      <c r="AC9" s="33">
        <v>496.39</v>
      </c>
      <c r="AD9" s="36">
        <f>1231.80+504.70</f>
        <v>1736.5</v>
      </c>
      <c r="AE9" s="32"/>
      <c r="AF9" s="33">
        <v>2479.31</v>
      </c>
      <c r="AG9" s="33">
        <v>2619.19</v>
      </c>
      <c r="AH9" s="33">
        <v>2496.1</v>
      </c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65</v>
      </c>
      <c r="D14" s="32" t="s">
        <v>727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>
        <v>1134.46</v>
      </c>
      <c r="U14" s="33">
        <v>1263.44</v>
      </c>
      <c r="V14" s="33">
        <v>833.76</v>
      </c>
      <c r="W14" s="33">
        <v>1031.75</v>
      </c>
      <c r="X14" s="33">
        <v>1677.12</v>
      </c>
      <c r="Y14" s="33">
        <v>2134.76</v>
      </c>
      <c r="Z14" s="33">
        <v>3691.17</v>
      </c>
      <c r="AA14" s="33">
        <v>3793.09</v>
      </c>
      <c r="AB14" s="33">
        <v>3065.59</v>
      </c>
      <c r="AC14" s="33">
        <v>2188.44</v>
      </c>
      <c r="AD14" s="33">
        <v>1125.32</v>
      </c>
      <c r="AE14" s="33">
        <v>1028.75</v>
      </c>
      <c r="AF14" s="33">
        <v>1030.42</v>
      </c>
      <c r="AG14" s="33">
        <v>1011.15</v>
      </c>
      <c r="AH14" s="33">
        <v>1122.05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65</v>
      </c>
      <c r="D15" s="32" t="s">
        <v>728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1064.51</v>
      </c>
      <c r="U15" s="33">
        <v>1179.67</v>
      </c>
      <c r="V15" s="33">
        <v>959.34</v>
      </c>
      <c r="W15" s="33">
        <v>997.14</v>
      </c>
      <c r="X15" s="33">
        <v>1217.53</v>
      </c>
      <c r="Y15" s="33">
        <v>1529.88</v>
      </c>
      <c r="Z15" s="33">
        <v>2479.56</v>
      </c>
      <c r="AA15" s="33">
        <v>2677.27</v>
      </c>
      <c r="AB15" s="33">
        <v>2089.16</v>
      </c>
      <c r="AC15" s="33">
        <v>1686.55</v>
      </c>
      <c r="AD15" s="33">
        <v>881.24</v>
      </c>
      <c r="AE15" s="33">
        <v>976.09</v>
      </c>
      <c r="AF15" s="33">
        <v>1003.13</v>
      </c>
      <c r="AG15" s="33">
        <v>940.5</v>
      </c>
      <c r="AH15" s="33">
        <v>980.61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65</v>
      </c>
      <c r="D16" s="32" t="s">
        <v>729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6">
        <f>1923.99+38.56</f>
        <v>1962.55</v>
      </c>
      <c r="U16" s="36">
        <f>1820.11+38.56</f>
        <v>1858.6699999999998</v>
      </c>
      <c r="V16" s="36">
        <f>1404.71+38.56</f>
        <v>1443.27</v>
      </c>
      <c r="W16" s="36">
        <f>1269.01+38.56</f>
        <v>1307.57</v>
      </c>
      <c r="X16" s="36">
        <f>1543.50+38.37</f>
        <v>1581.87</v>
      </c>
      <c r="Y16" s="36">
        <f>2159.44+38.07</f>
        <v>2197.51</v>
      </c>
      <c r="Z16" s="36">
        <f>3672.67+38.07</f>
        <v>3710.7400000000002</v>
      </c>
      <c r="AA16" s="36">
        <f>3884.03+38.07</f>
        <v>3922.1000000000004</v>
      </c>
      <c r="AB16" s="36">
        <f>3112.36+38.07</f>
        <v>3150.4300000000003</v>
      </c>
      <c r="AC16" s="36">
        <f>2435.91+41.24</f>
        <v>2477.1499999999996</v>
      </c>
      <c r="AD16" s="36">
        <f>1291.28+41.50</f>
        <v>1332.78</v>
      </c>
      <c r="AE16" s="36">
        <f>1679.56+41.70</f>
        <v>1721.26</v>
      </c>
      <c r="AF16" s="36">
        <f>1645.27+41.70</f>
        <v>1686.97</v>
      </c>
      <c r="AG16" s="36">
        <f>1536.21+41.68</f>
        <v>1577.89</v>
      </c>
      <c r="AH16" s="36">
        <f>1372.35+41.68</f>
        <v>1414.03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65</v>
      </c>
      <c r="D17" s="32" t="s">
        <v>730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302.28</v>
      </c>
      <c r="U17" s="33">
        <v>270.14</v>
      </c>
      <c r="V17" s="33">
        <v>217.18</v>
      </c>
      <c r="W17" s="33">
        <v>238.35</v>
      </c>
      <c r="X17" s="33">
        <v>238.92</v>
      </c>
      <c r="Y17" s="33">
        <v>269.77</v>
      </c>
      <c r="Z17" s="33">
        <v>178.15</v>
      </c>
      <c r="AA17" s="33">
        <v>270.59</v>
      </c>
      <c r="AB17" s="33">
        <v>257.03</v>
      </c>
      <c r="AC17" s="33">
        <v>205.67</v>
      </c>
      <c r="AD17" s="33">
        <v>186.88</v>
      </c>
      <c r="AE17" s="33">
        <v>219.72</v>
      </c>
      <c r="AF17" s="33">
        <v>216.83</v>
      </c>
      <c r="AG17" s="33">
        <v>247.38</v>
      </c>
      <c r="AH17" s="33">
        <v>265.19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65</v>
      </c>
      <c r="D18" s="32" t="s">
        <v>731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702.49</v>
      </c>
      <c r="U18" s="33">
        <v>747.83</v>
      </c>
      <c r="V18" s="33">
        <v>575.25</v>
      </c>
      <c r="W18" s="33">
        <v>454.71</v>
      </c>
      <c r="X18" s="33">
        <v>545.3</v>
      </c>
      <c r="Y18" s="33">
        <v>651.7</v>
      </c>
      <c r="Z18" s="33">
        <v>1307.01</v>
      </c>
      <c r="AA18" s="33">
        <v>1309.41</v>
      </c>
      <c r="AB18" s="33">
        <v>1139.29</v>
      </c>
      <c r="AC18" s="33">
        <v>860.01</v>
      </c>
      <c r="AD18" s="33">
        <v>405.03</v>
      </c>
      <c r="AE18" s="33">
        <v>512.25</v>
      </c>
      <c r="AF18" s="33">
        <v>597.64</v>
      </c>
      <c r="AG18" s="33">
        <v>564.02</v>
      </c>
      <c r="AH18" s="33">
        <v>525.43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65</v>
      </c>
      <c r="D19" s="32" t="s">
        <v>732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2026.54</v>
      </c>
      <c r="U19" s="33">
        <v>1925.67</v>
      </c>
      <c r="V19" s="33">
        <v>1698.8</v>
      </c>
      <c r="W19" s="33">
        <v>1679.21</v>
      </c>
      <c r="X19" s="33">
        <v>1808.39</v>
      </c>
      <c r="Y19" s="33">
        <v>2352.47</v>
      </c>
      <c r="Z19" s="33">
        <v>3990.57</v>
      </c>
      <c r="AA19" s="33">
        <v>4142.1</v>
      </c>
      <c r="AB19" s="33">
        <v>3415.55</v>
      </c>
      <c r="AC19" s="33">
        <v>2545.4</v>
      </c>
      <c r="AD19" s="33">
        <v>1467.33</v>
      </c>
      <c r="AE19" s="33">
        <v>1614.37</v>
      </c>
      <c r="AF19" s="33">
        <v>1615.62</v>
      </c>
      <c r="AG19" s="33">
        <v>1349.93</v>
      </c>
      <c r="AH19" s="33">
        <v>1277.63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65</v>
      </c>
      <c r="D20" s="32" t="s">
        <v>733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1207.45</v>
      </c>
      <c r="U20" s="33">
        <v>1240.93</v>
      </c>
      <c r="V20" s="33">
        <v>918.17</v>
      </c>
      <c r="W20" s="33">
        <v>903.85</v>
      </c>
      <c r="X20" s="33">
        <v>1124.08</v>
      </c>
      <c r="Y20" s="33">
        <v>1658.49</v>
      </c>
      <c r="Z20" s="33">
        <v>2593.05</v>
      </c>
      <c r="AA20" s="33">
        <v>2679.36</v>
      </c>
      <c r="AB20" s="33">
        <v>2398.09</v>
      </c>
      <c r="AC20" s="33">
        <v>1925.09</v>
      </c>
      <c r="AD20" s="33">
        <v>1018.76</v>
      </c>
      <c r="AE20" s="33">
        <v>1249.11</v>
      </c>
      <c r="AF20" s="33">
        <v>1250.41</v>
      </c>
      <c r="AG20" s="33">
        <v>1133.31</v>
      </c>
      <c r="AH20" s="33">
        <v>1030.46</v>
      </c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85</v>
      </c>
      <c r="C22" s="21"/>
      <c r="D22" s="21"/>
      <c r="E22" s="22">
        <f>SUM(E14:E20)</f>
      </c>
      <c r="F22" s="22">
        <f>SUM(F14:F20)</f>
      </c>
      <c r="G22" s="22">
        <f>SUM(G14:G20)</f>
      </c>
      <c r="H22" s="22">
        <f>SUM(H14:H20)</f>
      </c>
      <c r="I22" s="22">
        <f>SUM(I14:I20)</f>
      </c>
      <c r="J22" s="22">
        <f>SUM(J14:J20)</f>
      </c>
      <c r="K22" s="22">
        <f>SUM(K14:K20)</f>
      </c>
      <c r="L22" s="22">
        <f>SUM(L14:L20)</f>
      </c>
      <c r="M22" s="22">
        <f>SUM(M14:M20)</f>
      </c>
      <c r="N22" s="22">
        <f>SUM(N14:N20)</f>
      </c>
      <c r="O22" s="22">
        <f>SUM(O14:O20)</f>
      </c>
      <c r="P22" s="22">
        <f>SUM(P14:P20)</f>
      </c>
      <c r="Q22" s="22">
        <f>SUM(Q14:Q20)</f>
      </c>
      <c r="R22" s="22">
        <f>SUM(R14:R20)</f>
      </c>
      <c r="S22" s="22">
        <f>SUM(S14:S20)</f>
      </c>
      <c r="T22" s="22">
        <f>SUM(T14:T20)</f>
      </c>
      <c r="U22" s="22">
        <f>SUM(U14:U20)</f>
      </c>
      <c r="V22" s="22">
        <f>SUM(V14:V20)</f>
      </c>
      <c r="W22" s="22">
        <f>SUM(W14:W20)</f>
      </c>
      <c r="X22" s="22">
        <f>SUM(X14:X20)</f>
      </c>
      <c r="Y22" s="22">
        <f>SUM(Y14:Y20)</f>
      </c>
      <c r="Z22" s="22">
        <f>SUM(Z14:Z20)</f>
      </c>
      <c r="AA22" s="22">
        <f>SUM(AA14:AA20)</f>
      </c>
      <c r="AB22" s="22">
        <f>SUM(AB14:AB20)</f>
      </c>
      <c r="AC22" s="22">
        <f>SUM(AC14:AC20)</f>
      </c>
      <c r="AD22" s="22">
        <f>SUM(AD14:AD20)</f>
      </c>
      <c r="AE22" s="22">
        <f>SUM(AE14:AE20)</f>
      </c>
      <c r="AF22" s="22">
        <f>SUM(AF14:AF20)</f>
      </c>
      <c r="AG22" s="22">
        <f>SUM(AG14:AG20)</f>
      </c>
      <c r="AH22" s="22">
        <f>SUM(AH14:AH20)</f>
      </c>
      <c r="AI22" s="22">
        <f>SUM(AI14:AI20)</f>
      </c>
      <c r="AJ22" s="22">
        <f>SUM(AJ14:AJ20)</f>
      </c>
      <c r="AK22" s="23"/>
    </row>
    <row r="24" ht="12.75" customHeight="1" spans="2:37" x14ac:dyDescent="0.25">
      <c r="B24" s="26" t="s">
        <v>43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43</v>
      </c>
      <c r="C25" s="31" t="s">
        <v>86</v>
      </c>
      <c r="D25" s="32" t="s">
        <v>726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6">
        <f>3684.43+4047.49+2272.70+2563.86</f>
        <v>12568.48</v>
      </c>
      <c r="V25" s="32"/>
      <c r="W25" s="36">
        <f>3928.27+4047.49</f>
        <v>7975.76</v>
      </c>
      <c r="X25" s="36">
        <f>3767.80+3926.21</f>
        <v>7694.01</v>
      </c>
      <c r="Y25" s="36">
        <f>3133.55+3446.87</f>
        <v>6580.42</v>
      </c>
      <c r="Z25" s="36">
        <f>3732.23+4076.37</f>
        <v>7808.6</v>
      </c>
      <c r="AA25" s="36">
        <f>4279.79+4313.16</f>
        <v>8592.95</v>
      </c>
      <c r="AB25" s="36">
        <f>4585.45+4544.16</f>
        <v>9129.61</v>
      </c>
      <c r="AC25" s="36">
        <f>5701.13+5387.35</f>
        <v>11088.48</v>
      </c>
      <c r="AD25" s="36">
        <f>4944.61+4815.60+5143.30+4965.75</f>
        <v>19869.26</v>
      </c>
      <c r="AE25" s="32"/>
      <c r="AF25" s="36">
        <f>2752.28+3077.25</f>
        <v>5829.530000000001</v>
      </c>
      <c r="AG25" s="36">
        <f>3102.97+3423.76</f>
        <v>6526.73</v>
      </c>
      <c r="AH25" s="36">
        <f>3981.78+4330.50</f>
        <v>8312.28</v>
      </c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89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29" ht="12.75" customHeight="1" spans="2:37" x14ac:dyDescent="0.25">
      <c r="B29" s="26" t="s">
        <v>44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0" t="s">
        <v>44</v>
      </c>
      <c r="C30" s="31" t="s">
        <v>86</v>
      </c>
      <c r="D30" s="32" t="s">
        <v>726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6">
        <f>599.00+543.23</f>
        <v>1142.23</v>
      </c>
      <c r="V30" s="32"/>
      <c r="W30" s="33">
        <v>599</v>
      </c>
      <c r="X30" s="33">
        <v>599</v>
      </c>
      <c r="Y30" s="33">
        <v>599</v>
      </c>
      <c r="Z30" s="33">
        <v>599</v>
      </c>
      <c r="AA30" s="33">
        <v>599</v>
      </c>
      <c r="AB30" s="33">
        <v>599</v>
      </c>
      <c r="AC30" s="33">
        <v>599</v>
      </c>
      <c r="AD30" s="36">
        <f>599.00+599.00</f>
        <v>1198</v>
      </c>
      <c r="AE30" s="32"/>
      <c r="AF30" s="33">
        <v>599</v>
      </c>
      <c r="AG30" s="33">
        <v>599</v>
      </c>
      <c r="AH30" s="33">
        <v>646.32</v>
      </c>
      <c r="AI30" s="32"/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90</v>
      </c>
      <c r="C32" s="21"/>
      <c r="D32" s="21"/>
      <c r="E32" s="22">
        <f>SUM(E30:E30)</f>
      </c>
      <c r="F32" s="22">
        <f>SUM(F30:F30)</f>
      </c>
      <c r="G32" s="22">
        <f>SUM(G30:G30)</f>
      </c>
      <c r="H32" s="22">
        <f>SUM(H30:H30)</f>
      </c>
      <c r="I32" s="22">
        <f>SUM(I30:I30)</f>
      </c>
      <c r="J32" s="22">
        <f>SUM(J30:J30)</f>
      </c>
      <c r="K32" s="22">
        <f>SUM(K30:K30)</f>
      </c>
      <c r="L32" s="22">
        <f>SUM(L30:L30)</f>
      </c>
      <c r="M32" s="22">
        <f>SUM(M30:M30)</f>
      </c>
      <c r="N32" s="22">
        <f>SUM(N30:N30)</f>
      </c>
      <c r="O32" s="22">
        <f>SUM(O30:O30)</f>
      </c>
      <c r="P32" s="22">
        <f>SUM(P30:P30)</f>
      </c>
      <c r="Q32" s="22">
        <f>SUM(Q30:Q30)</f>
      </c>
      <c r="R32" s="22">
        <f>SUM(R30:R30)</f>
      </c>
      <c r="S32" s="22">
        <f>SUM(S30:S30)</f>
      </c>
      <c r="T32" s="22">
        <f>SUM(T30:T30)</f>
      </c>
      <c r="U32" s="22">
        <f>SUM(U30:U30)</f>
      </c>
      <c r="V32" s="22">
        <f>SUM(V30:V30)</f>
      </c>
      <c r="W32" s="22">
        <f>SUM(W30:W30)</f>
      </c>
      <c r="X32" s="22">
        <f>SUM(X30:X30)</f>
      </c>
      <c r="Y32" s="22">
        <f>SUM(Y30:Y30)</f>
      </c>
      <c r="Z32" s="22">
        <f>SUM(Z30:Z30)</f>
      </c>
      <c r="AA32" s="22">
        <f>SUM(AA30:AA30)</f>
      </c>
      <c r="AB32" s="22">
        <f>SUM(AB30:AB30)</f>
      </c>
      <c r="AC32" s="22">
        <f>SUM(AC30:AC30)</f>
      </c>
      <c r="AD32" s="22">
        <f>SUM(AD30:AD30)</f>
      </c>
      <c r="AE32" s="22">
        <f>SUM(AE30:AE30)</f>
      </c>
      <c r="AF32" s="22">
        <f>SUM(AF30:AF30)</f>
      </c>
      <c r="AG32" s="22">
        <f>SUM(AG30:AG30)</f>
      </c>
      <c r="AH32" s="22">
        <f>SUM(AH30:AH30)</f>
      </c>
      <c r="AI32" s="22">
        <f>SUM(AI30:AI30)</f>
      </c>
      <c r="AJ32" s="22">
        <f>SUM(AJ30:AJ30)</f>
      </c>
      <c r="AK32" s="23"/>
    </row>
    <row r="35" ht="12.75" customHeight="1" spans="2:37" x14ac:dyDescent="0.25">
      <c r="B35" s="11" t="s">
        <v>40</v>
      </c>
      <c r="C35" s="12"/>
      <c r="D35" s="13"/>
      <c r="E35" s="14" t="s">
        <v>7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  <c r="K35" s="14" t="s">
        <v>13</v>
      </c>
      <c r="L35" s="14" t="s">
        <v>14</v>
      </c>
      <c r="M35" s="14" t="s">
        <v>15</v>
      </c>
      <c r="N35" s="14" t="s">
        <v>16</v>
      </c>
      <c r="O35" s="14" t="s">
        <v>17</v>
      </c>
      <c r="P35" s="14" t="s">
        <v>18</v>
      </c>
      <c r="Q35" s="14" t="s">
        <v>19</v>
      </c>
      <c r="R35" s="14" t="s">
        <v>20</v>
      </c>
      <c r="S35" s="14" t="s">
        <v>21</v>
      </c>
      <c r="T35" s="14" t="s">
        <v>22</v>
      </c>
      <c r="U35" s="14" t="s">
        <v>23</v>
      </c>
      <c r="V35" s="14" t="s">
        <v>24</v>
      </c>
      <c r="W35" s="14" t="s">
        <v>25</v>
      </c>
      <c r="X35" s="14" t="s">
        <v>26</v>
      </c>
      <c r="Y35" s="14" t="s">
        <v>27</v>
      </c>
      <c r="Z35" s="14" t="s">
        <v>28</v>
      </c>
      <c r="AA35" s="14" t="s">
        <v>29</v>
      </c>
      <c r="AB35" s="14" t="s">
        <v>30</v>
      </c>
      <c r="AC35" s="14" t="s">
        <v>31</v>
      </c>
      <c r="AD35" s="14" t="s">
        <v>32</v>
      </c>
      <c r="AE35" s="14" t="s">
        <v>33</v>
      </c>
      <c r="AF35" s="14" t="s">
        <v>34</v>
      </c>
      <c r="AG35" s="14" t="s">
        <v>35</v>
      </c>
      <c r="AH35" s="14" t="s">
        <v>36</v>
      </c>
      <c r="AI35" s="14" t="s">
        <v>37</v>
      </c>
      <c r="AJ35" s="14" t="s">
        <v>38</v>
      </c>
      <c r="AK35" s="15"/>
    </row>
    <row r="36" ht="12.75" customHeight="1" spans="2:37" x14ac:dyDescent="0.25">
      <c r="B36" s="16" t="s">
        <v>41</v>
      </c>
      <c r="C36" s="17"/>
      <c r="D36" s="17"/>
      <c r="E36" s="18">
        <f>E11</f>
      </c>
      <c r="F36" s="18">
        <f>F11</f>
      </c>
      <c r="G36" s="18">
        <f>G11</f>
      </c>
      <c r="H36" s="18">
        <f>H11</f>
      </c>
      <c r="I36" s="18">
        <f>I11</f>
      </c>
      <c r="J36" s="18">
        <f>J11</f>
      </c>
      <c r="K36" s="18">
        <f>K11</f>
      </c>
      <c r="L36" s="18">
        <f>L11</f>
      </c>
      <c r="M36" s="18">
        <f>M11</f>
      </c>
      <c r="N36" s="18">
        <f>N11</f>
      </c>
      <c r="O36" s="18">
        <f>O11</f>
      </c>
      <c r="P36" s="18">
        <f>P11</f>
      </c>
      <c r="Q36" s="18">
        <f>Q11</f>
      </c>
      <c r="R36" s="18">
        <f>R11</f>
      </c>
      <c r="S36" s="18">
        <f>S11</f>
      </c>
      <c r="T36" s="18">
        <f>T11</f>
      </c>
      <c r="U36" s="18">
        <f>U11</f>
      </c>
      <c r="V36" s="18">
        <f>V11</f>
      </c>
      <c r="W36" s="18">
        <f>W11</f>
      </c>
      <c r="X36" s="18">
        <f>X11</f>
      </c>
      <c r="Y36" s="18">
        <f>Y11</f>
      </c>
      <c r="Z36" s="18">
        <f>Z11</f>
      </c>
      <c r="AA36" s="18">
        <f>AA11</f>
      </c>
      <c r="AB36" s="18">
        <f>AB11</f>
      </c>
      <c r="AC36" s="18">
        <f>AC11</f>
      </c>
      <c r="AD36" s="18">
        <f>AD11</f>
      </c>
      <c r="AE36" s="18">
        <f>AE11</f>
      </c>
      <c r="AF36" s="18">
        <f>AF11</f>
      </c>
      <c r="AG36" s="18">
        <f>AG11</f>
      </c>
      <c r="AH36" s="18">
        <f>AH11</f>
      </c>
      <c r="AI36" s="18">
        <f>AI11</f>
      </c>
      <c r="AJ36" s="18">
        <f>AJ11</f>
      </c>
      <c r="AK36" s="19"/>
    </row>
    <row r="37" ht="12.75" customHeight="1" spans="2:37" x14ac:dyDescent="0.25">
      <c r="B37" s="16" t="s">
        <v>42</v>
      </c>
      <c r="C37" s="17"/>
      <c r="D37" s="17"/>
      <c r="E37" s="18">
        <f>E22</f>
      </c>
      <c r="F37" s="18">
        <f>F22</f>
      </c>
      <c r="G37" s="18">
        <f>G22</f>
      </c>
      <c r="H37" s="18">
        <f>H22</f>
      </c>
      <c r="I37" s="18">
        <f>I22</f>
      </c>
      <c r="J37" s="18">
        <f>J22</f>
      </c>
      <c r="K37" s="18">
        <f>K22</f>
      </c>
      <c r="L37" s="18">
        <f>L22</f>
      </c>
      <c r="M37" s="18">
        <f>M22</f>
      </c>
      <c r="N37" s="18">
        <f>N22</f>
      </c>
      <c r="O37" s="18">
        <f>O22</f>
      </c>
      <c r="P37" s="18">
        <f>P22</f>
      </c>
      <c r="Q37" s="18">
        <f>Q22</f>
      </c>
      <c r="R37" s="18">
        <f>R22</f>
      </c>
      <c r="S37" s="18">
        <f>S22</f>
      </c>
      <c r="T37" s="18">
        <f>T22</f>
      </c>
      <c r="U37" s="18">
        <f>U22</f>
      </c>
      <c r="V37" s="18">
        <f>V22</f>
      </c>
      <c r="W37" s="18">
        <f>W22</f>
      </c>
      <c r="X37" s="18">
        <f>X22</f>
      </c>
      <c r="Y37" s="18">
        <f>Y22</f>
      </c>
      <c r="Z37" s="18">
        <f>Z22</f>
      </c>
      <c r="AA37" s="18">
        <f>AA22</f>
      </c>
      <c r="AB37" s="18">
        <f>AB22</f>
      </c>
      <c r="AC37" s="18">
        <f>AC22</f>
      </c>
      <c r="AD37" s="18">
        <f>AD22</f>
      </c>
      <c r="AE37" s="18">
        <f>AE22</f>
      </c>
      <c r="AF37" s="18">
        <f>AF22</f>
      </c>
      <c r="AG37" s="18">
        <f>AG22</f>
      </c>
      <c r="AH37" s="18">
        <f>AH22</f>
      </c>
      <c r="AI37" s="18">
        <f>AI22</f>
      </c>
      <c r="AJ37" s="18">
        <f>AJ22</f>
      </c>
      <c r="AK37" s="19"/>
    </row>
    <row r="38" ht="12.75" customHeight="1" spans="2:37" x14ac:dyDescent="0.25">
      <c r="B38" s="16" t="s">
        <v>43</v>
      </c>
      <c r="C38" s="17"/>
      <c r="D38" s="17"/>
      <c r="E38" s="18">
        <f>E27</f>
      </c>
      <c r="F38" s="18">
        <f>F27</f>
      </c>
      <c r="G38" s="18">
        <f>G27</f>
      </c>
      <c r="H38" s="18">
        <f>H27</f>
      </c>
      <c r="I38" s="18">
        <f>I27</f>
      </c>
      <c r="J38" s="18">
        <f>J27</f>
      </c>
      <c r="K38" s="18">
        <f>K27</f>
      </c>
      <c r="L38" s="18">
        <f>L27</f>
      </c>
      <c r="M38" s="18">
        <f>M27</f>
      </c>
      <c r="N38" s="18">
        <f>N27</f>
      </c>
      <c r="O38" s="18">
        <f>O27</f>
      </c>
      <c r="P38" s="18">
        <f>P27</f>
      </c>
      <c r="Q38" s="18">
        <f>Q27</f>
      </c>
      <c r="R38" s="18">
        <f>R27</f>
      </c>
      <c r="S38" s="18">
        <f>S27</f>
      </c>
      <c r="T38" s="18">
        <f>T27</f>
      </c>
      <c r="U38" s="18">
        <f>U27</f>
      </c>
      <c r="V38" s="18">
        <f>V27</f>
      </c>
      <c r="W38" s="18">
        <f>W27</f>
      </c>
      <c r="X38" s="18">
        <f>X27</f>
      </c>
      <c r="Y38" s="18">
        <f>Y27</f>
      </c>
      <c r="Z38" s="18">
        <f>Z27</f>
      </c>
      <c r="AA38" s="18">
        <f>AA27</f>
      </c>
      <c r="AB38" s="18">
        <f>AB27</f>
      </c>
      <c r="AC38" s="18">
        <f>AC27</f>
      </c>
      <c r="AD38" s="18">
        <f>AD27</f>
      </c>
      <c r="AE38" s="18">
        <f>AE27</f>
      </c>
      <c r="AF38" s="18">
        <f>AF27</f>
      </c>
      <c r="AG38" s="18">
        <f>AG27</f>
      </c>
      <c r="AH38" s="18">
        <f>AH27</f>
      </c>
      <c r="AI38" s="18">
        <f>AI27</f>
      </c>
      <c r="AJ38" s="18">
        <f>AJ27</f>
      </c>
      <c r="AK38" s="19"/>
    </row>
    <row r="39" ht="12.75" customHeight="1" spans="2:37" x14ac:dyDescent="0.25">
      <c r="B39" s="16" t="s">
        <v>44</v>
      </c>
      <c r="C39" s="17"/>
      <c r="D39" s="17"/>
      <c r="E39" s="18">
        <f>E32</f>
      </c>
      <c r="F39" s="18">
        <f>F32</f>
      </c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9"/>
    </row>
    <row r="40" ht="12.75" customHeight="1" spans="2:37" x14ac:dyDescent="0.25">
      <c r="B40" s="20" t="s">
        <v>45</v>
      </c>
      <c r="C40" s="21"/>
      <c r="D40" s="21"/>
      <c r="E40" s="22">
        <f>E36+E37+E38+E39</f>
      </c>
      <c r="F40" s="22">
        <f>F36+F37+F38+F39</f>
      </c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3"/>
    </row>
    <row r="42" ht="12.75" customHeight="1" spans="2:37" x14ac:dyDescent="0.25">
      <c r="B42" s="11" t="s">
        <v>46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42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43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44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47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42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43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44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20" t="s">
        <v>45</v>
      </c>
      <c r="C54" s="21"/>
      <c r="D54" s="21"/>
      <c r="E54" s="25">
        <f>E50+E51+E52+E53</f>
      </c>
      <c r="F54" s="25">
        <f>F50+F51+F52+F53</f>
      </c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725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734</v>
      </c>
      <c r="W8" s="44" t="s">
        <v>735</v>
      </c>
      <c r="X8" s="44" t="s">
        <v>736</v>
      </c>
      <c r="Y8" s="44" t="s">
        <v>737</v>
      </c>
      <c r="Z8" s="44" t="s">
        <v>738</v>
      </c>
      <c r="AA8" s="44" t="s">
        <v>739</v>
      </c>
      <c r="AB8" s="44" t="s">
        <v>740</v>
      </c>
      <c r="AC8" s="44" t="s">
        <v>741</v>
      </c>
      <c r="AD8" s="44" t="s">
        <v>742</v>
      </c>
      <c r="AE8" s="44" t="s">
        <v>743</v>
      </c>
      <c r="AF8" s="44" t="s">
        <v>744</v>
      </c>
      <c r="AG8" s="44" t="s">
        <v>745</v>
      </c>
      <c r="AH8" s="44" t="s">
        <v>746</v>
      </c>
      <c r="AI8" s="44" t="s">
        <v>747</v>
      </c>
      <c r="AJ8" s="44" t="s">
        <v>748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725</v>
      </c>
      <c r="D10" s="50" t="s">
        <v>41</v>
      </c>
      <c r="E10" s="32" t="s">
        <v>86</v>
      </c>
      <c r="F10" s="32" t="s">
        <v>726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>
        <f>3279.15+3354.98</f>
        <v>6634.13</v>
      </c>
      <c r="X10" s="32"/>
      <c r="Y10" s="33">
        <v>2432.35</v>
      </c>
      <c r="Z10" s="33">
        <v>1389.58</v>
      </c>
      <c r="AA10" s="33">
        <v>967.99</v>
      </c>
      <c r="AB10" s="33">
        <v>665.06</v>
      </c>
      <c r="AC10" s="33">
        <v>473.79</v>
      </c>
      <c r="AD10" s="33">
        <v>440.01</v>
      </c>
      <c r="AE10" s="33">
        <v>496.39</v>
      </c>
      <c r="AF10" s="33">
        <f>1231.80+504.70</f>
        <v>1736.5</v>
      </c>
      <c r="AG10" s="32"/>
      <c r="AH10" s="33">
        <v>2479.31</v>
      </c>
      <c r="AI10" s="33">
        <v>2619.19</v>
      </c>
      <c r="AJ10" s="33">
        <v>2496.1</v>
      </c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725</v>
      </c>
      <c r="D15" s="50" t="s">
        <v>42</v>
      </c>
      <c r="E15" s="32" t="s">
        <v>65</v>
      </c>
      <c r="F15" s="32" t="s">
        <v>727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v>1134.46</v>
      </c>
      <c r="W15" s="33">
        <v>1263.44</v>
      </c>
      <c r="X15" s="33">
        <v>833.76</v>
      </c>
      <c r="Y15" s="33">
        <v>1031.75</v>
      </c>
      <c r="Z15" s="33">
        <v>1677.12</v>
      </c>
      <c r="AA15" s="33">
        <v>2134.76</v>
      </c>
      <c r="AB15" s="33">
        <v>3691.17</v>
      </c>
      <c r="AC15" s="33">
        <v>3793.09</v>
      </c>
      <c r="AD15" s="33">
        <v>3065.59</v>
      </c>
      <c r="AE15" s="33">
        <v>2188.44</v>
      </c>
      <c r="AF15" s="33">
        <v>1125.32</v>
      </c>
      <c r="AG15" s="33">
        <v>1028.75</v>
      </c>
      <c r="AH15" s="33">
        <v>1030.42</v>
      </c>
      <c r="AI15" s="33">
        <v>1011.15</v>
      </c>
      <c r="AJ15" s="33">
        <v>1122.05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725</v>
      </c>
      <c r="D16" s="50" t="s">
        <v>42</v>
      </c>
      <c r="E16" s="32" t="s">
        <v>65</v>
      </c>
      <c r="F16" s="32" t="s">
        <v>728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1064.51</v>
      </c>
      <c r="W16" s="33">
        <v>1179.67</v>
      </c>
      <c r="X16" s="33">
        <v>959.34</v>
      </c>
      <c r="Y16" s="33">
        <v>997.14</v>
      </c>
      <c r="Z16" s="33">
        <v>1217.53</v>
      </c>
      <c r="AA16" s="33">
        <v>1529.88</v>
      </c>
      <c r="AB16" s="33">
        <v>2479.56</v>
      </c>
      <c r="AC16" s="33">
        <v>2677.27</v>
      </c>
      <c r="AD16" s="33">
        <v>2089.16</v>
      </c>
      <c r="AE16" s="33">
        <v>1686.55</v>
      </c>
      <c r="AF16" s="33">
        <v>881.24</v>
      </c>
      <c r="AG16" s="33">
        <v>976.09</v>
      </c>
      <c r="AH16" s="33">
        <v>1003.13</v>
      </c>
      <c r="AI16" s="33">
        <v>940.5</v>
      </c>
      <c r="AJ16" s="33">
        <v>980.61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725</v>
      </c>
      <c r="D17" s="50" t="s">
        <v>42</v>
      </c>
      <c r="E17" s="32" t="s">
        <v>65</v>
      </c>
      <c r="F17" s="32" t="s">
        <v>729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f>1923.99+38.56</f>
        <v>1962.55</v>
      </c>
      <c r="W17" s="33">
        <f>1820.11+38.56</f>
        <v>1858.6699999999998</v>
      </c>
      <c r="X17" s="33">
        <f>1404.71+38.56</f>
        <v>1443.27</v>
      </c>
      <c r="Y17" s="33">
        <f>1269.01+38.56</f>
        <v>1307.57</v>
      </c>
      <c r="Z17" s="33">
        <f>1543.50+38.37</f>
        <v>1581.87</v>
      </c>
      <c r="AA17" s="33">
        <f>2159.44+38.07</f>
        <v>2197.51</v>
      </c>
      <c r="AB17" s="33">
        <f>3672.67+38.07</f>
        <v>3710.7400000000002</v>
      </c>
      <c r="AC17" s="33">
        <f>3884.03+38.07</f>
        <v>3922.1000000000004</v>
      </c>
      <c r="AD17" s="33">
        <f>3112.36+38.07</f>
        <v>3150.4300000000003</v>
      </c>
      <c r="AE17" s="33">
        <f>2435.91+41.24</f>
        <v>2477.1499999999996</v>
      </c>
      <c r="AF17" s="33">
        <f>1291.28+41.50</f>
        <v>1332.78</v>
      </c>
      <c r="AG17" s="33">
        <f>1679.56+41.70</f>
        <v>1721.26</v>
      </c>
      <c r="AH17" s="33">
        <f>1645.27+41.70</f>
        <v>1686.97</v>
      </c>
      <c r="AI17" s="33">
        <f>1536.21+41.68</f>
        <v>1577.89</v>
      </c>
      <c r="AJ17" s="33">
        <f>1372.35+41.68</f>
        <v>1414.03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725</v>
      </c>
      <c r="D18" s="50" t="s">
        <v>42</v>
      </c>
      <c r="E18" s="32" t="s">
        <v>65</v>
      </c>
      <c r="F18" s="32" t="s">
        <v>730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302.28</v>
      </c>
      <c r="W18" s="33">
        <v>270.14</v>
      </c>
      <c r="X18" s="33">
        <v>217.18</v>
      </c>
      <c r="Y18" s="33">
        <v>238.35</v>
      </c>
      <c r="Z18" s="33">
        <v>238.92</v>
      </c>
      <c r="AA18" s="33">
        <v>269.77</v>
      </c>
      <c r="AB18" s="33">
        <v>178.15</v>
      </c>
      <c r="AC18" s="33">
        <v>270.59</v>
      </c>
      <c r="AD18" s="33">
        <v>257.03</v>
      </c>
      <c r="AE18" s="33">
        <v>205.67</v>
      </c>
      <c r="AF18" s="33">
        <v>186.88</v>
      </c>
      <c r="AG18" s="33">
        <v>219.72</v>
      </c>
      <c r="AH18" s="33">
        <v>216.83</v>
      </c>
      <c r="AI18" s="33">
        <v>247.38</v>
      </c>
      <c r="AJ18" s="33">
        <v>265.19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725</v>
      </c>
      <c r="D19" s="50" t="s">
        <v>42</v>
      </c>
      <c r="E19" s="32" t="s">
        <v>65</v>
      </c>
      <c r="F19" s="32" t="s">
        <v>731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702.49</v>
      </c>
      <c r="W19" s="33">
        <v>747.83</v>
      </c>
      <c r="X19" s="33">
        <v>575.25</v>
      </c>
      <c r="Y19" s="33">
        <v>454.71</v>
      </c>
      <c r="Z19" s="33">
        <v>545.3</v>
      </c>
      <c r="AA19" s="33">
        <v>651.7</v>
      </c>
      <c r="AB19" s="33">
        <v>1307.01</v>
      </c>
      <c r="AC19" s="33">
        <v>1309.41</v>
      </c>
      <c r="AD19" s="33">
        <v>1139.29</v>
      </c>
      <c r="AE19" s="33">
        <v>860.01</v>
      </c>
      <c r="AF19" s="33">
        <v>405.03</v>
      </c>
      <c r="AG19" s="33">
        <v>512.25</v>
      </c>
      <c r="AH19" s="33">
        <v>597.64</v>
      </c>
      <c r="AI19" s="33">
        <v>564.02</v>
      </c>
      <c r="AJ19" s="33">
        <v>525.43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725</v>
      </c>
      <c r="D20" s="50" t="s">
        <v>42</v>
      </c>
      <c r="E20" s="32" t="s">
        <v>65</v>
      </c>
      <c r="F20" s="32" t="s">
        <v>732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2026.54</v>
      </c>
      <c r="W20" s="33">
        <v>1925.67</v>
      </c>
      <c r="X20" s="33">
        <v>1698.8</v>
      </c>
      <c r="Y20" s="33">
        <v>1679.21</v>
      </c>
      <c r="Z20" s="33">
        <v>1808.39</v>
      </c>
      <c r="AA20" s="33">
        <v>2352.47</v>
      </c>
      <c r="AB20" s="33">
        <v>3990.57</v>
      </c>
      <c r="AC20" s="33">
        <v>4142.1</v>
      </c>
      <c r="AD20" s="33">
        <v>3415.55</v>
      </c>
      <c r="AE20" s="33">
        <v>2545.4</v>
      </c>
      <c r="AF20" s="33">
        <v>1467.33</v>
      </c>
      <c r="AG20" s="33">
        <v>1614.37</v>
      </c>
      <c r="AH20" s="33">
        <v>1615.62</v>
      </c>
      <c r="AI20" s="33">
        <v>1349.93</v>
      </c>
      <c r="AJ20" s="33">
        <v>1277.63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725</v>
      </c>
      <c r="D21" s="50" t="s">
        <v>42</v>
      </c>
      <c r="E21" s="32" t="s">
        <v>65</v>
      </c>
      <c r="F21" s="32" t="s">
        <v>733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1207.45</v>
      </c>
      <c r="W21" s="33">
        <v>1240.93</v>
      </c>
      <c r="X21" s="33">
        <v>918.17</v>
      </c>
      <c r="Y21" s="33">
        <v>903.85</v>
      </c>
      <c r="Z21" s="33">
        <v>1124.08</v>
      </c>
      <c r="AA21" s="33">
        <v>1658.49</v>
      </c>
      <c r="AB21" s="33">
        <v>2593.05</v>
      </c>
      <c r="AC21" s="33">
        <v>2679.36</v>
      </c>
      <c r="AD21" s="33">
        <v>2398.09</v>
      </c>
      <c r="AE21" s="33">
        <v>1925.09</v>
      </c>
      <c r="AF21" s="33">
        <v>1018.76</v>
      </c>
      <c r="AG21" s="33">
        <v>1249.11</v>
      </c>
      <c r="AH21" s="33">
        <v>1250.41</v>
      </c>
      <c r="AI21" s="33">
        <v>1133.31</v>
      </c>
      <c r="AJ21" s="33">
        <v>1030.46</v>
      </c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85</v>
      </c>
      <c r="E23" s="21"/>
      <c r="F23" s="21"/>
      <c r="G23" s="22">
        <f>SUM(G15:G21)</f>
      </c>
      <c r="H23" s="22">
        <f>SUM(H15:H21)</f>
      </c>
      <c r="I23" s="22">
        <f>SUM(I15:I21)</f>
      </c>
      <c r="J23" s="22">
        <f>SUM(J15:J21)</f>
      </c>
      <c r="K23" s="22">
        <f>SUM(K15:K21)</f>
      </c>
      <c r="L23" s="22">
        <f>SUM(L15:L21)</f>
      </c>
      <c r="M23" s="22">
        <f>SUM(M15:M21)</f>
      </c>
      <c r="N23" s="22">
        <f>SUM(N15:N21)</f>
      </c>
      <c r="O23" s="22">
        <f>SUM(O15:O21)</f>
      </c>
      <c r="P23" s="22">
        <f>SUM(P15:P21)</f>
      </c>
      <c r="Q23" s="22">
        <f>SUM(Q15:Q21)</f>
      </c>
      <c r="R23" s="22">
        <f>SUM(R15:R21)</f>
      </c>
      <c r="S23" s="22">
        <f>SUM(S15:S21)</f>
      </c>
      <c r="T23" s="22">
        <f>SUM(T15:T21)</f>
      </c>
      <c r="U23" s="22">
        <f>SUM(U15:U21)</f>
      </c>
      <c r="V23" s="22">
        <f>SUM(V15:V21)</f>
      </c>
      <c r="W23" s="22">
        <f>SUM(W15:W21)</f>
      </c>
      <c r="X23" s="22">
        <f>SUM(X15:X21)</f>
      </c>
      <c r="Y23" s="22">
        <f>SUM(Y15:Y21)</f>
      </c>
      <c r="Z23" s="22">
        <f>SUM(Z15:Z21)</f>
      </c>
      <c r="AA23" s="22">
        <f>SUM(AA15:AA21)</f>
      </c>
      <c r="AB23" s="22">
        <f>SUM(AB15:AB21)</f>
      </c>
      <c r="AC23" s="22">
        <f>SUM(AC15:AC21)</f>
      </c>
      <c r="AD23" s="22">
        <f>SUM(AD15:AD21)</f>
      </c>
      <c r="AE23" s="22">
        <f>SUM(AE15:AE21)</f>
      </c>
      <c r="AF23" s="22">
        <f>SUM(AF15:AF21)</f>
      </c>
      <c r="AG23" s="22">
        <f>SUM(AG15:AG21)</f>
      </c>
      <c r="AH23" s="22">
        <f>SUM(AH15:AH21)</f>
      </c>
      <c r="AI23" s="22">
        <f>SUM(AI15:AI21)</f>
      </c>
      <c r="AJ23" s="22">
        <f>SUM(AJ15:AJ21)</f>
      </c>
      <c r="AK23" s="22">
        <f>SUM(AK15:AK21)</f>
      </c>
      <c r="AL23" s="22">
        <f>SUM(AL15:AL21)</f>
      </c>
      <c r="AM23" s="23"/>
    </row>
    <row r="25" ht="13.5" customHeight="1" spans="2:39" x14ac:dyDescent="0.25">
      <c r="B25" s="46"/>
      <c r="C25" s="28"/>
      <c r="D25" s="47" t="s">
        <v>43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725</v>
      </c>
      <c r="D26" s="50" t="s">
        <v>43</v>
      </c>
      <c r="E26" s="32" t="s">
        <v>86</v>
      </c>
      <c r="F26" s="32" t="s">
        <v>726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>
        <f>3684.43+4047.49+2272.70+2563.86</f>
        <v>12568.48</v>
      </c>
      <c r="X26" s="32"/>
      <c r="Y26" s="33">
        <f>3928.27+4047.49</f>
        <v>7975.76</v>
      </c>
      <c r="Z26" s="33">
        <f>3767.80+3926.21</f>
        <v>7694.01</v>
      </c>
      <c r="AA26" s="33">
        <f>3133.55+3446.87</f>
        <v>6580.42</v>
      </c>
      <c r="AB26" s="33">
        <f>3732.23+4076.37</f>
        <v>7808.6</v>
      </c>
      <c r="AC26" s="33">
        <f>4279.79+4313.16</f>
        <v>8592.95</v>
      </c>
      <c r="AD26" s="33">
        <f>4585.45+4544.16</f>
        <v>9129.61</v>
      </c>
      <c r="AE26" s="33">
        <f>5701.13+5387.35</f>
        <v>11088.48</v>
      </c>
      <c r="AF26" s="33">
        <f>4944.61+4815.60+5143.30+4965.75</f>
        <v>19869.26</v>
      </c>
      <c r="AG26" s="32"/>
      <c r="AH26" s="33">
        <f>2752.28+3077.25</f>
        <v>5829.530000000001</v>
      </c>
      <c r="AI26" s="33">
        <f>3102.97+3423.76</f>
        <v>6526.73</v>
      </c>
      <c r="AJ26" s="33">
        <f>3981.78+4330.50</f>
        <v>8312.28</v>
      </c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89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0" ht="13.5" customHeight="1" spans="2:39" x14ac:dyDescent="0.25">
      <c r="B30" s="46"/>
      <c r="C30" s="28"/>
      <c r="D30" s="47" t="s">
        <v>44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48" t="s">
        <v>3</v>
      </c>
      <c r="C31" s="49" t="s">
        <v>725</v>
      </c>
      <c r="D31" s="50" t="s">
        <v>44</v>
      </c>
      <c r="E31" s="32" t="s">
        <v>86</v>
      </c>
      <c r="F31" s="32" t="s">
        <v>726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3">
        <f>599.00+543.23</f>
        <v>1142.23</v>
      </c>
      <c r="X31" s="32"/>
      <c r="Y31" s="33">
        <v>599</v>
      </c>
      <c r="Z31" s="33">
        <v>599</v>
      </c>
      <c r="AA31" s="33">
        <v>599</v>
      </c>
      <c r="AB31" s="33">
        <v>599</v>
      </c>
      <c r="AC31" s="33">
        <v>599</v>
      </c>
      <c r="AD31" s="33">
        <v>599</v>
      </c>
      <c r="AE31" s="33">
        <v>599</v>
      </c>
      <c r="AF31" s="33">
        <f>599.00+599.00</f>
        <v>1198</v>
      </c>
      <c r="AG31" s="32"/>
      <c r="AH31" s="33">
        <v>599</v>
      </c>
      <c r="AI31" s="33">
        <v>599</v>
      </c>
      <c r="AJ31" s="33">
        <v>646.32</v>
      </c>
      <c r="AK31" s="32"/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90</v>
      </c>
      <c r="E33" s="21"/>
      <c r="F33" s="21"/>
      <c r="G33" s="22">
        <f>SUM(G31:G31)</f>
      </c>
      <c r="H33" s="22">
        <f>SUM(H31:H31)</f>
      </c>
      <c r="I33" s="22">
        <f>SUM(I31:I31)</f>
      </c>
      <c r="J33" s="22">
        <f>SUM(J31:J31)</f>
      </c>
      <c r="K33" s="22">
        <f>SUM(K31:K31)</f>
      </c>
      <c r="L33" s="22">
        <f>SUM(L31:L31)</f>
      </c>
      <c r="M33" s="22">
        <f>SUM(M31:M31)</f>
      </c>
      <c r="N33" s="22">
        <f>SUM(N31:N31)</f>
      </c>
      <c r="O33" s="22">
        <f>SUM(O31:O31)</f>
      </c>
      <c r="P33" s="22">
        <f>SUM(P31:P31)</f>
      </c>
      <c r="Q33" s="22">
        <f>SUM(Q31:Q31)</f>
      </c>
      <c r="R33" s="22">
        <f>SUM(R31:R31)</f>
      </c>
      <c r="S33" s="22">
        <f>SUM(S31:S31)</f>
      </c>
      <c r="T33" s="22">
        <f>SUM(T31:T31)</f>
      </c>
      <c r="U33" s="22">
        <f>SUM(U31:U31)</f>
      </c>
      <c r="V33" s="22">
        <f>SUM(V31:V31)</f>
      </c>
      <c r="W33" s="22">
        <f>SUM(W31:W31)</f>
      </c>
      <c r="X33" s="22">
        <f>SUM(X31:X31)</f>
      </c>
      <c r="Y33" s="22">
        <f>SUM(Y31:Y31)</f>
      </c>
      <c r="Z33" s="22">
        <f>SUM(Z31:Z31)</f>
      </c>
      <c r="AA33" s="22">
        <f>SUM(AA31:AA31)</f>
      </c>
      <c r="AB33" s="22">
        <f>SUM(AB31:AB31)</f>
      </c>
      <c r="AC33" s="22">
        <f>SUM(AC31:AC31)</f>
      </c>
      <c r="AD33" s="22">
        <f>SUM(AD31:AD31)</f>
      </c>
      <c r="AE33" s="22">
        <f>SUM(AE31:AE31)</f>
      </c>
      <c r="AF33" s="22">
        <f>SUM(AF31:AF31)</f>
      </c>
      <c r="AG33" s="22">
        <f>SUM(AG31:AG31)</f>
      </c>
      <c r="AH33" s="22">
        <f>SUM(AH31:AH31)</f>
      </c>
      <c r="AI33" s="22">
        <f>SUM(AI31:AI31)</f>
      </c>
      <c r="AJ33" s="22">
        <f>SUM(AJ31:AJ31)</f>
      </c>
      <c r="AK33" s="22">
        <f>SUM(AK31:AK31)</f>
      </c>
      <c r="AL33" s="22">
        <f>SUM(AL31:AL31)</f>
      </c>
      <c r="AM33" s="23"/>
    </row>
    <row r="36" ht="12.75" customHeight="1" spans="2:39" x14ac:dyDescent="0.25">
      <c r="B36" s="11" t="s">
        <v>40</v>
      </c>
      <c r="C36" s="12"/>
      <c r="D36" s="12"/>
      <c r="E36" s="12"/>
      <c r="F36" s="12"/>
      <c r="G36" s="52" t="s">
        <v>7</v>
      </c>
      <c r="H36" s="52" t="s">
        <v>8</v>
      </c>
      <c r="I36" s="52" t="s">
        <v>9</v>
      </c>
      <c r="J36" s="52" t="s">
        <v>10</v>
      </c>
      <c r="K36" s="52" t="s">
        <v>11</v>
      </c>
      <c r="L36" s="52" t="s">
        <v>12</v>
      </c>
      <c r="M36" s="52" t="s">
        <v>13</v>
      </c>
      <c r="N36" s="52" t="s">
        <v>14</v>
      </c>
      <c r="O36" s="52" t="s">
        <v>15</v>
      </c>
      <c r="P36" s="52" t="s">
        <v>16</v>
      </c>
      <c r="Q36" s="52" t="s">
        <v>17</v>
      </c>
      <c r="R36" s="52" t="s">
        <v>18</v>
      </c>
      <c r="S36" s="52" t="s">
        <v>19</v>
      </c>
      <c r="T36" s="52" t="s">
        <v>20</v>
      </c>
      <c r="U36" s="52" t="s">
        <v>21</v>
      </c>
      <c r="V36" s="52" t="s">
        <v>22</v>
      </c>
      <c r="W36" s="52" t="s">
        <v>23</v>
      </c>
      <c r="X36" s="52" t="s">
        <v>24</v>
      </c>
      <c r="Y36" s="52" t="s">
        <v>25</v>
      </c>
      <c r="Z36" s="52" t="s">
        <v>26</v>
      </c>
      <c r="AA36" s="52" t="s">
        <v>27</v>
      </c>
      <c r="AB36" s="52" t="s">
        <v>28</v>
      </c>
      <c r="AC36" s="52" t="s">
        <v>29</v>
      </c>
      <c r="AD36" s="52" t="s">
        <v>30</v>
      </c>
      <c r="AE36" s="52" t="s">
        <v>31</v>
      </c>
      <c r="AF36" s="52" t="s">
        <v>32</v>
      </c>
      <c r="AG36" s="52" t="s">
        <v>33</v>
      </c>
      <c r="AH36" s="52" t="s">
        <v>34</v>
      </c>
      <c r="AI36" s="52" t="s">
        <v>35</v>
      </c>
      <c r="AJ36" s="52" t="s">
        <v>36</v>
      </c>
      <c r="AK36" s="52" t="s">
        <v>37</v>
      </c>
      <c r="AL36" s="52" t="s">
        <v>38</v>
      </c>
      <c r="AM36" s="15"/>
    </row>
    <row r="37" ht="12.75" customHeight="1" spans="2:39" x14ac:dyDescent="0.25">
      <c r="B37" s="16"/>
      <c r="C37" s="17"/>
      <c r="D37" s="17" t="s">
        <v>41</v>
      </c>
      <c r="E37" s="17"/>
      <c r="F37" s="17"/>
      <c r="G37" s="18">
        <f>G12</f>
      </c>
      <c r="H37" s="18">
        <f>H12</f>
      </c>
      <c r="I37" s="18">
        <f>I12</f>
      </c>
      <c r="J37" s="18">
        <f>J12</f>
      </c>
      <c r="K37" s="18">
        <f>K12</f>
      </c>
      <c r="L37" s="18">
        <f>L12</f>
      </c>
      <c r="M37" s="18">
        <f>M12</f>
      </c>
      <c r="N37" s="18">
        <f>N12</f>
      </c>
      <c r="O37" s="18">
        <f>O12</f>
      </c>
      <c r="P37" s="18">
        <f>P12</f>
      </c>
      <c r="Q37" s="18">
        <f>Q12</f>
      </c>
      <c r="R37" s="18">
        <f>R12</f>
      </c>
      <c r="S37" s="18">
        <f>S12</f>
      </c>
      <c r="T37" s="18">
        <f>T12</f>
      </c>
      <c r="U37" s="18">
        <f>U12</f>
      </c>
      <c r="V37" s="18">
        <f>V12</f>
      </c>
      <c r="W37" s="18">
        <f>W12</f>
      </c>
      <c r="X37" s="18">
        <f>X12</f>
      </c>
      <c r="Y37" s="18">
        <f>Y12</f>
      </c>
      <c r="Z37" s="18">
        <f>Z12</f>
      </c>
      <c r="AA37" s="18">
        <f>AA12</f>
      </c>
      <c r="AB37" s="18">
        <f>AB12</f>
      </c>
      <c r="AC37" s="18">
        <f>AC12</f>
      </c>
      <c r="AD37" s="18">
        <f>AD12</f>
      </c>
      <c r="AE37" s="18">
        <f>AE12</f>
      </c>
      <c r="AF37" s="18">
        <f>AF12</f>
      </c>
      <c r="AG37" s="18">
        <f>AG12</f>
      </c>
      <c r="AH37" s="18">
        <f>AH12</f>
      </c>
      <c r="AI37" s="18">
        <f>AI12</f>
      </c>
      <c r="AJ37" s="18">
        <f>AJ12</f>
      </c>
      <c r="AK37" s="18">
        <f>AK12</f>
      </c>
      <c r="AL37" s="18">
        <f>AL12</f>
      </c>
      <c r="AM37" s="19"/>
    </row>
    <row r="38" ht="12.75" customHeight="1" spans="2:39" x14ac:dyDescent="0.25">
      <c r="B38" s="16"/>
      <c r="C38" s="17"/>
      <c r="D38" s="17" t="s">
        <v>42</v>
      </c>
      <c r="E38" s="17"/>
      <c r="F38" s="17"/>
      <c r="G38" s="18">
        <f>G23</f>
      </c>
      <c r="H38" s="18">
        <f>H23</f>
      </c>
      <c r="I38" s="18">
        <f>I23</f>
      </c>
      <c r="J38" s="18">
        <f>J23</f>
      </c>
      <c r="K38" s="18">
        <f>K23</f>
      </c>
      <c r="L38" s="18">
        <f>L23</f>
      </c>
      <c r="M38" s="18">
        <f>M23</f>
      </c>
      <c r="N38" s="18">
        <f>N23</f>
      </c>
      <c r="O38" s="18">
        <f>O23</f>
      </c>
      <c r="P38" s="18">
        <f>P23</f>
      </c>
      <c r="Q38" s="18">
        <f>Q23</f>
      </c>
      <c r="R38" s="18">
        <f>R23</f>
      </c>
      <c r="S38" s="18">
        <f>S23</f>
      </c>
      <c r="T38" s="18">
        <f>T23</f>
      </c>
      <c r="U38" s="18">
        <f>U23</f>
      </c>
      <c r="V38" s="18">
        <f>V23</f>
      </c>
      <c r="W38" s="18">
        <f>W23</f>
      </c>
      <c r="X38" s="18">
        <f>X23</f>
      </c>
      <c r="Y38" s="18">
        <f>Y23</f>
      </c>
      <c r="Z38" s="18">
        <f>Z23</f>
      </c>
      <c r="AA38" s="18">
        <f>AA23</f>
      </c>
      <c r="AB38" s="18">
        <f>AB23</f>
      </c>
      <c r="AC38" s="18">
        <f>AC23</f>
      </c>
      <c r="AD38" s="18">
        <f>AD23</f>
      </c>
      <c r="AE38" s="18">
        <f>AE23</f>
      </c>
      <c r="AF38" s="18">
        <f>AF23</f>
      </c>
      <c r="AG38" s="18">
        <f>AG23</f>
      </c>
      <c r="AH38" s="18">
        <f>AH23</f>
      </c>
      <c r="AI38" s="18">
        <f>AI23</f>
      </c>
      <c r="AJ38" s="18">
        <f>AJ23</f>
      </c>
      <c r="AK38" s="18">
        <f>AK23</f>
      </c>
      <c r="AL38" s="18">
        <f>AL23</f>
      </c>
      <c r="AM38" s="19"/>
    </row>
    <row r="39" ht="12.75" customHeight="1" spans="2:39" x14ac:dyDescent="0.25">
      <c r="B39" s="16"/>
      <c r="C39" s="17"/>
      <c r="D39" s="17" t="s">
        <v>43</v>
      </c>
      <c r="E39" s="17"/>
      <c r="F39" s="17"/>
      <c r="G39" s="18">
        <f>G28</f>
      </c>
      <c r="H39" s="18">
        <f>H28</f>
      </c>
      <c r="I39" s="18">
        <f>I28</f>
      </c>
      <c r="J39" s="18">
        <f>J28</f>
      </c>
      <c r="K39" s="18">
        <f>K28</f>
      </c>
      <c r="L39" s="18">
        <f>L28</f>
      </c>
      <c r="M39" s="18">
        <f>M28</f>
      </c>
      <c r="N39" s="18">
        <f>N28</f>
      </c>
      <c r="O39" s="18">
        <f>O28</f>
      </c>
      <c r="P39" s="18">
        <f>P28</f>
      </c>
      <c r="Q39" s="18">
        <f>Q28</f>
      </c>
      <c r="R39" s="18">
        <f>R28</f>
      </c>
      <c r="S39" s="18">
        <f>S28</f>
      </c>
      <c r="T39" s="18">
        <f>T28</f>
      </c>
      <c r="U39" s="18">
        <f>U28</f>
      </c>
      <c r="V39" s="18">
        <f>V28</f>
      </c>
      <c r="W39" s="18">
        <f>W28</f>
      </c>
      <c r="X39" s="18">
        <f>X28</f>
      </c>
      <c r="Y39" s="18">
        <f>Y28</f>
      </c>
      <c r="Z39" s="18">
        <f>Z28</f>
      </c>
      <c r="AA39" s="18">
        <f>AA28</f>
      </c>
      <c r="AB39" s="18">
        <f>AB28</f>
      </c>
      <c r="AC39" s="18">
        <f>AC28</f>
      </c>
      <c r="AD39" s="18">
        <f>AD28</f>
      </c>
      <c r="AE39" s="18">
        <f>AE28</f>
      </c>
      <c r="AF39" s="18">
        <f>AF28</f>
      </c>
      <c r="AG39" s="18">
        <f>AG28</f>
      </c>
      <c r="AH39" s="18">
        <f>AH28</f>
      </c>
      <c r="AI39" s="18">
        <f>AI28</f>
      </c>
      <c r="AJ39" s="18">
        <f>AJ28</f>
      </c>
      <c r="AK39" s="18">
        <f>AK28</f>
      </c>
      <c r="AL39" s="18">
        <f>AL28</f>
      </c>
      <c r="AM39" s="19"/>
    </row>
    <row r="40" ht="12.75" customHeight="1" spans="2:39" x14ac:dyDescent="0.25">
      <c r="B40" s="16"/>
      <c r="C40" s="17"/>
      <c r="D40" s="17" t="s">
        <v>44</v>
      </c>
      <c r="E40" s="17"/>
      <c r="F40" s="17"/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8">
        <f>AK33</f>
      </c>
      <c r="AL40" s="18">
        <f>AL33</f>
      </c>
      <c r="AM40" s="19"/>
    </row>
    <row r="41" ht="12.75" customHeight="1" spans="2:39" x14ac:dyDescent="0.25">
      <c r="B41" s="20"/>
      <c r="C41" s="21"/>
      <c r="D41" s="21" t="s">
        <v>45</v>
      </c>
      <c r="E41" s="21"/>
      <c r="F41" s="21"/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2">
        <f>AK37+AK38+AK39+AK40</f>
      </c>
      <c r="AL41" s="22">
        <f>AL37+AL38+AL39+AL40</f>
      </c>
      <c r="AM41" s="23"/>
    </row>
    <row r="43" ht="12.75" customHeight="1" spans="2:39" x14ac:dyDescent="0.25">
      <c r="B43" s="11" t="s">
        <v>46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47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5">
        <f>AK51+AK52+AK53+AK54</f>
      </c>
      <c r="AL55" s="25">
        <f>AL51+AL52+AL53+AL54</f>
      </c>
      <c r="AM5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749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750</v>
      </c>
      <c r="D9" s="32" t="s">
        <v>751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6">
        <f>882.12+905.64+792.55+801.99</f>
        <v>3382.3</v>
      </c>
      <c r="V9" s="36">
        <f>719.70+722.00</f>
        <v>1441.7</v>
      </c>
      <c r="W9" s="36">
        <f>500.62+461.56</f>
        <v>962.1800000000001</v>
      </c>
      <c r="X9" s="36">
        <f>244.68+168.13</f>
        <v>412.81</v>
      </c>
      <c r="Y9" s="32"/>
      <c r="Z9" s="36">
        <f>111.93+29.92</f>
        <v>141.85000000000002</v>
      </c>
      <c r="AA9" s="36">
        <f>90.66+9.20</f>
        <v>99.86</v>
      </c>
      <c r="AB9" s="36">
        <f>87.25+5.84</f>
        <v>93.09</v>
      </c>
      <c r="AC9" s="36">
        <f>90.35+5.75+87.47+5.48</f>
        <v>189.04999999999998</v>
      </c>
      <c r="AD9" s="36">
        <f>361.65+180.45</f>
        <v>542.0999999999999</v>
      </c>
      <c r="AE9" s="32"/>
      <c r="AF9" s="36">
        <f>361.08+212.16</f>
        <v>573.24</v>
      </c>
      <c r="AG9" s="36">
        <f>598.63+538.73</f>
        <v>1137.3600000000001</v>
      </c>
      <c r="AH9" s="36">
        <f>191.38+133.12</f>
        <v>324.5</v>
      </c>
      <c r="AI9" s="36">
        <f>439.31+494.17</f>
        <v>933.48</v>
      </c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649</v>
      </c>
      <c r="D14" s="32" t="s">
        <v>752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6">
        <f>38.00+38.00</f>
        <v>76</v>
      </c>
      <c r="V14" s="33">
        <v>37.99</v>
      </c>
      <c r="W14" s="33">
        <v>38.01</v>
      </c>
      <c r="X14" s="33">
        <v>38</v>
      </c>
      <c r="Y14" s="33">
        <v>38</v>
      </c>
      <c r="Z14" s="32"/>
      <c r="AA14" s="36">
        <f>38.00+38.00</f>
        <v>76</v>
      </c>
      <c r="AB14" s="32"/>
      <c r="AC14" s="33">
        <v>38</v>
      </c>
      <c r="AD14" s="36">
        <f>38.00+38.00</f>
        <v>76</v>
      </c>
      <c r="AE14" s="33">
        <v>37.98</v>
      </c>
      <c r="AF14" s="32"/>
      <c r="AG14" s="36">
        <f>38.11+37.99</f>
        <v>76.1</v>
      </c>
      <c r="AH14" s="33">
        <v>38.17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649</v>
      </c>
      <c r="D15" s="32" t="s">
        <v>753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399.76</v>
      </c>
      <c r="U15" s="33">
        <v>740.89</v>
      </c>
      <c r="V15" s="33">
        <v>438.46</v>
      </c>
      <c r="W15" s="33">
        <v>530.99</v>
      </c>
      <c r="X15" s="33">
        <v>620.68</v>
      </c>
      <c r="Y15" s="33">
        <v>793.54</v>
      </c>
      <c r="Z15" s="33">
        <v>804.55</v>
      </c>
      <c r="AA15" s="33">
        <v>515.43</v>
      </c>
      <c r="AB15" s="33">
        <v>685.8</v>
      </c>
      <c r="AC15" s="33">
        <v>697.42</v>
      </c>
      <c r="AD15" s="33">
        <v>626.57</v>
      </c>
      <c r="AE15" s="33">
        <v>584.07</v>
      </c>
      <c r="AF15" s="33">
        <v>585.31</v>
      </c>
      <c r="AG15" s="33">
        <v>678.78</v>
      </c>
      <c r="AH15" s="33">
        <v>613.82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649</v>
      </c>
      <c r="D16" s="32" t="s">
        <v>754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6">
        <f>33.25+33.24</f>
        <v>66.49000000000001</v>
      </c>
      <c r="V16" s="33">
        <v>33.26</v>
      </c>
      <c r="W16" s="33">
        <v>33.25</v>
      </c>
      <c r="X16" s="33">
        <v>33.25</v>
      </c>
      <c r="Y16" s="33">
        <v>33.25</v>
      </c>
      <c r="Z16" s="32"/>
      <c r="AA16" s="36">
        <f>33.24+33.26</f>
        <v>66.5</v>
      </c>
      <c r="AB16" s="32"/>
      <c r="AC16" s="33">
        <v>33.25</v>
      </c>
      <c r="AD16" s="36">
        <f>33.25+33.25</f>
        <v>66.5</v>
      </c>
      <c r="AE16" s="33">
        <v>33.25</v>
      </c>
      <c r="AF16" s="32"/>
      <c r="AG16" s="36">
        <f>33.25+33.25</f>
        <v>66.5</v>
      </c>
      <c r="AH16" s="33">
        <v>33.25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649</v>
      </c>
      <c r="D17" s="32" t="s">
        <v>755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6">
        <f>75.13+108.92</f>
        <v>184.05</v>
      </c>
      <c r="V17" s="33">
        <v>45.54</v>
      </c>
      <c r="W17" s="33">
        <v>50.64</v>
      </c>
      <c r="X17" s="33">
        <v>41.5</v>
      </c>
      <c r="Y17" s="33">
        <v>39.65</v>
      </c>
      <c r="Z17" s="32"/>
      <c r="AA17" s="36">
        <f>79.29+93.21</f>
        <v>172.5</v>
      </c>
      <c r="AB17" s="32"/>
      <c r="AC17" s="33">
        <v>106.58</v>
      </c>
      <c r="AD17" s="36">
        <f>45.32+148.06</f>
        <v>193.38</v>
      </c>
      <c r="AE17" s="33">
        <v>47.76</v>
      </c>
      <c r="AF17" s="32"/>
      <c r="AG17" s="36">
        <f>46.56+54.31</f>
        <v>100.87</v>
      </c>
      <c r="AH17" s="33">
        <v>47.76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649</v>
      </c>
      <c r="D18" s="32" t="s">
        <v>756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>
        <v>13.88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649</v>
      </c>
      <c r="D19" s="32" t="s">
        <v>757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435.95</v>
      </c>
      <c r="U19" s="33">
        <v>435.95</v>
      </c>
      <c r="V19" s="33">
        <v>456.56</v>
      </c>
      <c r="W19" s="33">
        <v>456.56</v>
      </c>
      <c r="X19" s="33">
        <v>456.56</v>
      </c>
      <c r="Y19" s="33">
        <v>456.56</v>
      </c>
      <c r="Z19" s="33">
        <v>456.56</v>
      </c>
      <c r="AA19" s="33">
        <v>456.71</v>
      </c>
      <c r="AB19" s="33">
        <v>456.78</v>
      </c>
      <c r="AC19" s="33">
        <v>456.78</v>
      </c>
      <c r="AD19" s="33">
        <v>456.78</v>
      </c>
      <c r="AE19" s="33">
        <v>456.78</v>
      </c>
      <c r="AF19" s="33">
        <v>461.65</v>
      </c>
      <c r="AG19" s="33">
        <v>441.25</v>
      </c>
      <c r="AH19" s="33">
        <v>441.2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649</v>
      </c>
      <c r="D20" s="32" t="s">
        <v>758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6">
        <f>40.75+127.18</f>
        <v>167.93</v>
      </c>
      <c r="AE20" s="33">
        <v>35.34</v>
      </c>
      <c r="AF20" s="32"/>
      <c r="AG20" s="36">
        <f>34.44+39.25</f>
        <v>73.69</v>
      </c>
      <c r="AH20" s="33">
        <v>39.8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649</v>
      </c>
      <c r="D21" s="32" t="s">
        <v>759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6">
        <f>40.75+144.01</f>
        <v>184.76</v>
      </c>
      <c r="AE21" s="33">
        <v>34.29</v>
      </c>
      <c r="AF21" s="32"/>
      <c r="AG21" s="36">
        <f>34.40+36.62</f>
        <v>71.02</v>
      </c>
      <c r="AH21" s="33">
        <v>14.91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649</v>
      </c>
      <c r="D22" s="32" t="s">
        <v>760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6">
        <f>271.21+121.11</f>
        <v>392.32</v>
      </c>
      <c r="AE22" s="33">
        <v>233.09</v>
      </c>
      <c r="AF22" s="32"/>
      <c r="AG22" s="36">
        <f>454.96+286.39</f>
        <v>741.3499999999999</v>
      </c>
      <c r="AH22" s="33">
        <v>248.76</v>
      </c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85</v>
      </c>
      <c r="C24" s="21"/>
      <c r="D24" s="21"/>
      <c r="E24" s="22">
        <f>SUM(E14:E22)</f>
      </c>
      <c r="F24" s="22">
        <f>SUM(F14:F22)</f>
      </c>
      <c r="G24" s="22">
        <f>SUM(G14:G22)</f>
      </c>
      <c r="H24" s="22">
        <f>SUM(H14:H22)</f>
      </c>
      <c r="I24" s="22">
        <f>SUM(I14:I22)</f>
      </c>
      <c r="J24" s="22">
        <f>SUM(J14:J22)</f>
      </c>
      <c r="K24" s="22">
        <f>SUM(K14:K22)</f>
      </c>
      <c r="L24" s="22">
        <f>SUM(L14:L22)</f>
      </c>
      <c r="M24" s="22">
        <f>SUM(M14:M22)</f>
      </c>
      <c r="N24" s="22">
        <f>SUM(N14:N22)</f>
      </c>
      <c r="O24" s="22">
        <f>SUM(O14:O22)</f>
      </c>
      <c r="P24" s="22">
        <f>SUM(P14:P22)</f>
      </c>
      <c r="Q24" s="22">
        <f>SUM(Q14:Q22)</f>
      </c>
      <c r="R24" s="22">
        <f>SUM(R14:R22)</f>
      </c>
      <c r="S24" s="22">
        <f>SUM(S14:S22)</f>
      </c>
      <c r="T24" s="22">
        <f>SUM(T14:T22)</f>
      </c>
      <c r="U24" s="22">
        <f>SUM(U14:U22)</f>
      </c>
      <c r="V24" s="22">
        <f>SUM(V14:V22)</f>
      </c>
      <c r="W24" s="22">
        <f>SUM(W14:W22)</f>
      </c>
      <c r="X24" s="22">
        <f>SUM(X14:X22)</f>
      </c>
      <c r="Y24" s="22">
        <f>SUM(Y14:Y22)</f>
      </c>
      <c r="Z24" s="22">
        <f>SUM(Z14:Z22)</f>
      </c>
      <c r="AA24" s="22">
        <f>SUM(AA14:AA22)</f>
      </c>
      <c r="AB24" s="22">
        <f>SUM(AB14:AB22)</f>
      </c>
      <c r="AC24" s="22">
        <f>SUM(AC14:AC22)</f>
      </c>
      <c r="AD24" s="22">
        <f>SUM(AD14:AD22)</f>
      </c>
      <c r="AE24" s="22">
        <f>SUM(AE14:AE22)</f>
      </c>
      <c r="AF24" s="22">
        <f>SUM(AF14:AF22)</f>
      </c>
      <c r="AG24" s="22">
        <f>SUM(AG14:AG22)</f>
      </c>
      <c r="AH24" s="22">
        <f>SUM(AH14:AH22)</f>
      </c>
      <c r="AI24" s="22">
        <f>SUM(AI14:AI22)</f>
      </c>
      <c r="AJ24" s="22">
        <f>SUM(AJ14:AJ22)</f>
      </c>
      <c r="AK24" s="23"/>
    </row>
    <row r="26" ht="12.75" customHeight="1" spans="2:37" x14ac:dyDescent="0.25">
      <c r="B26" s="26" t="s">
        <v>43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43</v>
      </c>
      <c r="C27" s="31" t="s">
        <v>761</v>
      </c>
      <c r="D27" s="32" t="s">
        <v>762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6">
        <f>4684.48+11153.30</f>
        <v>15837.779999999999</v>
      </c>
      <c r="V27" s="36">
        <f>5146.10+11530.44</f>
        <v>16676.54</v>
      </c>
      <c r="W27" s="36">
        <f>4533.64+10939.13</f>
        <v>15472.77</v>
      </c>
      <c r="X27" s="36">
        <f>5590.56+11959.57</f>
        <v>17550.13</v>
      </c>
      <c r="Y27" s="36">
        <f>4478.99+10886.36</f>
        <v>15365.35</v>
      </c>
      <c r="Z27" s="36">
        <f>4528.81+10934.47</f>
        <v>15463.279999999999</v>
      </c>
      <c r="AA27" s="36">
        <f>4034.51+10457.23</f>
        <v>14491.74</v>
      </c>
      <c r="AB27" s="36">
        <f>4585.08+10988.79</f>
        <v>15573.87</v>
      </c>
      <c r="AC27" s="36">
        <f>5218.44+11600.28</f>
        <v>16818.72</v>
      </c>
      <c r="AD27" s="36">
        <f>4770.95+11230.90</f>
        <v>16001.849999999999</v>
      </c>
      <c r="AE27" s="36">
        <f>5384.29+11913.93</f>
        <v>17298.22</v>
      </c>
      <c r="AF27" s="36">
        <f>6156.94+12644.27</f>
        <v>18801.21</v>
      </c>
      <c r="AG27" s="36">
        <f>6254.25+12736.27</f>
        <v>18990.52</v>
      </c>
      <c r="AH27" s="36">
        <f>6033.99+12528.06</f>
        <v>18562.05</v>
      </c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89</v>
      </c>
      <c r="C29" s="21"/>
      <c r="D29" s="21"/>
      <c r="E29" s="22">
        <f>SUM(E27:E27)</f>
      </c>
      <c r="F29" s="22">
        <f>SUM(F27:F27)</f>
      </c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3"/>
    </row>
    <row r="31" ht="12.75" customHeight="1" spans="2:37" x14ac:dyDescent="0.25">
      <c r="B31" s="26" t="s">
        <v>44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90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3"/>
    </row>
    <row r="36" ht="12.75" customHeight="1" spans="2:37" x14ac:dyDescent="0.25">
      <c r="B36" s="11" t="s">
        <v>40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>
        <f>E11</f>
      </c>
      <c r="F37" s="18">
        <f>F11</f>
      </c>
      <c r="G37" s="18">
        <f>G11</f>
      </c>
      <c r="H37" s="18">
        <f>H11</f>
      </c>
      <c r="I37" s="18">
        <f>I11</f>
      </c>
      <c r="J37" s="18">
        <f>J11</f>
      </c>
      <c r="K37" s="18">
        <f>K11</f>
      </c>
      <c r="L37" s="18">
        <f>L11</f>
      </c>
      <c r="M37" s="18">
        <f>M11</f>
      </c>
      <c r="N37" s="18">
        <f>N11</f>
      </c>
      <c r="O37" s="18">
        <f>O11</f>
      </c>
      <c r="P37" s="18">
        <f>P11</f>
      </c>
      <c r="Q37" s="18">
        <f>Q11</f>
      </c>
      <c r="R37" s="18">
        <f>R11</f>
      </c>
      <c r="S37" s="18">
        <f>S11</f>
      </c>
      <c r="T37" s="18">
        <f>T11</f>
      </c>
      <c r="U37" s="18">
        <f>U11</f>
      </c>
      <c r="V37" s="18">
        <f>V11</f>
      </c>
      <c r="W37" s="18">
        <f>W11</f>
      </c>
      <c r="X37" s="18">
        <f>X11</f>
      </c>
      <c r="Y37" s="18">
        <f>Y11</f>
      </c>
      <c r="Z37" s="18">
        <f>Z11</f>
      </c>
      <c r="AA37" s="18">
        <f>AA11</f>
      </c>
      <c r="AB37" s="18">
        <f>AB11</f>
      </c>
      <c r="AC37" s="18">
        <f>AC11</f>
      </c>
      <c r="AD37" s="18">
        <f>AD11</f>
      </c>
      <c r="AE37" s="18">
        <f>AE11</f>
      </c>
      <c r="AF37" s="18">
        <f>AF11</f>
      </c>
      <c r="AG37" s="18">
        <f>AG11</f>
      </c>
      <c r="AH37" s="18">
        <f>AH11</f>
      </c>
      <c r="AI37" s="18">
        <f>AI11</f>
      </c>
      <c r="AJ37" s="18">
        <f>AJ11</f>
      </c>
      <c r="AK37" s="19"/>
    </row>
    <row r="38" ht="12.75" customHeight="1" spans="2:37" x14ac:dyDescent="0.25">
      <c r="B38" s="16" t="s">
        <v>42</v>
      </c>
      <c r="C38" s="17"/>
      <c r="D38" s="17"/>
      <c r="E38" s="18">
        <f>E24</f>
      </c>
      <c r="F38" s="18">
        <f>F24</f>
      </c>
      <c r="G38" s="18">
        <f>G24</f>
      </c>
      <c r="H38" s="18">
        <f>H24</f>
      </c>
      <c r="I38" s="18">
        <f>I24</f>
      </c>
      <c r="J38" s="18">
        <f>J24</f>
      </c>
      <c r="K38" s="18">
        <f>K24</f>
      </c>
      <c r="L38" s="18">
        <f>L24</f>
      </c>
      <c r="M38" s="18">
        <f>M24</f>
      </c>
      <c r="N38" s="18">
        <f>N24</f>
      </c>
      <c r="O38" s="18">
        <f>O24</f>
      </c>
      <c r="P38" s="18">
        <f>P24</f>
      </c>
      <c r="Q38" s="18">
        <f>Q24</f>
      </c>
      <c r="R38" s="18">
        <f>R24</f>
      </c>
      <c r="S38" s="18">
        <f>S24</f>
      </c>
      <c r="T38" s="18">
        <f>T24</f>
      </c>
      <c r="U38" s="18">
        <f>U24</f>
      </c>
      <c r="V38" s="18">
        <f>V24</f>
      </c>
      <c r="W38" s="18">
        <f>W24</f>
      </c>
      <c r="X38" s="18">
        <f>X24</f>
      </c>
      <c r="Y38" s="18">
        <f>Y24</f>
      </c>
      <c r="Z38" s="18">
        <f>Z24</f>
      </c>
      <c r="AA38" s="18">
        <f>AA24</f>
      </c>
      <c r="AB38" s="18">
        <f>AB24</f>
      </c>
      <c r="AC38" s="18">
        <f>AC24</f>
      </c>
      <c r="AD38" s="18">
        <f>AD24</f>
      </c>
      <c r="AE38" s="18">
        <f>AE24</f>
      </c>
      <c r="AF38" s="18">
        <f>AF24</f>
      </c>
      <c r="AG38" s="18">
        <f>AG24</f>
      </c>
      <c r="AH38" s="18">
        <f>AH24</f>
      </c>
      <c r="AI38" s="18">
        <f>AI24</f>
      </c>
      <c r="AJ38" s="18">
        <f>AJ24</f>
      </c>
      <c r="AK38" s="19"/>
    </row>
    <row r="39" ht="12.75" customHeight="1" spans="2:37" x14ac:dyDescent="0.25">
      <c r="B39" s="16" t="s">
        <v>43</v>
      </c>
      <c r="C39" s="17"/>
      <c r="D39" s="17"/>
      <c r="E39" s="18">
        <f>E29</f>
      </c>
      <c r="F39" s="18">
        <f>F29</f>
      </c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9"/>
    </row>
    <row r="40" ht="12.75" customHeight="1" spans="2:37" x14ac:dyDescent="0.25">
      <c r="B40" s="16" t="s">
        <v>44</v>
      </c>
      <c r="C40" s="17"/>
      <c r="D40" s="17"/>
      <c r="E40" s="18">
        <f>E33</f>
      </c>
      <c r="F40" s="18">
        <f>F33</f>
      </c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46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42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43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16" t="s">
        <v>44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47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42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43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16" t="s">
        <v>44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20" t="s">
        <v>45</v>
      </c>
      <c r="C55" s="21"/>
      <c r="D55" s="21"/>
      <c r="E55" s="25">
        <f>E51+E52+E53+E54</f>
      </c>
      <c r="F55" s="25">
        <f>F51+F52+F53+F54</f>
      </c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749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701</v>
      </c>
      <c r="T8" s="44" t="s">
        <v>3</v>
      </c>
      <c r="U8" s="44" t="s">
        <v>3</v>
      </c>
      <c r="V8" s="44" t="s">
        <v>763</v>
      </c>
      <c r="W8" s="44" t="s">
        <v>764</v>
      </c>
      <c r="X8" s="44" t="s">
        <v>765</v>
      </c>
      <c r="Y8" s="44" t="s">
        <v>766</v>
      </c>
      <c r="Z8" s="44" t="s">
        <v>767</v>
      </c>
      <c r="AA8" s="44" t="s">
        <v>768</v>
      </c>
      <c r="AB8" s="44" t="s">
        <v>769</v>
      </c>
      <c r="AC8" s="44" t="s">
        <v>770</v>
      </c>
      <c r="AD8" s="44" t="s">
        <v>771</v>
      </c>
      <c r="AE8" s="44" t="s">
        <v>772</v>
      </c>
      <c r="AF8" s="44" t="s">
        <v>773</v>
      </c>
      <c r="AG8" s="44" t="s">
        <v>774</v>
      </c>
      <c r="AH8" s="44" t="s">
        <v>775</v>
      </c>
      <c r="AI8" s="44" t="s">
        <v>776</v>
      </c>
      <c r="AJ8" s="44" t="s">
        <v>777</v>
      </c>
      <c r="AK8" s="44" t="s">
        <v>250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749</v>
      </c>
      <c r="D10" s="50" t="s">
        <v>41</v>
      </c>
      <c r="E10" s="32" t="s">
        <v>750</v>
      </c>
      <c r="F10" s="32" t="s">
        <v>751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>
        <f>882.12+905.64+792.55+801.99</f>
        <v>3382.3</v>
      </c>
      <c r="X10" s="33">
        <f>719.70+722.00</f>
        <v>1441.7</v>
      </c>
      <c r="Y10" s="33">
        <f>500.62+461.56</f>
        <v>962.1800000000001</v>
      </c>
      <c r="Z10" s="33">
        <f>244.68+168.13</f>
        <v>412.81</v>
      </c>
      <c r="AA10" s="32"/>
      <c r="AB10" s="33">
        <f>111.93+29.92</f>
        <v>141.85000000000002</v>
      </c>
      <c r="AC10" s="33">
        <f>90.66+9.20</f>
        <v>99.86</v>
      </c>
      <c r="AD10" s="33">
        <f>87.25+5.84</f>
        <v>93.09</v>
      </c>
      <c r="AE10" s="33">
        <f>90.35+5.75+87.47+5.48</f>
        <v>189.04999999999998</v>
      </c>
      <c r="AF10" s="33">
        <f>361.65+180.45</f>
        <v>542.0999999999999</v>
      </c>
      <c r="AG10" s="32"/>
      <c r="AH10" s="33">
        <f>361.08+212.16</f>
        <v>573.24</v>
      </c>
      <c r="AI10" s="33">
        <f>598.63+538.73</f>
        <v>1137.3600000000001</v>
      </c>
      <c r="AJ10" s="33">
        <f>191.38+133.12</f>
        <v>324.5</v>
      </c>
      <c r="AK10" s="33">
        <f>439.31+494.17</f>
        <v>933.48</v>
      </c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749</v>
      </c>
      <c r="D15" s="50" t="s">
        <v>42</v>
      </c>
      <c r="E15" s="32" t="s">
        <v>649</v>
      </c>
      <c r="F15" s="32" t="s">
        <v>752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f>38.00+38.00</f>
        <v>76</v>
      </c>
      <c r="X15" s="33">
        <v>37.99</v>
      </c>
      <c r="Y15" s="33">
        <v>38.01</v>
      </c>
      <c r="Z15" s="33">
        <v>38</v>
      </c>
      <c r="AA15" s="33">
        <v>38</v>
      </c>
      <c r="AB15" s="32"/>
      <c r="AC15" s="33">
        <f>38.00+38.00</f>
        <v>76</v>
      </c>
      <c r="AD15" s="32"/>
      <c r="AE15" s="33">
        <v>38</v>
      </c>
      <c r="AF15" s="33">
        <f>38.00+38.00</f>
        <v>76</v>
      </c>
      <c r="AG15" s="33">
        <v>37.98</v>
      </c>
      <c r="AH15" s="32"/>
      <c r="AI15" s="33">
        <f>38.11+37.99</f>
        <v>76.1</v>
      </c>
      <c r="AJ15" s="33">
        <v>38.17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749</v>
      </c>
      <c r="D16" s="50" t="s">
        <v>42</v>
      </c>
      <c r="E16" s="32" t="s">
        <v>649</v>
      </c>
      <c r="F16" s="32" t="s">
        <v>753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399.76</v>
      </c>
      <c r="W16" s="33">
        <v>740.89</v>
      </c>
      <c r="X16" s="33">
        <v>438.46</v>
      </c>
      <c r="Y16" s="33">
        <v>530.99</v>
      </c>
      <c r="Z16" s="33">
        <v>620.68</v>
      </c>
      <c r="AA16" s="33">
        <v>793.54</v>
      </c>
      <c r="AB16" s="33">
        <v>804.55</v>
      </c>
      <c r="AC16" s="33">
        <v>515.43</v>
      </c>
      <c r="AD16" s="33">
        <v>685.8</v>
      </c>
      <c r="AE16" s="33">
        <v>697.42</v>
      </c>
      <c r="AF16" s="33">
        <v>626.57</v>
      </c>
      <c r="AG16" s="33">
        <v>584.07</v>
      </c>
      <c r="AH16" s="33">
        <v>585.31</v>
      </c>
      <c r="AI16" s="33">
        <v>678.78</v>
      </c>
      <c r="AJ16" s="33">
        <v>613.82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749</v>
      </c>
      <c r="D17" s="50" t="s">
        <v>42</v>
      </c>
      <c r="E17" s="32" t="s">
        <v>649</v>
      </c>
      <c r="F17" s="32" t="s">
        <v>754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f>33.25+33.24</f>
        <v>66.49000000000001</v>
      </c>
      <c r="X17" s="33">
        <v>33.26</v>
      </c>
      <c r="Y17" s="33">
        <v>33.25</v>
      </c>
      <c r="Z17" s="33">
        <v>33.25</v>
      </c>
      <c r="AA17" s="33">
        <v>33.25</v>
      </c>
      <c r="AB17" s="32"/>
      <c r="AC17" s="33">
        <f>33.24+33.26</f>
        <v>66.5</v>
      </c>
      <c r="AD17" s="32"/>
      <c r="AE17" s="33">
        <v>33.25</v>
      </c>
      <c r="AF17" s="33">
        <f>33.25+33.25</f>
        <v>66.5</v>
      </c>
      <c r="AG17" s="33">
        <v>33.25</v>
      </c>
      <c r="AH17" s="32"/>
      <c r="AI17" s="33">
        <f>33.25+33.25</f>
        <v>66.5</v>
      </c>
      <c r="AJ17" s="33">
        <v>33.25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749</v>
      </c>
      <c r="D18" s="50" t="s">
        <v>42</v>
      </c>
      <c r="E18" s="32" t="s">
        <v>649</v>
      </c>
      <c r="F18" s="32" t="s">
        <v>755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>
        <f>75.13+108.92</f>
        <v>184.05</v>
      </c>
      <c r="X18" s="33">
        <v>45.54</v>
      </c>
      <c r="Y18" s="33">
        <v>50.64</v>
      </c>
      <c r="Z18" s="33">
        <v>41.5</v>
      </c>
      <c r="AA18" s="33">
        <v>39.65</v>
      </c>
      <c r="AB18" s="32"/>
      <c r="AC18" s="33">
        <f>79.29+93.21</f>
        <v>172.5</v>
      </c>
      <c r="AD18" s="32"/>
      <c r="AE18" s="33">
        <v>106.58</v>
      </c>
      <c r="AF18" s="33">
        <f>45.32+148.06</f>
        <v>193.38</v>
      </c>
      <c r="AG18" s="33">
        <v>47.76</v>
      </c>
      <c r="AH18" s="32"/>
      <c r="AI18" s="33">
        <f>46.56+54.31</f>
        <v>100.87</v>
      </c>
      <c r="AJ18" s="33">
        <v>47.76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749</v>
      </c>
      <c r="D19" s="50" t="s">
        <v>42</v>
      </c>
      <c r="E19" s="32" t="s">
        <v>649</v>
      </c>
      <c r="F19" s="32" t="s">
        <v>756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>
        <v>13.88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749</v>
      </c>
      <c r="D20" s="50" t="s">
        <v>42</v>
      </c>
      <c r="E20" s="32" t="s">
        <v>649</v>
      </c>
      <c r="F20" s="32" t="s">
        <v>757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435.95</v>
      </c>
      <c r="W20" s="33">
        <v>435.95</v>
      </c>
      <c r="X20" s="33">
        <v>456.56</v>
      </c>
      <c r="Y20" s="33">
        <v>456.56</v>
      </c>
      <c r="Z20" s="33">
        <v>456.56</v>
      </c>
      <c r="AA20" s="33">
        <v>456.56</v>
      </c>
      <c r="AB20" s="33">
        <v>456.56</v>
      </c>
      <c r="AC20" s="33">
        <v>456.71</v>
      </c>
      <c r="AD20" s="33">
        <v>456.78</v>
      </c>
      <c r="AE20" s="33">
        <v>456.78</v>
      </c>
      <c r="AF20" s="33">
        <v>456.78</v>
      </c>
      <c r="AG20" s="33">
        <v>456.78</v>
      </c>
      <c r="AH20" s="33">
        <v>461.65</v>
      </c>
      <c r="AI20" s="33">
        <v>441.25</v>
      </c>
      <c r="AJ20" s="33">
        <v>441.2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749</v>
      </c>
      <c r="D21" s="50" t="s">
        <v>42</v>
      </c>
      <c r="E21" s="32" t="s">
        <v>649</v>
      </c>
      <c r="F21" s="32" t="s">
        <v>758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>
        <f>40.75+127.18</f>
        <v>167.93</v>
      </c>
      <c r="AG21" s="33">
        <v>35.34</v>
      </c>
      <c r="AH21" s="32"/>
      <c r="AI21" s="33">
        <f>34.44+39.25</f>
        <v>73.69</v>
      </c>
      <c r="AJ21" s="33">
        <v>39.8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749</v>
      </c>
      <c r="D22" s="50" t="s">
        <v>42</v>
      </c>
      <c r="E22" s="32" t="s">
        <v>649</v>
      </c>
      <c r="F22" s="32" t="s">
        <v>759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3">
        <f>40.75+144.01</f>
        <v>184.76</v>
      </c>
      <c r="AG22" s="33">
        <v>34.29</v>
      </c>
      <c r="AH22" s="32"/>
      <c r="AI22" s="33">
        <f>34.40+36.62</f>
        <v>71.02</v>
      </c>
      <c r="AJ22" s="33">
        <v>14.91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749</v>
      </c>
      <c r="D23" s="50" t="s">
        <v>42</v>
      </c>
      <c r="E23" s="32" t="s">
        <v>649</v>
      </c>
      <c r="F23" s="32" t="s">
        <v>760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3">
        <f>271.21+121.11</f>
        <v>392.32</v>
      </c>
      <c r="AG23" s="33">
        <v>233.09</v>
      </c>
      <c r="AH23" s="32"/>
      <c r="AI23" s="33">
        <f>454.96+286.39</f>
        <v>741.3499999999999</v>
      </c>
      <c r="AJ23" s="33">
        <v>248.76</v>
      </c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85</v>
      </c>
      <c r="E25" s="21"/>
      <c r="F25" s="21"/>
      <c r="G25" s="22">
        <f>SUM(G15:G23)</f>
      </c>
      <c r="H25" s="22">
        <f>SUM(H15:H23)</f>
      </c>
      <c r="I25" s="22">
        <f>SUM(I15:I23)</f>
      </c>
      <c r="J25" s="22">
        <f>SUM(J15:J23)</f>
      </c>
      <c r="K25" s="22">
        <f>SUM(K15:K23)</f>
      </c>
      <c r="L25" s="22">
        <f>SUM(L15:L23)</f>
      </c>
      <c r="M25" s="22">
        <f>SUM(M15:M23)</f>
      </c>
      <c r="N25" s="22">
        <f>SUM(N15:N23)</f>
      </c>
      <c r="O25" s="22">
        <f>SUM(O15:O23)</f>
      </c>
      <c r="P25" s="22">
        <f>SUM(P15:P23)</f>
      </c>
      <c r="Q25" s="22">
        <f>SUM(Q15:Q23)</f>
      </c>
      <c r="R25" s="22">
        <f>SUM(R15:R23)</f>
      </c>
      <c r="S25" s="22">
        <f>SUM(S15:S23)</f>
      </c>
      <c r="T25" s="22">
        <f>SUM(T15:T23)</f>
      </c>
      <c r="U25" s="22">
        <f>SUM(U15:U23)</f>
      </c>
      <c r="V25" s="22">
        <f>SUM(V15:V23)</f>
      </c>
      <c r="W25" s="22">
        <f>SUM(W15:W23)</f>
      </c>
      <c r="X25" s="22">
        <f>SUM(X15:X23)</f>
      </c>
      <c r="Y25" s="22">
        <f>SUM(Y15:Y23)</f>
      </c>
      <c r="Z25" s="22">
        <f>SUM(Z15:Z23)</f>
      </c>
      <c r="AA25" s="22">
        <f>SUM(AA15:AA23)</f>
      </c>
      <c r="AB25" s="22">
        <f>SUM(AB15:AB23)</f>
      </c>
      <c r="AC25" s="22">
        <f>SUM(AC15:AC23)</f>
      </c>
      <c r="AD25" s="22">
        <f>SUM(AD15:AD23)</f>
      </c>
      <c r="AE25" s="22">
        <f>SUM(AE15:AE23)</f>
      </c>
      <c r="AF25" s="22">
        <f>SUM(AF15:AF23)</f>
      </c>
      <c r="AG25" s="22">
        <f>SUM(AG15:AG23)</f>
      </c>
      <c r="AH25" s="22">
        <f>SUM(AH15:AH23)</f>
      </c>
      <c r="AI25" s="22">
        <f>SUM(AI15:AI23)</f>
      </c>
      <c r="AJ25" s="22">
        <f>SUM(AJ15:AJ23)</f>
      </c>
      <c r="AK25" s="22">
        <f>SUM(AK15:AK23)</f>
      </c>
      <c r="AL25" s="22">
        <f>SUM(AL15:AL23)</f>
      </c>
      <c r="AM25" s="23"/>
    </row>
    <row r="27" ht="13.5" customHeight="1" spans="2:39" x14ac:dyDescent="0.25">
      <c r="B27" s="46"/>
      <c r="C27" s="28"/>
      <c r="D27" s="47" t="s">
        <v>43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749</v>
      </c>
      <c r="D28" s="50" t="s">
        <v>43</v>
      </c>
      <c r="E28" s="32" t="s">
        <v>761</v>
      </c>
      <c r="F28" s="32" t="s">
        <v>762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3">
        <f>4684.48+11153.30</f>
        <v>15837.779999999999</v>
      </c>
      <c r="X28" s="33">
        <f>5146.10+11530.44</f>
        <v>16676.54</v>
      </c>
      <c r="Y28" s="33">
        <f>4533.64+10939.13</f>
        <v>15472.77</v>
      </c>
      <c r="Z28" s="33">
        <f>5590.56+11959.57</f>
        <v>17550.13</v>
      </c>
      <c r="AA28" s="33">
        <f>4478.99+10886.36</f>
        <v>15365.35</v>
      </c>
      <c r="AB28" s="33">
        <f>4528.81+10934.47</f>
        <v>15463.279999999999</v>
      </c>
      <c r="AC28" s="33">
        <f>4034.51+10457.23</f>
        <v>14491.74</v>
      </c>
      <c r="AD28" s="33">
        <f>4585.08+10988.79</f>
        <v>15573.87</v>
      </c>
      <c r="AE28" s="33">
        <f>5218.44+11600.28</f>
        <v>16818.72</v>
      </c>
      <c r="AF28" s="33">
        <f>4770.95+11230.90</f>
        <v>16001.849999999999</v>
      </c>
      <c r="AG28" s="33">
        <f>5384.29+11913.93</f>
        <v>17298.22</v>
      </c>
      <c r="AH28" s="33">
        <f>6156.94+12644.27</f>
        <v>18801.21</v>
      </c>
      <c r="AI28" s="33">
        <f>6254.25+12736.27</f>
        <v>18990.52</v>
      </c>
      <c r="AJ28" s="33">
        <f>6033.99+12528.06</f>
        <v>18562.05</v>
      </c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89</v>
      </c>
      <c r="E30" s="21"/>
      <c r="F30" s="21"/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2">
        <f>SUM(AK28:AK28)</f>
      </c>
      <c r="AL30" s="22">
        <f>SUM(AL28:AL28)</f>
      </c>
      <c r="AM30" s="23"/>
    </row>
    <row r="32" ht="13.5" customHeight="1" spans="2:39" x14ac:dyDescent="0.25">
      <c r="B32" s="46"/>
      <c r="C32" s="28"/>
      <c r="D32" s="47" t="s">
        <v>44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90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3"/>
    </row>
    <row r="37" ht="12.75" customHeight="1" spans="2:39" x14ac:dyDescent="0.25">
      <c r="B37" s="11" t="s">
        <v>40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>
        <f>G12</f>
      </c>
      <c r="H38" s="18">
        <f>H12</f>
      </c>
      <c r="I38" s="18">
        <f>I12</f>
      </c>
      <c r="J38" s="18">
        <f>J12</f>
      </c>
      <c r="K38" s="18">
        <f>K12</f>
      </c>
      <c r="L38" s="18">
        <f>L12</f>
      </c>
      <c r="M38" s="18">
        <f>M12</f>
      </c>
      <c r="N38" s="18">
        <f>N12</f>
      </c>
      <c r="O38" s="18">
        <f>O12</f>
      </c>
      <c r="P38" s="18">
        <f>P12</f>
      </c>
      <c r="Q38" s="18">
        <f>Q12</f>
      </c>
      <c r="R38" s="18">
        <f>R12</f>
      </c>
      <c r="S38" s="18">
        <f>S12</f>
      </c>
      <c r="T38" s="18">
        <f>T12</f>
      </c>
      <c r="U38" s="18">
        <f>U12</f>
      </c>
      <c r="V38" s="18">
        <f>V12</f>
      </c>
      <c r="W38" s="18">
        <f>W12</f>
      </c>
      <c r="X38" s="18">
        <f>X12</f>
      </c>
      <c r="Y38" s="18">
        <f>Y12</f>
      </c>
      <c r="Z38" s="18">
        <f>Z12</f>
      </c>
      <c r="AA38" s="18">
        <f>AA12</f>
      </c>
      <c r="AB38" s="18">
        <f>AB12</f>
      </c>
      <c r="AC38" s="18">
        <f>AC12</f>
      </c>
      <c r="AD38" s="18">
        <f>AD12</f>
      </c>
      <c r="AE38" s="18">
        <f>AE12</f>
      </c>
      <c r="AF38" s="18">
        <f>AF12</f>
      </c>
      <c r="AG38" s="18">
        <f>AG12</f>
      </c>
      <c r="AH38" s="18">
        <f>AH12</f>
      </c>
      <c r="AI38" s="18">
        <f>AI12</f>
      </c>
      <c r="AJ38" s="18">
        <f>AJ12</f>
      </c>
      <c r="AK38" s="18">
        <f>AK12</f>
      </c>
      <c r="AL38" s="18">
        <f>AL12</f>
      </c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>
        <f>G25</f>
      </c>
      <c r="H39" s="18">
        <f>H25</f>
      </c>
      <c r="I39" s="18">
        <f>I25</f>
      </c>
      <c r="J39" s="18">
        <f>J25</f>
      </c>
      <c r="K39" s="18">
        <f>K25</f>
      </c>
      <c r="L39" s="18">
        <f>L25</f>
      </c>
      <c r="M39" s="18">
        <f>M25</f>
      </c>
      <c r="N39" s="18">
        <f>N25</f>
      </c>
      <c r="O39" s="18">
        <f>O25</f>
      </c>
      <c r="P39" s="18">
        <f>P25</f>
      </c>
      <c r="Q39" s="18">
        <f>Q25</f>
      </c>
      <c r="R39" s="18">
        <f>R25</f>
      </c>
      <c r="S39" s="18">
        <f>S25</f>
      </c>
      <c r="T39" s="18">
        <f>T25</f>
      </c>
      <c r="U39" s="18">
        <f>U25</f>
      </c>
      <c r="V39" s="18">
        <f>V25</f>
      </c>
      <c r="W39" s="18">
        <f>W25</f>
      </c>
      <c r="X39" s="18">
        <f>X25</f>
      </c>
      <c r="Y39" s="18">
        <f>Y25</f>
      </c>
      <c r="Z39" s="18">
        <f>Z25</f>
      </c>
      <c r="AA39" s="18">
        <f>AA25</f>
      </c>
      <c r="AB39" s="18">
        <f>AB25</f>
      </c>
      <c r="AC39" s="18">
        <f>AC25</f>
      </c>
      <c r="AD39" s="18">
        <f>AD25</f>
      </c>
      <c r="AE39" s="18">
        <f>AE25</f>
      </c>
      <c r="AF39" s="18">
        <f>AF25</f>
      </c>
      <c r="AG39" s="18">
        <f>AG25</f>
      </c>
      <c r="AH39" s="18">
        <f>AH25</f>
      </c>
      <c r="AI39" s="18">
        <f>AI25</f>
      </c>
      <c r="AJ39" s="18">
        <f>AJ25</f>
      </c>
      <c r="AK39" s="18">
        <f>AK25</f>
      </c>
      <c r="AL39" s="18">
        <f>AL25</f>
      </c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>
        <f>G30</f>
      </c>
      <c r="H40" s="18">
        <f>H30</f>
      </c>
      <c r="I40" s="18">
        <f>I30</f>
      </c>
      <c r="J40" s="18">
        <f>J30</f>
      </c>
      <c r="K40" s="18">
        <f>K30</f>
      </c>
      <c r="L40" s="18">
        <f>L30</f>
      </c>
      <c r="M40" s="18">
        <f>M30</f>
      </c>
      <c r="N40" s="18">
        <f>N30</f>
      </c>
      <c r="O40" s="18">
        <f>O30</f>
      </c>
      <c r="P40" s="18">
        <f>P30</f>
      </c>
      <c r="Q40" s="18">
        <f>Q30</f>
      </c>
      <c r="R40" s="18">
        <f>R30</f>
      </c>
      <c r="S40" s="18">
        <f>S30</f>
      </c>
      <c r="T40" s="18">
        <f>T30</f>
      </c>
      <c r="U40" s="18">
        <f>U30</f>
      </c>
      <c r="V40" s="18">
        <f>V30</f>
      </c>
      <c r="W40" s="18">
        <f>W30</f>
      </c>
      <c r="X40" s="18">
        <f>X30</f>
      </c>
      <c r="Y40" s="18">
        <f>Y30</f>
      </c>
      <c r="Z40" s="18">
        <f>Z30</f>
      </c>
      <c r="AA40" s="18">
        <f>AA30</f>
      </c>
      <c r="AB40" s="18">
        <f>AB30</f>
      </c>
      <c r="AC40" s="18">
        <f>AC30</f>
      </c>
      <c r="AD40" s="18">
        <f>AD30</f>
      </c>
      <c r="AE40" s="18">
        <f>AE30</f>
      </c>
      <c r="AF40" s="18">
        <f>AF30</f>
      </c>
      <c r="AG40" s="18">
        <f>AG30</f>
      </c>
      <c r="AH40" s="18">
        <f>AH30</f>
      </c>
      <c r="AI40" s="18">
        <f>AI30</f>
      </c>
      <c r="AJ40" s="18">
        <f>AJ30</f>
      </c>
      <c r="AK40" s="18">
        <f>AK30</f>
      </c>
      <c r="AL40" s="18">
        <f>AL30</f>
      </c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>
        <f>G34</f>
      </c>
      <c r="H41" s="18">
        <f>H34</f>
      </c>
      <c r="I41" s="18">
        <f>I34</f>
      </c>
      <c r="J41" s="18">
        <f>J34</f>
      </c>
      <c r="K41" s="18">
        <f>K34</f>
      </c>
      <c r="L41" s="18">
        <f>L34</f>
      </c>
      <c r="M41" s="18">
        <f>M34</f>
      </c>
      <c r="N41" s="18">
        <f>N34</f>
      </c>
      <c r="O41" s="18">
        <f>O34</f>
      </c>
      <c r="P41" s="18">
        <f>P34</f>
      </c>
      <c r="Q41" s="18">
        <f>Q34</f>
      </c>
      <c r="R41" s="18">
        <f>R34</f>
      </c>
      <c r="S41" s="18">
        <f>S34</f>
      </c>
      <c r="T41" s="18">
        <f>T34</f>
      </c>
      <c r="U41" s="18">
        <f>U34</f>
      </c>
      <c r="V41" s="18">
        <f>V34</f>
      </c>
      <c r="W41" s="18">
        <f>W34</f>
      </c>
      <c r="X41" s="18">
        <f>X34</f>
      </c>
      <c r="Y41" s="18">
        <f>Y34</f>
      </c>
      <c r="Z41" s="18">
        <f>Z34</f>
      </c>
      <c r="AA41" s="18">
        <f>AA34</f>
      </c>
      <c r="AB41" s="18">
        <f>AB34</f>
      </c>
      <c r="AC41" s="18">
        <f>AC34</f>
      </c>
      <c r="AD41" s="18">
        <f>AD34</f>
      </c>
      <c r="AE41" s="18">
        <f>AE34</f>
      </c>
      <c r="AF41" s="18">
        <f>AF34</f>
      </c>
      <c r="AG41" s="18">
        <f>AG34</f>
      </c>
      <c r="AH41" s="18">
        <f>AH34</f>
      </c>
      <c r="AI41" s="18">
        <f>AI34</f>
      </c>
      <c r="AJ41" s="18">
        <f>AJ34</f>
      </c>
      <c r="AK41" s="18">
        <f>AK34</f>
      </c>
      <c r="AL41" s="18">
        <f>AL34</f>
      </c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46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47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5">
        <f>G52+G53+G54+G55</f>
      </c>
      <c r="H56" s="25">
        <f>H52+H53+H54+H55</f>
      </c>
      <c r="I56" s="25">
        <f>I52+I53+I54+I55</f>
      </c>
      <c r="J56" s="25">
        <f>J52+J53+J54+J55</f>
      </c>
      <c r="K56" s="25">
        <f>K52+K53+K54+K55</f>
      </c>
      <c r="L56" s="25">
        <f>L52+L53+L54+L55</f>
      </c>
      <c r="M56" s="25">
        <f>M52+M53+M54+M55</f>
      </c>
      <c r="N56" s="25">
        <f>N52+N53+N54+N55</f>
      </c>
      <c r="O56" s="25">
        <f>O52+O53+O54+O55</f>
      </c>
      <c r="P56" s="25">
        <f>P52+P53+P54+P55</f>
      </c>
      <c r="Q56" s="25">
        <f>Q52+Q53+Q54+Q55</f>
      </c>
      <c r="R56" s="25">
        <f>R52+R53+R54+R55</f>
      </c>
      <c r="S56" s="25">
        <f>S52+S53+S54+S55</f>
      </c>
      <c r="T56" s="25">
        <f>T52+T53+T54+T55</f>
      </c>
      <c r="U56" s="25">
        <f>U52+U53+U54+U55</f>
      </c>
      <c r="V56" s="25">
        <f>V52+V53+V54+V55</f>
      </c>
      <c r="W56" s="25">
        <f>W52+W53+W54+W55</f>
      </c>
      <c r="X56" s="25">
        <f>X52+X53+X54+X55</f>
      </c>
      <c r="Y56" s="25">
        <f>Y52+Y53+Y54+Y55</f>
      </c>
      <c r="Z56" s="25">
        <f>Z52+Z53+Z54+Z55</f>
      </c>
      <c r="AA56" s="25">
        <f>AA52+AA53+AA54+AA55</f>
      </c>
      <c r="AB56" s="25">
        <f>AB52+AB53+AB54+AB55</f>
      </c>
      <c r="AC56" s="25">
        <f>AC52+AC53+AC54+AC55</f>
      </c>
      <c r="AD56" s="25">
        <f>AD52+AD53+AD54+AD55</f>
      </c>
      <c r="AE56" s="25">
        <f>AE52+AE53+AE54+AE55</f>
      </c>
      <c r="AF56" s="25">
        <f>AF52+AF53+AF54+AF55</f>
      </c>
      <c r="AG56" s="25">
        <f>AG52+AG53+AG54+AG55</f>
      </c>
      <c r="AH56" s="25">
        <f>AH52+AH53+AH54+AH55</f>
      </c>
      <c r="AI56" s="25">
        <f>AI52+AI53+AI54+AI55</f>
      </c>
      <c r="AJ56" s="25">
        <f>AJ52+AJ53+AJ54+AJ55</f>
      </c>
      <c r="AK56" s="25">
        <f>AK52+AK53+AK54+AK55</f>
      </c>
      <c r="AL56" s="25">
        <f>AL52+AL53+AL54+AL55</f>
      </c>
      <c r="AM56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778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751</v>
      </c>
      <c r="E9" s="32"/>
      <c r="F9" s="32"/>
      <c r="G9" s="32"/>
      <c r="H9" s="32"/>
      <c r="I9" s="36">
        <f>1835.08+1521.26</f>
        <v>3356.34</v>
      </c>
      <c r="J9" s="32"/>
      <c r="K9" s="33">
        <v>1119.37</v>
      </c>
      <c r="L9" s="36">
        <f>882.54+258.69</f>
        <v>1141.23</v>
      </c>
      <c r="M9" s="33">
        <v>120.49</v>
      </c>
      <c r="N9" s="32"/>
      <c r="O9" s="36">
        <f>101.13+113.10</f>
        <v>214.23</v>
      </c>
      <c r="P9" s="33">
        <v>95.12</v>
      </c>
      <c r="Q9" s="32"/>
      <c r="R9" s="36">
        <f>90.51+243.02</f>
        <v>333.53000000000003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752</v>
      </c>
      <c r="E14" s="32"/>
      <c r="F14" s="32"/>
      <c r="G14" s="32"/>
      <c r="H14" s="32"/>
      <c r="I14" s="36">
        <f>37.99+37.97</f>
        <v>75.96000000000001</v>
      </c>
      <c r="J14" s="33">
        <v>37.97</v>
      </c>
      <c r="K14" s="33">
        <v>37.98</v>
      </c>
      <c r="L14" s="32"/>
      <c r="M14" s="36">
        <f>37.94+38.01</f>
        <v>75.94999999999999</v>
      </c>
      <c r="N14" s="32"/>
      <c r="O14" s="36">
        <f>38.01+38.01</f>
        <v>76.02</v>
      </c>
      <c r="P14" s="33">
        <v>37.99</v>
      </c>
      <c r="Q14" s="32"/>
      <c r="R14" s="36">
        <f>37.99+38.00</f>
        <v>75.99000000000001</v>
      </c>
      <c r="S14" s="33">
        <v>38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753</v>
      </c>
      <c r="E15" s="32"/>
      <c r="F15" s="32"/>
      <c r="G15" s="32"/>
      <c r="H15" s="33">
        <v>636.79</v>
      </c>
      <c r="I15" s="33">
        <v>685.65</v>
      </c>
      <c r="J15" s="33">
        <v>604.13</v>
      </c>
      <c r="K15" s="33">
        <v>644.51</v>
      </c>
      <c r="L15" s="33">
        <v>720.92</v>
      </c>
      <c r="M15" s="33">
        <v>923.96</v>
      </c>
      <c r="N15" s="33">
        <v>941.94</v>
      </c>
      <c r="O15" s="33">
        <v>766.51</v>
      </c>
      <c r="P15" s="33">
        <v>901.97</v>
      </c>
      <c r="Q15" s="33">
        <v>823.39</v>
      </c>
      <c r="R15" s="33">
        <v>611.87</v>
      </c>
      <c r="S15" s="33">
        <v>498.31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754</v>
      </c>
      <c r="E16" s="32"/>
      <c r="F16" s="32"/>
      <c r="G16" s="32"/>
      <c r="H16" s="32"/>
      <c r="I16" s="36">
        <f>33.23+33.24</f>
        <v>66.47</v>
      </c>
      <c r="J16" s="33">
        <v>33.24</v>
      </c>
      <c r="K16" s="33">
        <v>33.25</v>
      </c>
      <c r="L16" s="32"/>
      <c r="M16" s="36">
        <f>33.25+33.24</f>
        <v>66.49000000000001</v>
      </c>
      <c r="N16" s="32"/>
      <c r="O16" s="36">
        <f>33.24+33.25</f>
        <v>66.49000000000001</v>
      </c>
      <c r="P16" s="33">
        <v>33.25</v>
      </c>
      <c r="Q16" s="32"/>
      <c r="R16" s="36">
        <f>33.26+33.25</f>
        <v>66.50999999999999</v>
      </c>
      <c r="S16" s="33">
        <v>33.25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755</v>
      </c>
      <c r="E17" s="32"/>
      <c r="F17" s="32"/>
      <c r="G17" s="32"/>
      <c r="H17" s="32"/>
      <c r="I17" s="36">
        <f>77.05+61.21</f>
        <v>138.26</v>
      </c>
      <c r="J17" s="33">
        <v>63.76</v>
      </c>
      <c r="K17" s="33">
        <v>56.41</v>
      </c>
      <c r="L17" s="32"/>
      <c r="M17" s="36">
        <f>47.93+38.93</f>
        <v>86.86</v>
      </c>
      <c r="N17" s="32"/>
      <c r="O17" s="36">
        <f>62.70+96.07</f>
        <v>158.76999999999998</v>
      </c>
      <c r="P17" s="33">
        <v>148.35</v>
      </c>
      <c r="Q17" s="32"/>
      <c r="R17" s="36">
        <f>69.43+41.19</f>
        <v>110.62</v>
      </c>
      <c r="S17" s="33">
        <v>37.86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756</v>
      </c>
      <c r="E18" s="32"/>
      <c r="F18" s="32"/>
      <c r="G18" s="32"/>
      <c r="H18" s="32"/>
      <c r="I18" s="36">
        <f>37.69+37.84</f>
        <v>75.53</v>
      </c>
      <c r="J18" s="33">
        <v>37.92</v>
      </c>
      <c r="K18" s="33">
        <v>37.62</v>
      </c>
      <c r="L18" s="32"/>
      <c r="M18" s="36">
        <f>37.83+37.86</f>
        <v>75.69</v>
      </c>
      <c r="N18" s="32"/>
      <c r="O18" s="36">
        <f>37.84+37.88</f>
        <v>75.72</v>
      </c>
      <c r="P18" s="33">
        <v>37.92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757</v>
      </c>
      <c r="E19" s="32"/>
      <c r="F19" s="32"/>
      <c r="G19" s="32"/>
      <c r="H19" s="33">
        <v>298.31</v>
      </c>
      <c r="I19" s="33">
        <v>298.31</v>
      </c>
      <c r="J19" s="33">
        <v>298.27</v>
      </c>
      <c r="K19" s="33">
        <v>298.32</v>
      </c>
      <c r="L19" s="33">
        <v>298.32</v>
      </c>
      <c r="M19" s="33">
        <v>294.61</v>
      </c>
      <c r="N19" s="33">
        <v>294.61</v>
      </c>
      <c r="O19" s="33">
        <v>294.61</v>
      </c>
      <c r="P19" s="33">
        <v>294.65</v>
      </c>
      <c r="Q19" s="33">
        <v>294.65</v>
      </c>
      <c r="R19" s="33">
        <v>294.65</v>
      </c>
      <c r="S19" s="33">
        <v>294.65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779</v>
      </c>
      <c r="E20" s="32"/>
      <c r="F20" s="32"/>
      <c r="G20" s="32"/>
      <c r="H20" s="32"/>
      <c r="I20" s="36">
        <f>34.23+30.00+34.21</f>
        <v>98.44</v>
      </c>
      <c r="J20" s="33">
        <v>17.93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85</v>
      </c>
      <c r="C22" s="21"/>
      <c r="D22" s="21"/>
      <c r="E22" s="22">
        <f>SUM(E14:E20)</f>
      </c>
      <c r="F22" s="22">
        <f>SUM(F14:F20)</f>
      </c>
      <c r="G22" s="22">
        <f>SUM(G14:G20)</f>
      </c>
      <c r="H22" s="22">
        <f>SUM(H14:H20)</f>
      </c>
      <c r="I22" s="22">
        <f>SUM(I14:I20)</f>
      </c>
      <c r="J22" s="22">
        <f>SUM(J14:J20)</f>
      </c>
      <c r="K22" s="22">
        <f>SUM(K14:K20)</f>
      </c>
      <c r="L22" s="22">
        <f>SUM(L14:L20)</f>
      </c>
      <c r="M22" s="22">
        <f>SUM(M14:M20)</f>
      </c>
      <c r="N22" s="22">
        <f>SUM(N14:N20)</f>
      </c>
      <c r="O22" s="22">
        <f>SUM(O14:O20)</f>
      </c>
      <c r="P22" s="22">
        <f>SUM(P14:P20)</f>
      </c>
      <c r="Q22" s="22">
        <f>SUM(Q14:Q20)</f>
      </c>
      <c r="R22" s="22">
        <f>SUM(R14:R20)</f>
      </c>
      <c r="S22" s="22">
        <f>SUM(S14:S20)</f>
      </c>
      <c r="T22" s="22">
        <f>SUM(T14:T20)</f>
      </c>
      <c r="U22" s="22">
        <f>SUM(U14:U20)</f>
      </c>
      <c r="V22" s="22">
        <f>SUM(V14:V20)</f>
      </c>
      <c r="W22" s="22">
        <f>SUM(W14:W20)</f>
      </c>
      <c r="X22" s="22">
        <f>SUM(X14:X20)</f>
      </c>
      <c r="Y22" s="22">
        <f>SUM(Y14:Y20)</f>
      </c>
      <c r="Z22" s="22">
        <f>SUM(Z14:Z20)</f>
      </c>
      <c r="AA22" s="22">
        <f>SUM(AA14:AA20)</f>
      </c>
      <c r="AB22" s="22">
        <f>SUM(AB14:AB20)</f>
      </c>
      <c r="AC22" s="22">
        <f>SUM(AC14:AC20)</f>
      </c>
      <c r="AD22" s="22">
        <f>SUM(AD14:AD20)</f>
      </c>
      <c r="AE22" s="22">
        <f>SUM(AE14:AE20)</f>
      </c>
      <c r="AF22" s="22">
        <f>SUM(AF14:AF20)</f>
      </c>
      <c r="AG22" s="22">
        <f>SUM(AG14:AG20)</f>
      </c>
      <c r="AH22" s="22">
        <f>SUM(AH14:AH20)</f>
      </c>
      <c r="AI22" s="22">
        <f>SUM(AI14:AI20)</f>
      </c>
      <c r="AJ22" s="22">
        <f>SUM(AJ14:AJ20)</f>
      </c>
      <c r="AK22" s="23"/>
    </row>
    <row r="24" ht="12.75" customHeight="1" spans="2:37" x14ac:dyDescent="0.25">
      <c r="B24" s="26" t="s">
        <v>43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43</v>
      </c>
      <c r="C25" s="31" t="s">
        <v>3</v>
      </c>
      <c r="D25" s="32" t="s">
        <v>780</v>
      </c>
      <c r="E25" s="32"/>
      <c r="F25" s="32"/>
      <c r="G25" s="32"/>
      <c r="H25" s="36">
        <f>10347.76+3783.75</f>
        <v>14131.51</v>
      </c>
      <c r="I25" s="36">
        <f>16298.15+3308.65</f>
        <v>19606.8</v>
      </c>
      <c r="J25" s="36">
        <f>15189.43+2919.64</f>
        <v>18109.07</v>
      </c>
      <c r="K25" s="36">
        <f>13622.56+5062.02</f>
        <v>18684.58</v>
      </c>
      <c r="L25" s="36">
        <f>17953.57+10626.85</f>
        <v>28580.42</v>
      </c>
      <c r="M25" s="36">
        <f>6499.49+267.14</f>
        <v>6766.63</v>
      </c>
      <c r="N25" s="36">
        <f>11622.27+4898.13</f>
        <v>16520.4</v>
      </c>
      <c r="O25" s="36">
        <f>6374.16+10140.55</f>
        <v>16514.71</v>
      </c>
      <c r="P25" s="36">
        <f>6374.16+9452.78</f>
        <v>15826.94</v>
      </c>
      <c r="Q25" s="36">
        <f>11400.71+4697.65</f>
        <v>16098.359999999999</v>
      </c>
      <c r="R25" s="36">
        <f>10471.94+3857.27</f>
        <v>14329.210000000001</v>
      </c>
      <c r="S25" s="36">
        <f>10471.20+4105.57</f>
        <v>14576.77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89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29" ht="12.75" customHeight="1" spans="2:37" x14ac:dyDescent="0.25">
      <c r="B29" s="26" t="s">
        <v>44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90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3"/>
    </row>
    <row r="34" ht="12.75" customHeight="1" spans="2:37" x14ac:dyDescent="0.25">
      <c r="B34" s="11" t="s">
        <v>40</v>
      </c>
      <c r="C34" s="12"/>
      <c r="D34" s="13"/>
      <c r="E34" s="14" t="s">
        <v>7</v>
      </c>
      <c r="F34" s="14" t="s">
        <v>8</v>
      </c>
      <c r="G34" s="14" t="s">
        <v>9</v>
      </c>
      <c r="H34" s="14" t="s">
        <v>10</v>
      </c>
      <c r="I34" s="14" t="s">
        <v>11</v>
      </c>
      <c r="J34" s="14" t="s">
        <v>12</v>
      </c>
      <c r="K34" s="14" t="s">
        <v>13</v>
      </c>
      <c r="L34" s="14" t="s">
        <v>14</v>
      </c>
      <c r="M34" s="14" t="s">
        <v>15</v>
      </c>
      <c r="N34" s="14" t="s">
        <v>16</v>
      </c>
      <c r="O34" s="14" t="s">
        <v>17</v>
      </c>
      <c r="P34" s="14" t="s">
        <v>18</v>
      </c>
      <c r="Q34" s="14" t="s">
        <v>19</v>
      </c>
      <c r="R34" s="14" t="s">
        <v>20</v>
      </c>
      <c r="S34" s="14" t="s">
        <v>21</v>
      </c>
      <c r="T34" s="14" t="s">
        <v>22</v>
      </c>
      <c r="U34" s="14" t="s">
        <v>23</v>
      </c>
      <c r="V34" s="14" t="s">
        <v>24</v>
      </c>
      <c r="W34" s="14" t="s">
        <v>25</v>
      </c>
      <c r="X34" s="14" t="s">
        <v>26</v>
      </c>
      <c r="Y34" s="14" t="s">
        <v>27</v>
      </c>
      <c r="Z34" s="14" t="s">
        <v>28</v>
      </c>
      <c r="AA34" s="14" t="s">
        <v>29</v>
      </c>
      <c r="AB34" s="14" t="s">
        <v>30</v>
      </c>
      <c r="AC34" s="14" t="s">
        <v>31</v>
      </c>
      <c r="AD34" s="14" t="s">
        <v>32</v>
      </c>
      <c r="AE34" s="14" t="s">
        <v>33</v>
      </c>
      <c r="AF34" s="14" t="s">
        <v>34</v>
      </c>
      <c r="AG34" s="14" t="s">
        <v>35</v>
      </c>
      <c r="AH34" s="14" t="s">
        <v>36</v>
      </c>
      <c r="AI34" s="14" t="s">
        <v>37</v>
      </c>
      <c r="AJ34" s="14" t="s">
        <v>38</v>
      </c>
      <c r="AK34" s="15"/>
    </row>
    <row r="35" ht="12.75" customHeight="1" spans="2:37" x14ac:dyDescent="0.25">
      <c r="B35" s="16" t="s">
        <v>41</v>
      </c>
      <c r="C35" s="17"/>
      <c r="D35" s="17"/>
      <c r="E35" s="18">
        <f>E11</f>
      </c>
      <c r="F35" s="18">
        <f>F11</f>
      </c>
      <c r="G35" s="18">
        <f>G11</f>
      </c>
      <c r="H35" s="18">
        <f>H11</f>
      </c>
      <c r="I35" s="18">
        <f>I11</f>
      </c>
      <c r="J35" s="18">
        <f>J11</f>
      </c>
      <c r="K35" s="18">
        <f>K11</f>
      </c>
      <c r="L35" s="18">
        <f>L11</f>
      </c>
      <c r="M35" s="18">
        <f>M11</f>
      </c>
      <c r="N35" s="18">
        <f>N11</f>
      </c>
      <c r="O35" s="18">
        <f>O11</f>
      </c>
      <c r="P35" s="18">
        <f>P11</f>
      </c>
      <c r="Q35" s="18">
        <f>Q11</f>
      </c>
      <c r="R35" s="18">
        <f>R11</f>
      </c>
      <c r="S35" s="18">
        <f>S11</f>
      </c>
      <c r="T35" s="18">
        <f>T11</f>
      </c>
      <c r="U35" s="18">
        <f>U11</f>
      </c>
      <c r="V35" s="18">
        <f>V11</f>
      </c>
      <c r="W35" s="18">
        <f>W11</f>
      </c>
      <c r="X35" s="18">
        <f>X11</f>
      </c>
      <c r="Y35" s="18">
        <f>Y11</f>
      </c>
      <c r="Z35" s="18">
        <f>Z11</f>
      </c>
      <c r="AA35" s="18">
        <f>AA11</f>
      </c>
      <c r="AB35" s="18">
        <f>AB11</f>
      </c>
      <c r="AC35" s="18">
        <f>AC11</f>
      </c>
      <c r="AD35" s="18">
        <f>AD11</f>
      </c>
      <c r="AE35" s="18">
        <f>AE11</f>
      </c>
      <c r="AF35" s="18">
        <f>AF11</f>
      </c>
      <c r="AG35" s="18">
        <f>AG11</f>
      </c>
      <c r="AH35" s="18">
        <f>AH11</f>
      </c>
      <c r="AI35" s="18">
        <f>AI11</f>
      </c>
      <c r="AJ35" s="18">
        <f>AJ11</f>
      </c>
      <c r="AK35" s="19"/>
    </row>
    <row r="36" ht="12.75" customHeight="1" spans="2:37" x14ac:dyDescent="0.25">
      <c r="B36" s="16" t="s">
        <v>42</v>
      </c>
      <c r="C36" s="17"/>
      <c r="D36" s="17"/>
      <c r="E36" s="18">
        <f>E22</f>
      </c>
      <c r="F36" s="18">
        <f>F22</f>
      </c>
      <c r="G36" s="18">
        <f>G22</f>
      </c>
      <c r="H36" s="18">
        <f>H22</f>
      </c>
      <c r="I36" s="18">
        <f>I22</f>
      </c>
      <c r="J36" s="18">
        <f>J22</f>
      </c>
      <c r="K36" s="18">
        <f>K22</f>
      </c>
      <c r="L36" s="18">
        <f>L22</f>
      </c>
      <c r="M36" s="18">
        <f>M22</f>
      </c>
      <c r="N36" s="18">
        <f>N22</f>
      </c>
      <c r="O36" s="18">
        <f>O22</f>
      </c>
      <c r="P36" s="18">
        <f>P22</f>
      </c>
      <c r="Q36" s="18">
        <f>Q22</f>
      </c>
      <c r="R36" s="18">
        <f>R22</f>
      </c>
      <c r="S36" s="18">
        <f>S22</f>
      </c>
      <c r="T36" s="18">
        <f>T22</f>
      </c>
      <c r="U36" s="18">
        <f>U22</f>
      </c>
      <c r="V36" s="18">
        <f>V22</f>
      </c>
      <c r="W36" s="18">
        <f>W22</f>
      </c>
      <c r="X36" s="18">
        <f>X22</f>
      </c>
      <c r="Y36" s="18">
        <f>Y22</f>
      </c>
      <c r="Z36" s="18">
        <f>Z22</f>
      </c>
      <c r="AA36" s="18">
        <f>AA22</f>
      </c>
      <c r="AB36" s="18">
        <f>AB22</f>
      </c>
      <c r="AC36" s="18">
        <f>AC22</f>
      </c>
      <c r="AD36" s="18">
        <f>AD22</f>
      </c>
      <c r="AE36" s="18">
        <f>AE22</f>
      </c>
      <c r="AF36" s="18">
        <f>AF22</f>
      </c>
      <c r="AG36" s="18">
        <f>AG22</f>
      </c>
      <c r="AH36" s="18">
        <f>AH22</f>
      </c>
      <c r="AI36" s="18">
        <f>AI22</f>
      </c>
      <c r="AJ36" s="18">
        <f>AJ22</f>
      </c>
      <c r="AK36" s="19"/>
    </row>
    <row r="37" ht="12.75" customHeight="1" spans="2:37" x14ac:dyDescent="0.25">
      <c r="B37" s="16" t="s">
        <v>43</v>
      </c>
      <c r="C37" s="17"/>
      <c r="D37" s="17"/>
      <c r="E37" s="18">
        <f>E27</f>
      </c>
      <c r="F37" s="18">
        <f>F27</f>
      </c>
      <c r="G37" s="18">
        <f>G27</f>
      </c>
      <c r="H37" s="18">
        <f>H27</f>
      </c>
      <c r="I37" s="18">
        <f>I27</f>
      </c>
      <c r="J37" s="18">
        <f>J27</f>
      </c>
      <c r="K37" s="18">
        <f>K27</f>
      </c>
      <c r="L37" s="18">
        <f>L27</f>
      </c>
      <c r="M37" s="18">
        <f>M27</f>
      </c>
      <c r="N37" s="18">
        <f>N27</f>
      </c>
      <c r="O37" s="18">
        <f>O27</f>
      </c>
      <c r="P37" s="18">
        <f>P27</f>
      </c>
      <c r="Q37" s="18">
        <f>Q27</f>
      </c>
      <c r="R37" s="18">
        <f>R27</f>
      </c>
      <c r="S37" s="18">
        <f>S27</f>
      </c>
      <c r="T37" s="18">
        <f>T27</f>
      </c>
      <c r="U37" s="18">
        <f>U27</f>
      </c>
      <c r="V37" s="18">
        <f>V27</f>
      </c>
      <c r="W37" s="18">
        <f>W27</f>
      </c>
      <c r="X37" s="18">
        <f>X27</f>
      </c>
      <c r="Y37" s="18">
        <f>Y27</f>
      </c>
      <c r="Z37" s="18">
        <f>Z27</f>
      </c>
      <c r="AA37" s="18">
        <f>AA27</f>
      </c>
      <c r="AB37" s="18">
        <f>AB27</f>
      </c>
      <c r="AC37" s="18">
        <f>AC27</f>
      </c>
      <c r="AD37" s="18">
        <f>AD27</f>
      </c>
      <c r="AE37" s="18">
        <f>AE27</f>
      </c>
      <c r="AF37" s="18">
        <f>AF27</f>
      </c>
      <c r="AG37" s="18">
        <f>AG27</f>
      </c>
      <c r="AH37" s="18">
        <f>AH27</f>
      </c>
      <c r="AI37" s="18">
        <f>AI27</f>
      </c>
      <c r="AJ37" s="18">
        <f>AJ27</f>
      </c>
      <c r="AK37" s="19"/>
    </row>
    <row r="38" ht="12.75" customHeight="1" spans="2:37" x14ac:dyDescent="0.25">
      <c r="B38" s="16" t="s">
        <v>44</v>
      </c>
      <c r="C38" s="17"/>
      <c r="D38" s="17"/>
      <c r="E38" s="18">
        <f>E31</f>
      </c>
      <c r="F38" s="18">
        <f>F31</f>
      </c>
      <c r="G38" s="18">
        <f>G31</f>
      </c>
      <c r="H38" s="18">
        <f>H31</f>
      </c>
      <c r="I38" s="18">
        <f>I31</f>
      </c>
      <c r="J38" s="18">
        <f>J31</f>
      </c>
      <c r="K38" s="18">
        <f>K31</f>
      </c>
      <c r="L38" s="18">
        <f>L31</f>
      </c>
      <c r="M38" s="18">
        <f>M31</f>
      </c>
      <c r="N38" s="18">
        <f>N31</f>
      </c>
      <c r="O38" s="18">
        <f>O31</f>
      </c>
      <c r="P38" s="18">
        <f>P31</f>
      </c>
      <c r="Q38" s="18">
        <f>Q31</f>
      </c>
      <c r="R38" s="18">
        <f>R31</f>
      </c>
      <c r="S38" s="18">
        <f>S31</f>
      </c>
      <c r="T38" s="18">
        <f>T31</f>
      </c>
      <c r="U38" s="18">
        <f>U31</f>
      </c>
      <c r="V38" s="18">
        <f>V31</f>
      </c>
      <c r="W38" s="18">
        <f>W31</f>
      </c>
      <c r="X38" s="18">
        <f>X31</f>
      </c>
      <c r="Y38" s="18">
        <f>Y31</f>
      </c>
      <c r="Z38" s="18">
        <f>Z31</f>
      </c>
      <c r="AA38" s="18">
        <f>AA31</f>
      </c>
      <c r="AB38" s="18">
        <f>AB31</f>
      </c>
      <c r="AC38" s="18">
        <f>AC31</f>
      </c>
      <c r="AD38" s="18">
        <f>AD31</f>
      </c>
      <c r="AE38" s="18">
        <f>AE31</f>
      </c>
      <c r="AF38" s="18">
        <f>AF31</f>
      </c>
      <c r="AG38" s="18">
        <f>AG31</f>
      </c>
      <c r="AH38" s="18">
        <f>AH31</f>
      </c>
      <c r="AI38" s="18">
        <f>AI31</f>
      </c>
      <c r="AJ38" s="18">
        <f>AJ31</f>
      </c>
      <c r="AK38" s="19"/>
    </row>
    <row r="39" ht="12.75" customHeight="1" spans="2:37" x14ac:dyDescent="0.25">
      <c r="B39" s="20" t="s">
        <v>45</v>
      </c>
      <c r="C39" s="21"/>
      <c r="D39" s="21"/>
      <c r="E39" s="22">
        <f>E35+E36+E37+E38</f>
      </c>
      <c r="F39" s="22">
        <f>F35+F36+F37+F38</f>
      </c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3"/>
    </row>
    <row r="41" ht="12.75" customHeight="1" spans="2:37" x14ac:dyDescent="0.25">
      <c r="B41" s="11" t="s">
        <v>46</v>
      </c>
      <c r="C41" s="12"/>
      <c r="D41" s="13"/>
      <c r="E41" s="14" t="s">
        <v>7</v>
      </c>
      <c r="F41" s="14" t="s">
        <v>8</v>
      </c>
      <c r="G41" s="14" t="s">
        <v>9</v>
      </c>
      <c r="H41" s="14" t="s">
        <v>10</v>
      </c>
      <c r="I41" s="14" t="s">
        <v>11</v>
      </c>
      <c r="J41" s="14" t="s">
        <v>12</v>
      </c>
      <c r="K41" s="14" t="s">
        <v>13</v>
      </c>
      <c r="L41" s="14" t="s">
        <v>14</v>
      </c>
      <c r="M41" s="14" t="s">
        <v>15</v>
      </c>
      <c r="N41" s="14" t="s">
        <v>16</v>
      </c>
      <c r="O41" s="14" t="s">
        <v>17</v>
      </c>
      <c r="P41" s="14" t="s">
        <v>18</v>
      </c>
      <c r="Q41" s="14" t="s">
        <v>19</v>
      </c>
      <c r="R41" s="14" t="s">
        <v>20</v>
      </c>
      <c r="S41" s="14" t="s">
        <v>21</v>
      </c>
      <c r="T41" s="14" t="s">
        <v>22</v>
      </c>
      <c r="U41" s="14" t="s">
        <v>23</v>
      </c>
      <c r="V41" s="14" t="s">
        <v>24</v>
      </c>
      <c r="W41" s="14" t="s">
        <v>25</v>
      </c>
      <c r="X41" s="14" t="s">
        <v>26</v>
      </c>
      <c r="Y41" s="14" t="s">
        <v>27</v>
      </c>
      <c r="Z41" s="14" t="s">
        <v>28</v>
      </c>
      <c r="AA41" s="14" t="s">
        <v>29</v>
      </c>
      <c r="AB41" s="14" t="s">
        <v>30</v>
      </c>
      <c r="AC41" s="14" t="s">
        <v>31</v>
      </c>
      <c r="AD41" s="14" t="s">
        <v>32</v>
      </c>
      <c r="AE41" s="14" t="s">
        <v>33</v>
      </c>
      <c r="AF41" s="14" t="s">
        <v>34</v>
      </c>
      <c r="AG41" s="14" t="s">
        <v>35</v>
      </c>
      <c r="AH41" s="14" t="s">
        <v>36</v>
      </c>
      <c r="AI41" s="14" t="s">
        <v>37</v>
      </c>
      <c r="AJ41" s="14" t="s">
        <v>38</v>
      </c>
      <c r="AK41" s="15"/>
    </row>
    <row r="42" ht="12.75" customHeight="1" spans="2:37" x14ac:dyDescent="0.25">
      <c r="B42" s="16" t="s">
        <v>41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42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43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44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20" t="s">
        <v>45</v>
      </c>
      <c r="C46" s="21"/>
      <c r="D46" s="21"/>
      <c r="E46" s="22">
        <f>E42+E43+E44+E45</f>
      </c>
      <c r="F46" s="22">
        <f>F42+F43+F44+F45</f>
      </c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3"/>
    </row>
    <row r="48" ht="12.75" customHeight="1" spans="2:37" x14ac:dyDescent="0.25">
      <c r="B48" s="11" t="s">
        <v>47</v>
      </c>
      <c r="C48" s="12"/>
      <c r="D48" s="13"/>
      <c r="E48" s="14" t="s">
        <v>7</v>
      </c>
      <c r="F48" s="14" t="s">
        <v>8</v>
      </c>
      <c r="G48" s="14" t="s">
        <v>9</v>
      </c>
      <c r="H48" s="14" t="s">
        <v>10</v>
      </c>
      <c r="I48" s="14" t="s">
        <v>11</v>
      </c>
      <c r="J48" s="14" t="s">
        <v>12</v>
      </c>
      <c r="K48" s="14" t="s">
        <v>13</v>
      </c>
      <c r="L48" s="14" t="s">
        <v>14</v>
      </c>
      <c r="M48" s="14" t="s">
        <v>15</v>
      </c>
      <c r="N48" s="14" t="s">
        <v>16</v>
      </c>
      <c r="O48" s="14" t="s">
        <v>17</v>
      </c>
      <c r="P48" s="14" t="s">
        <v>18</v>
      </c>
      <c r="Q48" s="14" t="s">
        <v>19</v>
      </c>
      <c r="R48" s="14" t="s">
        <v>20</v>
      </c>
      <c r="S48" s="14" t="s">
        <v>21</v>
      </c>
      <c r="T48" s="14" t="s">
        <v>22</v>
      </c>
      <c r="U48" s="14" t="s">
        <v>23</v>
      </c>
      <c r="V48" s="14" t="s">
        <v>24</v>
      </c>
      <c r="W48" s="14" t="s">
        <v>25</v>
      </c>
      <c r="X48" s="14" t="s">
        <v>26</v>
      </c>
      <c r="Y48" s="14" t="s">
        <v>27</v>
      </c>
      <c r="Z48" s="14" t="s">
        <v>28</v>
      </c>
      <c r="AA48" s="14" t="s">
        <v>29</v>
      </c>
      <c r="AB48" s="14" t="s">
        <v>30</v>
      </c>
      <c r="AC48" s="14" t="s">
        <v>31</v>
      </c>
      <c r="AD48" s="14" t="s">
        <v>32</v>
      </c>
      <c r="AE48" s="14" t="s">
        <v>33</v>
      </c>
      <c r="AF48" s="14" t="s">
        <v>34</v>
      </c>
      <c r="AG48" s="14" t="s">
        <v>35</v>
      </c>
      <c r="AH48" s="14" t="s">
        <v>36</v>
      </c>
      <c r="AI48" s="14" t="s">
        <v>37</v>
      </c>
      <c r="AJ48" s="14" t="s">
        <v>38</v>
      </c>
      <c r="AK48" s="15"/>
    </row>
    <row r="49" ht="12.75" customHeight="1" spans="2:37" x14ac:dyDescent="0.25">
      <c r="B49" s="16" t="s">
        <v>41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42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43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44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20" t="s">
        <v>45</v>
      </c>
      <c r="C53" s="21"/>
      <c r="D53" s="21"/>
      <c r="E53" s="25">
        <f>E49+E50+E51+E52</f>
      </c>
      <c r="F53" s="25">
        <f>F49+F50+F51+F52</f>
      </c>
      <c r="G53" s="25">
        <f>G49+G50+G51+G52</f>
      </c>
      <c r="H53" s="25">
        <f>H49+H50+H51+H52</f>
      </c>
      <c r="I53" s="25">
        <f>I49+I50+I51+I52</f>
      </c>
      <c r="J53" s="25">
        <f>J49+J50+J51+J52</f>
      </c>
      <c r="K53" s="25">
        <f>K49+K50+K51+K52</f>
      </c>
      <c r="L53" s="25">
        <f>L49+L50+L51+L52</f>
      </c>
      <c r="M53" s="25">
        <f>M49+M50+M51+M52</f>
      </c>
      <c r="N53" s="25">
        <f>N49+N50+N51+N52</f>
      </c>
      <c r="O53" s="25">
        <f>O49+O50+O51+O52</f>
      </c>
      <c r="P53" s="25">
        <f>P49+P50+P51+P52</f>
      </c>
      <c r="Q53" s="25">
        <f>Q49+Q50+Q51+Q52</f>
      </c>
      <c r="R53" s="25">
        <f>R49+R50+R51+R52</f>
      </c>
      <c r="S53" s="25">
        <f>S49+S50+S51+S52</f>
      </c>
      <c r="T53" s="25">
        <f>T49+T50+T51+T52</f>
      </c>
      <c r="U53" s="25">
        <f>U49+U50+U51+U52</f>
      </c>
      <c r="V53" s="25">
        <f>V49+V50+V51+V52</f>
      </c>
      <c r="W53" s="25">
        <f>W49+W50+W51+W52</f>
      </c>
      <c r="X53" s="25">
        <f>X49+X50+X51+X52</f>
      </c>
      <c r="Y53" s="25">
        <f>Y49+Y50+Y51+Y52</f>
      </c>
      <c r="Z53" s="25">
        <f>Z49+Z50+Z51+Z52</f>
      </c>
      <c r="AA53" s="25">
        <f>AA49+AA50+AA51+AA52</f>
      </c>
      <c r="AB53" s="25">
        <f>AB49+AB50+AB51+AB52</f>
      </c>
      <c r="AC53" s="25">
        <f>AC49+AC50+AC51+AC52</f>
      </c>
      <c r="AD53" s="25">
        <f>AD49+AD50+AD51+AD52</f>
      </c>
      <c r="AE53" s="25">
        <f>AE49+AE50+AE51+AE52</f>
      </c>
      <c r="AF53" s="25">
        <f>AF49+AF50+AF51+AF52</f>
      </c>
      <c r="AG53" s="25">
        <f>AG49+AG50+AG51+AG52</f>
      </c>
      <c r="AH53" s="25">
        <f>AH49+AH50+AH51+AH52</f>
      </c>
      <c r="AI53" s="25">
        <f>AI49+AI50+AI51+AI52</f>
      </c>
      <c r="AJ53" s="25">
        <f>AJ49+AJ50+AJ51+AJ52</f>
      </c>
      <c r="AK53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778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781</v>
      </c>
      <c r="K8" s="44" t="s">
        <v>782</v>
      </c>
      <c r="L8" s="44" t="s">
        <v>783</v>
      </c>
      <c r="M8" s="44" t="s">
        <v>784</v>
      </c>
      <c r="N8" s="44" t="s">
        <v>785</v>
      </c>
      <c r="O8" s="44" t="s">
        <v>786</v>
      </c>
      <c r="P8" s="44" t="s">
        <v>787</v>
      </c>
      <c r="Q8" s="44" t="s">
        <v>788</v>
      </c>
      <c r="R8" s="44" t="s">
        <v>789</v>
      </c>
      <c r="S8" s="44" t="s">
        <v>790</v>
      </c>
      <c r="T8" s="44" t="s">
        <v>791</v>
      </c>
      <c r="U8" s="44" t="s">
        <v>792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778</v>
      </c>
      <c r="D10" s="50" t="s">
        <v>41</v>
      </c>
      <c r="E10" s="32" t="s">
        <v>3</v>
      </c>
      <c r="F10" s="32" t="s">
        <v>751</v>
      </c>
      <c r="G10" s="32"/>
      <c r="H10" s="32"/>
      <c r="I10" s="32"/>
      <c r="J10" s="32"/>
      <c r="K10" s="33">
        <f>1835.08+1521.26</f>
        <v>3356.34</v>
      </c>
      <c r="L10" s="32"/>
      <c r="M10" s="33">
        <v>1119.37</v>
      </c>
      <c r="N10" s="33">
        <f>882.54+258.69</f>
        <v>1141.23</v>
      </c>
      <c r="O10" s="33">
        <v>120.49</v>
      </c>
      <c r="P10" s="32"/>
      <c r="Q10" s="33">
        <f>101.13+113.10</f>
        <v>214.23</v>
      </c>
      <c r="R10" s="33">
        <v>95.12</v>
      </c>
      <c r="S10" s="32"/>
      <c r="T10" s="33">
        <f>90.51+243.02</f>
        <v>333.53000000000003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778</v>
      </c>
      <c r="D15" s="50" t="s">
        <v>42</v>
      </c>
      <c r="E15" s="32" t="s">
        <v>3</v>
      </c>
      <c r="F15" s="32" t="s">
        <v>752</v>
      </c>
      <c r="G15" s="32"/>
      <c r="H15" s="32"/>
      <c r="I15" s="32"/>
      <c r="J15" s="32"/>
      <c r="K15" s="33">
        <f>37.99+37.97</f>
        <v>75.96000000000001</v>
      </c>
      <c r="L15" s="33">
        <v>37.97</v>
      </c>
      <c r="M15" s="33">
        <v>37.98</v>
      </c>
      <c r="N15" s="32"/>
      <c r="O15" s="33">
        <f>37.94+38.01</f>
        <v>75.94999999999999</v>
      </c>
      <c r="P15" s="32"/>
      <c r="Q15" s="33">
        <f>38.01+38.01</f>
        <v>76.02</v>
      </c>
      <c r="R15" s="33">
        <v>37.99</v>
      </c>
      <c r="S15" s="32"/>
      <c r="T15" s="33">
        <f>37.99+38.00</f>
        <v>75.99000000000001</v>
      </c>
      <c r="U15" s="33">
        <v>38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778</v>
      </c>
      <c r="D16" s="50" t="s">
        <v>42</v>
      </c>
      <c r="E16" s="32" t="s">
        <v>3</v>
      </c>
      <c r="F16" s="32" t="s">
        <v>753</v>
      </c>
      <c r="G16" s="32"/>
      <c r="H16" s="32"/>
      <c r="I16" s="32"/>
      <c r="J16" s="33">
        <v>636.79</v>
      </c>
      <c r="K16" s="33">
        <v>685.65</v>
      </c>
      <c r="L16" s="33">
        <v>604.13</v>
      </c>
      <c r="M16" s="33">
        <v>644.51</v>
      </c>
      <c r="N16" s="33">
        <v>720.92</v>
      </c>
      <c r="O16" s="33">
        <v>923.96</v>
      </c>
      <c r="P16" s="33">
        <v>941.94</v>
      </c>
      <c r="Q16" s="33">
        <v>766.51</v>
      </c>
      <c r="R16" s="33">
        <v>901.97</v>
      </c>
      <c r="S16" s="33">
        <v>823.39</v>
      </c>
      <c r="T16" s="33">
        <v>611.87</v>
      </c>
      <c r="U16" s="33">
        <v>498.31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778</v>
      </c>
      <c r="D17" s="50" t="s">
        <v>42</v>
      </c>
      <c r="E17" s="32" t="s">
        <v>3</v>
      </c>
      <c r="F17" s="32" t="s">
        <v>754</v>
      </c>
      <c r="G17" s="32"/>
      <c r="H17" s="32"/>
      <c r="I17" s="32"/>
      <c r="J17" s="32"/>
      <c r="K17" s="33">
        <f>33.23+33.24</f>
        <v>66.47</v>
      </c>
      <c r="L17" s="33">
        <v>33.24</v>
      </c>
      <c r="M17" s="33">
        <v>33.25</v>
      </c>
      <c r="N17" s="32"/>
      <c r="O17" s="33">
        <f>33.25+33.24</f>
        <v>66.49000000000001</v>
      </c>
      <c r="P17" s="32"/>
      <c r="Q17" s="33">
        <f>33.24+33.25</f>
        <v>66.49000000000001</v>
      </c>
      <c r="R17" s="33">
        <v>33.25</v>
      </c>
      <c r="S17" s="32"/>
      <c r="T17" s="33">
        <f>33.26+33.25</f>
        <v>66.50999999999999</v>
      </c>
      <c r="U17" s="33">
        <v>33.25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778</v>
      </c>
      <c r="D18" s="50" t="s">
        <v>42</v>
      </c>
      <c r="E18" s="32" t="s">
        <v>3</v>
      </c>
      <c r="F18" s="32" t="s">
        <v>755</v>
      </c>
      <c r="G18" s="32"/>
      <c r="H18" s="32"/>
      <c r="I18" s="32"/>
      <c r="J18" s="32"/>
      <c r="K18" s="33">
        <f>77.05+61.21</f>
        <v>138.26</v>
      </c>
      <c r="L18" s="33">
        <v>63.76</v>
      </c>
      <c r="M18" s="33">
        <v>56.41</v>
      </c>
      <c r="N18" s="32"/>
      <c r="O18" s="33">
        <f>47.93+38.93</f>
        <v>86.86</v>
      </c>
      <c r="P18" s="32"/>
      <c r="Q18" s="33">
        <f>62.70+96.07</f>
        <v>158.76999999999998</v>
      </c>
      <c r="R18" s="33">
        <v>148.35</v>
      </c>
      <c r="S18" s="32"/>
      <c r="T18" s="33">
        <f>69.43+41.19</f>
        <v>110.62</v>
      </c>
      <c r="U18" s="33">
        <v>37.86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778</v>
      </c>
      <c r="D19" s="50" t="s">
        <v>42</v>
      </c>
      <c r="E19" s="32" t="s">
        <v>3</v>
      </c>
      <c r="F19" s="32" t="s">
        <v>756</v>
      </c>
      <c r="G19" s="32"/>
      <c r="H19" s="32"/>
      <c r="I19" s="32"/>
      <c r="J19" s="32"/>
      <c r="K19" s="33">
        <f>37.69+37.84</f>
        <v>75.53</v>
      </c>
      <c r="L19" s="33">
        <v>37.92</v>
      </c>
      <c r="M19" s="33">
        <v>37.62</v>
      </c>
      <c r="N19" s="32"/>
      <c r="O19" s="33">
        <f>37.83+37.86</f>
        <v>75.69</v>
      </c>
      <c r="P19" s="32"/>
      <c r="Q19" s="33">
        <f>37.84+37.88</f>
        <v>75.72</v>
      </c>
      <c r="R19" s="33">
        <v>37.92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778</v>
      </c>
      <c r="D20" s="50" t="s">
        <v>42</v>
      </c>
      <c r="E20" s="32" t="s">
        <v>3</v>
      </c>
      <c r="F20" s="32" t="s">
        <v>757</v>
      </c>
      <c r="G20" s="32"/>
      <c r="H20" s="32"/>
      <c r="I20" s="32"/>
      <c r="J20" s="33">
        <v>298.31</v>
      </c>
      <c r="K20" s="33">
        <v>298.31</v>
      </c>
      <c r="L20" s="33">
        <v>298.27</v>
      </c>
      <c r="M20" s="33">
        <v>298.32</v>
      </c>
      <c r="N20" s="33">
        <v>298.32</v>
      </c>
      <c r="O20" s="33">
        <v>294.61</v>
      </c>
      <c r="P20" s="33">
        <v>294.61</v>
      </c>
      <c r="Q20" s="33">
        <v>294.61</v>
      </c>
      <c r="R20" s="33">
        <v>294.65</v>
      </c>
      <c r="S20" s="33">
        <v>294.65</v>
      </c>
      <c r="T20" s="33">
        <v>294.65</v>
      </c>
      <c r="U20" s="33">
        <v>294.65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778</v>
      </c>
      <c r="D21" s="50" t="s">
        <v>42</v>
      </c>
      <c r="E21" s="32" t="s">
        <v>3</v>
      </c>
      <c r="F21" s="32" t="s">
        <v>779</v>
      </c>
      <c r="G21" s="32"/>
      <c r="H21" s="32"/>
      <c r="I21" s="32"/>
      <c r="J21" s="32"/>
      <c r="K21" s="33">
        <f>34.23+30.00+34.21</f>
        <v>98.44</v>
      </c>
      <c r="L21" s="33">
        <v>17.93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85</v>
      </c>
      <c r="E23" s="21"/>
      <c r="F23" s="21"/>
      <c r="G23" s="22">
        <f>SUM(G15:G21)</f>
      </c>
      <c r="H23" s="22">
        <f>SUM(H15:H21)</f>
      </c>
      <c r="I23" s="22">
        <f>SUM(I15:I21)</f>
      </c>
      <c r="J23" s="22">
        <f>SUM(J15:J21)</f>
      </c>
      <c r="K23" s="22">
        <f>SUM(K15:K21)</f>
      </c>
      <c r="L23" s="22">
        <f>SUM(L15:L21)</f>
      </c>
      <c r="M23" s="22">
        <f>SUM(M15:M21)</f>
      </c>
      <c r="N23" s="22">
        <f>SUM(N15:N21)</f>
      </c>
      <c r="O23" s="22">
        <f>SUM(O15:O21)</f>
      </c>
      <c r="P23" s="22">
        <f>SUM(P15:P21)</f>
      </c>
      <c r="Q23" s="22">
        <f>SUM(Q15:Q21)</f>
      </c>
      <c r="R23" s="22">
        <f>SUM(R15:R21)</f>
      </c>
      <c r="S23" s="22">
        <f>SUM(S15:S21)</f>
      </c>
      <c r="T23" s="22">
        <f>SUM(T15:T21)</f>
      </c>
      <c r="U23" s="22">
        <f>SUM(U15:U21)</f>
      </c>
      <c r="V23" s="22">
        <f>SUM(V15:V21)</f>
      </c>
      <c r="W23" s="22">
        <f>SUM(W15:W21)</f>
      </c>
      <c r="X23" s="22">
        <f>SUM(X15:X21)</f>
      </c>
      <c r="Y23" s="22">
        <f>SUM(Y15:Y21)</f>
      </c>
      <c r="Z23" s="22">
        <f>SUM(Z15:Z21)</f>
      </c>
      <c r="AA23" s="22">
        <f>SUM(AA15:AA21)</f>
      </c>
      <c r="AB23" s="22">
        <f>SUM(AB15:AB21)</f>
      </c>
      <c r="AC23" s="22">
        <f>SUM(AC15:AC21)</f>
      </c>
      <c r="AD23" s="22">
        <f>SUM(AD15:AD21)</f>
      </c>
      <c r="AE23" s="22">
        <f>SUM(AE15:AE21)</f>
      </c>
      <c r="AF23" s="22">
        <f>SUM(AF15:AF21)</f>
      </c>
      <c r="AG23" s="22">
        <f>SUM(AG15:AG21)</f>
      </c>
      <c r="AH23" s="22">
        <f>SUM(AH15:AH21)</f>
      </c>
      <c r="AI23" s="22">
        <f>SUM(AI15:AI21)</f>
      </c>
      <c r="AJ23" s="22">
        <f>SUM(AJ15:AJ21)</f>
      </c>
      <c r="AK23" s="22">
        <f>SUM(AK15:AK21)</f>
      </c>
      <c r="AL23" s="22">
        <f>SUM(AL15:AL21)</f>
      </c>
      <c r="AM23" s="23"/>
    </row>
    <row r="25" ht="13.5" customHeight="1" spans="2:39" x14ac:dyDescent="0.25">
      <c r="B25" s="46"/>
      <c r="C25" s="28"/>
      <c r="D25" s="47" t="s">
        <v>43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778</v>
      </c>
      <c r="D26" s="50" t="s">
        <v>43</v>
      </c>
      <c r="E26" s="32" t="s">
        <v>3</v>
      </c>
      <c r="F26" s="32" t="s">
        <v>780</v>
      </c>
      <c r="G26" s="32"/>
      <c r="H26" s="32"/>
      <c r="I26" s="32"/>
      <c r="J26" s="33">
        <f>10347.76+3783.75</f>
        <v>14131.51</v>
      </c>
      <c r="K26" s="33">
        <f>16298.15+3308.65</f>
        <v>19606.8</v>
      </c>
      <c r="L26" s="33">
        <f>15189.43+2919.64</f>
        <v>18109.07</v>
      </c>
      <c r="M26" s="33">
        <f>13622.56+5062.02</f>
        <v>18684.58</v>
      </c>
      <c r="N26" s="33">
        <f>17953.57+10626.85</f>
        <v>28580.42</v>
      </c>
      <c r="O26" s="33">
        <f>6499.49+267.14</f>
        <v>6766.63</v>
      </c>
      <c r="P26" s="33">
        <f>11622.27+4898.13</f>
        <v>16520.4</v>
      </c>
      <c r="Q26" s="33">
        <f>6374.16+10140.55</f>
        <v>16514.71</v>
      </c>
      <c r="R26" s="33">
        <f>6374.16+9452.78</f>
        <v>15826.94</v>
      </c>
      <c r="S26" s="33">
        <f>11400.71+4697.65</f>
        <v>16098.359999999999</v>
      </c>
      <c r="T26" s="33">
        <f>10471.94+3857.27</f>
        <v>14329.210000000001</v>
      </c>
      <c r="U26" s="33">
        <f>10471.20+4105.57</f>
        <v>14576.77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89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0" ht="13.5" customHeight="1" spans="2:39" x14ac:dyDescent="0.25">
      <c r="B30" s="46"/>
      <c r="C30" s="28"/>
      <c r="D30" s="47" t="s">
        <v>44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90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3"/>
    </row>
    <row r="35" ht="12.75" customHeight="1" spans="2:39" x14ac:dyDescent="0.25">
      <c r="B35" s="11" t="s">
        <v>40</v>
      </c>
      <c r="C35" s="12"/>
      <c r="D35" s="12"/>
      <c r="E35" s="12"/>
      <c r="F35" s="12"/>
      <c r="G35" s="52" t="s">
        <v>7</v>
      </c>
      <c r="H35" s="52" t="s">
        <v>8</v>
      </c>
      <c r="I35" s="52" t="s">
        <v>9</v>
      </c>
      <c r="J35" s="52" t="s">
        <v>10</v>
      </c>
      <c r="K35" s="52" t="s">
        <v>11</v>
      </c>
      <c r="L35" s="52" t="s">
        <v>12</v>
      </c>
      <c r="M35" s="52" t="s">
        <v>13</v>
      </c>
      <c r="N35" s="52" t="s">
        <v>14</v>
      </c>
      <c r="O35" s="52" t="s">
        <v>15</v>
      </c>
      <c r="P35" s="52" t="s">
        <v>16</v>
      </c>
      <c r="Q35" s="52" t="s">
        <v>17</v>
      </c>
      <c r="R35" s="52" t="s">
        <v>18</v>
      </c>
      <c r="S35" s="52" t="s">
        <v>19</v>
      </c>
      <c r="T35" s="52" t="s">
        <v>20</v>
      </c>
      <c r="U35" s="52" t="s">
        <v>21</v>
      </c>
      <c r="V35" s="52" t="s">
        <v>22</v>
      </c>
      <c r="W35" s="52" t="s">
        <v>23</v>
      </c>
      <c r="X35" s="52" t="s">
        <v>24</v>
      </c>
      <c r="Y35" s="52" t="s">
        <v>25</v>
      </c>
      <c r="Z35" s="52" t="s">
        <v>26</v>
      </c>
      <c r="AA35" s="52" t="s">
        <v>27</v>
      </c>
      <c r="AB35" s="52" t="s">
        <v>28</v>
      </c>
      <c r="AC35" s="52" t="s">
        <v>29</v>
      </c>
      <c r="AD35" s="52" t="s">
        <v>30</v>
      </c>
      <c r="AE35" s="52" t="s">
        <v>31</v>
      </c>
      <c r="AF35" s="52" t="s">
        <v>32</v>
      </c>
      <c r="AG35" s="52" t="s">
        <v>33</v>
      </c>
      <c r="AH35" s="52" t="s">
        <v>34</v>
      </c>
      <c r="AI35" s="52" t="s">
        <v>35</v>
      </c>
      <c r="AJ35" s="52" t="s">
        <v>36</v>
      </c>
      <c r="AK35" s="52" t="s">
        <v>37</v>
      </c>
      <c r="AL35" s="52" t="s">
        <v>38</v>
      </c>
      <c r="AM35" s="15"/>
    </row>
    <row r="36" ht="12.75" customHeight="1" spans="2:39" x14ac:dyDescent="0.25">
      <c r="B36" s="16"/>
      <c r="C36" s="17"/>
      <c r="D36" s="17" t="s">
        <v>41</v>
      </c>
      <c r="E36" s="17"/>
      <c r="F36" s="17"/>
      <c r="G36" s="18">
        <f>G12</f>
      </c>
      <c r="H36" s="18">
        <f>H12</f>
      </c>
      <c r="I36" s="18">
        <f>I12</f>
      </c>
      <c r="J36" s="18">
        <f>J12</f>
      </c>
      <c r="K36" s="18">
        <f>K12</f>
      </c>
      <c r="L36" s="18">
        <f>L12</f>
      </c>
      <c r="M36" s="18">
        <f>M12</f>
      </c>
      <c r="N36" s="18">
        <f>N12</f>
      </c>
      <c r="O36" s="18">
        <f>O12</f>
      </c>
      <c r="P36" s="18">
        <f>P12</f>
      </c>
      <c r="Q36" s="18">
        <f>Q12</f>
      </c>
      <c r="R36" s="18">
        <f>R12</f>
      </c>
      <c r="S36" s="18">
        <f>S12</f>
      </c>
      <c r="T36" s="18">
        <f>T12</f>
      </c>
      <c r="U36" s="18">
        <f>U12</f>
      </c>
      <c r="V36" s="18">
        <f>V12</f>
      </c>
      <c r="W36" s="18">
        <f>W12</f>
      </c>
      <c r="X36" s="18">
        <f>X12</f>
      </c>
      <c r="Y36" s="18">
        <f>Y12</f>
      </c>
      <c r="Z36" s="18">
        <f>Z12</f>
      </c>
      <c r="AA36" s="18">
        <f>AA12</f>
      </c>
      <c r="AB36" s="18">
        <f>AB12</f>
      </c>
      <c r="AC36" s="18">
        <f>AC12</f>
      </c>
      <c r="AD36" s="18">
        <f>AD12</f>
      </c>
      <c r="AE36" s="18">
        <f>AE12</f>
      </c>
      <c r="AF36" s="18">
        <f>AF12</f>
      </c>
      <c r="AG36" s="18">
        <f>AG12</f>
      </c>
      <c r="AH36" s="18">
        <f>AH12</f>
      </c>
      <c r="AI36" s="18">
        <f>AI12</f>
      </c>
      <c r="AJ36" s="18">
        <f>AJ12</f>
      </c>
      <c r="AK36" s="18">
        <f>AK12</f>
      </c>
      <c r="AL36" s="18">
        <f>AL12</f>
      </c>
      <c r="AM36" s="19"/>
    </row>
    <row r="37" ht="12.75" customHeight="1" spans="2:39" x14ac:dyDescent="0.25">
      <c r="B37" s="16"/>
      <c r="C37" s="17"/>
      <c r="D37" s="17" t="s">
        <v>42</v>
      </c>
      <c r="E37" s="17"/>
      <c r="F37" s="17"/>
      <c r="G37" s="18">
        <f>G23</f>
      </c>
      <c r="H37" s="18">
        <f>H23</f>
      </c>
      <c r="I37" s="18">
        <f>I23</f>
      </c>
      <c r="J37" s="18">
        <f>J23</f>
      </c>
      <c r="K37" s="18">
        <f>K23</f>
      </c>
      <c r="L37" s="18">
        <f>L23</f>
      </c>
      <c r="M37" s="18">
        <f>M23</f>
      </c>
      <c r="N37" s="18">
        <f>N23</f>
      </c>
      <c r="O37" s="18">
        <f>O23</f>
      </c>
      <c r="P37" s="18">
        <f>P23</f>
      </c>
      <c r="Q37" s="18">
        <f>Q23</f>
      </c>
      <c r="R37" s="18">
        <f>R23</f>
      </c>
      <c r="S37" s="18">
        <f>S23</f>
      </c>
      <c r="T37" s="18">
        <f>T23</f>
      </c>
      <c r="U37" s="18">
        <f>U23</f>
      </c>
      <c r="V37" s="18">
        <f>V23</f>
      </c>
      <c r="W37" s="18">
        <f>W23</f>
      </c>
      <c r="X37" s="18">
        <f>X23</f>
      </c>
      <c r="Y37" s="18">
        <f>Y23</f>
      </c>
      <c r="Z37" s="18">
        <f>Z23</f>
      </c>
      <c r="AA37" s="18">
        <f>AA23</f>
      </c>
      <c r="AB37" s="18">
        <f>AB23</f>
      </c>
      <c r="AC37" s="18">
        <f>AC23</f>
      </c>
      <c r="AD37" s="18">
        <f>AD23</f>
      </c>
      <c r="AE37" s="18">
        <f>AE23</f>
      </c>
      <c r="AF37" s="18">
        <f>AF23</f>
      </c>
      <c r="AG37" s="18">
        <f>AG23</f>
      </c>
      <c r="AH37" s="18">
        <f>AH23</f>
      </c>
      <c r="AI37" s="18">
        <f>AI23</f>
      </c>
      <c r="AJ37" s="18">
        <f>AJ23</f>
      </c>
      <c r="AK37" s="18">
        <f>AK23</f>
      </c>
      <c r="AL37" s="18">
        <f>AL23</f>
      </c>
      <c r="AM37" s="19"/>
    </row>
    <row r="38" ht="12.75" customHeight="1" spans="2:39" x14ac:dyDescent="0.25">
      <c r="B38" s="16"/>
      <c r="C38" s="17"/>
      <c r="D38" s="17" t="s">
        <v>43</v>
      </c>
      <c r="E38" s="17"/>
      <c r="F38" s="17"/>
      <c r="G38" s="18">
        <f>G28</f>
      </c>
      <c r="H38" s="18">
        <f>H28</f>
      </c>
      <c r="I38" s="18">
        <f>I28</f>
      </c>
      <c r="J38" s="18">
        <f>J28</f>
      </c>
      <c r="K38" s="18">
        <f>K28</f>
      </c>
      <c r="L38" s="18">
        <f>L28</f>
      </c>
      <c r="M38" s="18">
        <f>M28</f>
      </c>
      <c r="N38" s="18">
        <f>N28</f>
      </c>
      <c r="O38" s="18">
        <f>O28</f>
      </c>
      <c r="P38" s="18">
        <f>P28</f>
      </c>
      <c r="Q38" s="18">
        <f>Q28</f>
      </c>
      <c r="R38" s="18">
        <f>R28</f>
      </c>
      <c r="S38" s="18">
        <f>S28</f>
      </c>
      <c r="T38" s="18">
        <f>T28</f>
      </c>
      <c r="U38" s="18">
        <f>U28</f>
      </c>
      <c r="V38" s="18">
        <f>V28</f>
      </c>
      <c r="W38" s="18">
        <f>W28</f>
      </c>
      <c r="X38" s="18">
        <f>X28</f>
      </c>
      <c r="Y38" s="18">
        <f>Y28</f>
      </c>
      <c r="Z38" s="18">
        <f>Z28</f>
      </c>
      <c r="AA38" s="18">
        <f>AA28</f>
      </c>
      <c r="AB38" s="18">
        <f>AB28</f>
      </c>
      <c r="AC38" s="18">
        <f>AC28</f>
      </c>
      <c r="AD38" s="18">
        <f>AD28</f>
      </c>
      <c r="AE38" s="18">
        <f>AE28</f>
      </c>
      <c r="AF38" s="18">
        <f>AF28</f>
      </c>
      <c r="AG38" s="18">
        <f>AG28</f>
      </c>
      <c r="AH38" s="18">
        <f>AH28</f>
      </c>
      <c r="AI38" s="18">
        <f>AI28</f>
      </c>
      <c r="AJ38" s="18">
        <f>AJ28</f>
      </c>
      <c r="AK38" s="18">
        <f>AK28</f>
      </c>
      <c r="AL38" s="18">
        <f>AL28</f>
      </c>
      <c r="AM38" s="19"/>
    </row>
    <row r="39" ht="12.75" customHeight="1" spans="2:39" x14ac:dyDescent="0.25">
      <c r="B39" s="16"/>
      <c r="C39" s="17"/>
      <c r="D39" s="17" t="s">
        <v>44</v>
      </c>
      <c r="E39" s="17"/>
      <c r="F39" s="17"/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8">
        <f>AK32</f>
      </c>
      <c r="AL39" s="18">
        <f>AL32</f>
      </c>
      <c r="AM39" s="19"/>
    </row>
    <row r="40" ht="12.75" customHeight="1" spans="2:39" x14ac:dyDescent="0.25">
      <c r="B40" s="20"/>
      <c r="C40" s="21"/>
      <c r="D40" s="21" t="s">
        <v>45</v>
      </c>
      <c r="E40" s="21"/>
      <c r="F40" s="21"/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2">
        <f>AK36+AK37+AK38+AK39</f>
      </c>
      <c r="AL40" s="22">
        <f>AL36+AL37+AL38+AL39</f>
      </c>
      <c r="AM40" s="23"/>
    </row>
    <row r="42" ht="12.75" customHeight="1" spans="2:39" x14ac:dyDescent="0.25">
      <c r="B42" s="11" t="s">
        <v>46</v>
      </c>
      <c r="C42" s="12"/>
      <c r="D42" s="12"/>
      <c r="E42" s="12"/>
      <c r="F42" s="12"/>
      <c r="G42" s="52" t="s">
        <v>7</v>
      </c>
      <c r="H42" s="52" t="s">
        <v>8</v>
      </c>
      <c r="I42" s="52" t="s">
        <v>9</v>
      </c>
      <c r="J42" s="52" t="s">
        <v>10</v>
      </c>
      <c r="K42" s="52" t="s">
        <v>11</v>
      </c>
      <c r="L42" s="52" t="s">
        <v>12</v>
      </c>
      <c r="M42" s="52" t="s">
        <v>13</v>
      </c>
      <c r="N42" s="52" t="s">
        <v>14</v>
      </c>
      <c r="O42" s="52" t="s">
        <v>15</v>
      </c>
      <c r="P42" s="52" t="s">
        <v>16</v>
      </c>
      <c r="Q42" s="52" t="s">
        <v>17</v>
      </c>
      <c r="R42" s="52" t="s">
        <v>18</v>
      </c>
      <c r="S42" s="52" t="s">
        <v>19</v>
      </c>
      <c r="T42" s="52" t="s">
        <v>20</v>
      </c>
      <c r="U42" s="52" t="s">
        <v>21</v>
      </c>
      <c r="V42" s="52" t="s">
        <v>22</v>
      </c>
      <c r="W42" s="52" t="s">
        <v>23</v>
      </c>
      <c r="X42" s="52" t="s">
        <v>24</v>
      </c>
      <c r="Y42" s="52" t="s">
        <v>25</v>
      </c>
      <c r="Z42" s="52" t="s">
        <v>26</v>
      </c>
      <c r="AA42" s="52" t="s">
        <v>27</v>
      </c>
      <c r="AB42" s="52" t="s">
        <v>28</v>
      </c>
      <c r="AC42" s="52" t="s">
        <v>29</v>
      </c>
      <c r="AD42" s="52" t="s">
        <v>30</v>
      </c>
      <c r="AE42" s="52" t="s">
        <v>31</v>
      </c>
      <c r="AF42" s="52" t="s">
        <v>32</v>
      </c>
      <c r="AG42" s="52" t="s">
        <v>33</v>
      </c>
      <c r="AH42" s="52" t="s">
        <v>34</v>
      </c>
      <c r="AI42" s="52" t="s">
        <v>35</v>
      </c>
      <c r="AJ42" s="52" t="s">
        <v>36</v>
      </c>
      <c r="AK42" s="52" t="s">
        <v>37</v>
      </c>
      <c r="AL42" s="52" t="s">
        <v>38</v>
      </c>
      <c r="AM42" s="15"/>
    </row>
    <row r="43" ht="12.75" customHeight="1" spans="2:39" x14ac:dyDescent="0.25">
      <c r="B43" s="16"/>
      <c r="C43" s="17"/>
      <c r="D43" s="17" t="s">
        <v>41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42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43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44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20"/>
      <c r="C47" s="21"/>
      <c r="D47" s="21" t="s">
        <v>45</v>
      </c>
      <c r="E47" s="21"/>
      <c r="F47" s="21"/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2">
        <f>AK43+AK44+AK45+AK46</f>
      </c>
      <c r="AL47" s="22">
        <f>AL43+AL44+AL45+AL46</f>
      </c>
      <c r="AM47" s="23"/>
    </row>
    <row r="49" ht="12.75" customHeight="1" spans="2:39" x14ac:dyDescent="0.25">
      <c r="B49" s="11" t="s">
        <v>47</v>
      </c>
      <c r="C49" s="12"/>
      <c r="D49" s="12"/>
      <c r="E49" s="12"/>
      <c r="F49" s="12"/>
      <c r="G49" s="52" t="s">
        <v>7</v>
      </c>
      <c r="H49" s="52" t="s">
        <v>8</v>
      </c>
      <c r="I49" s="52" t="s">
        <v>9</v>
      </c>
      <c r="J49" s="52" t="s">
        <v>10</v>
      </c>
      <c r="K49" s="52" t="s">
        <v>11</v>
      </c>
      <c r="L49" s="52" t="s">
        <v>12</v>
      </c>
      <c r="M49" s="52" t="s">
        <v>13</v>
      </c>
      <c r="N49" s="52" t="s">
        <v>14</v>
      </c>
      <c r="O49" s="52" t="s">
        <v>15</v>
      </c>
      <c r="P49" s="52" t="s">
        <v>16</v>
      </c>
      <c r="Q49" s="52" t="s">
        <v>17</v>
      </c>
      <c r="R49" s="52" t="s">
        <v>18</v>
      </c>
      <c r="S49" s="52" t="s">
        <v>19</v>
      </c>
      <c r="T49" s="52" t="s">
        <v>20</v>
      </c>
      <c r="U49" s="52" t="s">
        <v>21</v>
      </c>
      <c r="V49" s="52" t="s">
        <v>22</v>
      </c>
      <c r="W49" s="52" t="s">
        <v>23</v>
      </c>
      <c r="X49" s="52" t="s">
        <v>24</v>
      </c>
      <c r="Y49" s="52" t="s">
        <v>25</v>
      </c>
      <c r="Z49" s="52" t="s">
        <v>26</v>
      </c>
      <c r="AA49" s="52" t="s">
        <v>27</v>
      </c>
      <c r="AB49" s="52" t="s">
        <v>28</v>
      </c>
      <c r="AC49" s="52" t="s">
        <v>29</v>
      </c>
      <c r="AD49" s="52" t="s">
        <v>30</v>
      </c>
      <c r="AE49" s="52" t="s">
        <v>31</v>
      </c>
      <c r="AF49" s="52" t="s">
        <v>32</v>
      </c>
      <c r="AG49" s="52" t="s">
        <v>33</v>
      </c>
      <c r="AH49" s="52" t="s">
        <v>34</v>
      </c>
      <c r="AI49" s="52" t="s">
        <v>35</v>
      </c>
      <c r="AJ49" s="52" t="s">
        <v>36</v>
      </c>
      <c r="AK49" s="52" t="s">
        <v>37</v>
      </c>
      <c r="AL49" s="52" t="s">
        <v>38</v>
      </c>
      <c r="AM49" s="15"/>
    </row>
    <row r="50" ht="12.75" customHeight="1" spans="2:39" x14ac:dyDescent="0.25">
      <c r="B50" s="16"/>
      <c r="C50" s="17"/>
      <c r="D50" s="17" t="s">
        <v>41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42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43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44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20"/>
      <c r="C54" s="21"/>
      <c r="D54" s="21" t="s">
        <v>45</v>
      </c>
      <c r="E54" s="21"/>
      <c r="F54" s="21"/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5">
        <f>AK50+AK51+AK52+AK53</f>
      </c>
      <c r="AL54" s="25">
        <f>AL50+AL51+AL52+AL53</f>
      </c>
      <c r="AM54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793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794</v>
      </c>
      <c r="E9" s="32"/>
      <c r="F9" s="32"/>
      <c r="G9" s="32"/>
      <c r="H9" s="32"/>
      <c r="I9" s="33">
        <v>176.73</v>
      </c>
      <c r="J9" s="33">
        <v>12.55</v>
      </c>
      <c r="K9" s="33">
        <v>118.82</v>
      </c>
      <c r="L9" s="33">
        <v>16.98</v>
      </c>
      <c r="M9" s="33">
        <v>11.36</v>
      </c>
      <c r="N9" s="33">
        <v>4.4</v>
      </c>
      <c r="O9" s="33">
        <v>33.06</v>
      </c>
      <c r="P9" s="33">
        <v>51.18</v>
      </c>
      <c r="Q9" s="33">
        <v>50.22</v>
      </c>
      <c r="R9" s="33">
        <v>57.74</v>
      </c>
      <c r="S9" s="33">
        <v>113.96</v>
      </c>
      <c r="T9" s="33">
        <v>215.74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794</v>
      </c>
      <c r="E14" s="32"/>
      <c r="F14" s="32"/>
      <c r="G14" s="32"/>
      <c r="H14" s="32"/>
      <c r="I14" s="33">
        <v>267.96</v>
      </c>
      <c r="J14" s="33">
        <v>212.81</v>
      </c>
      <c r="K14" s="33">
        <v>215.39</v>
      </c>
      <c r="L14" s="33">
        <v>187.82</v>
      </c>
      <c r="M14" s="33">
        <v>174.91</v>
      </c>
      <c r="N14" s="33">
        <v>144.96</v>
      </c>
      <c r="O14" s="33">
        <v>146.07</v>
      </c>
      <c r="P14" s="33">
        <v>148.66</v>
      </c>
      <c r="Q14" s="33">
        <v>130.32</v>
      </c>
      <c r="R14" s="33">
        <v>170.3</v>
      </c>
      <c r="S14" s="33">
        <v>215.52</v>
      </c>
      <c r="T14" s="33">
        <v>278.58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795</v>
      </c>
      <c r="E15" s="32"/>
      <c r="F15" s="32"/>
      <c r="G15" s="32"/>
      <c r="H15" s="32"/>
      <c r="I15" s="33">
        <v>123.86</v>
      </c>
      <c r="J15" s="33">
        <v>110.85</v>
      </c>
      <c r="K15" s="33">
        <v>108.72</v>
      </c>
      <c r="L15" s="33">
        <v>61.24</v>
      </c>
      <c r="M15" s="33">
        <v>58.56</v>
      </c>
      <c r="N15" s="33">
        <v>51.22</v>
      </c>
      <c r="O15" s="33">
        <v>50.43</v>
      </c>
      <c r="P15" s="33">
        <v>58.27</v>
      </c>
      <c r="Q15" s="33">
        <v>62.58</v>
      </c>
      <c r="R15" s="33">
        <v>76.03</v>
      </c>
      <c r="S15" s="33">
        <v>76.84</v>
      </c>
      <c r="T15" s="33">
        <v>84.16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796</v>
      </c>
      <c r="E16" s="32"/>
      <c r="F16" s="32"/>
      <c r="G16" s="32"/>
      <c r="H16" s="32"/>
      <c r="I16" s="33">
        <v>169.95</v>
      </c>
      <c r="J16" s="33">
        <v>144.03</v>
      </c>
      <c r="K16" s="33">
        <v>136.54</v>
      </c>
      <c r="L16" s="33">
        <v>57.09</v>
      </c>
      <c r="M16" s="33">
        <v>53.83</v>
      </c>
      <c r="N16" s="33">
        <v>47.17</v>
      </c>
      <c r="O16" s="33">
        <v>45.48</v>
      </c>
      <c r="P16" s="33">
        <v>53.57</v>
      </c>
      <c r="Q16" s="33">
        <v>57.87</v>
      </c>
      <c r="R16" s="33">
        <v>71.62</v>
      </c>
      <c r="S16" s="33">
        <v>73.33</v>
      </c>
      <c r="T16" s="33">
        <v>81.32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797</v>
      </c>
      <c r="E17" s="32"/>
      <c r="F17" s="32"/>
      <c r="G17" s="32"/>
      <c r="H17" s="32"/>
      <c r="I17" s="33">
        <v>588.43</v>
      </c>
      <c r="J17" s="33">
        <v>638.44</v>
      </c>
      <c r="K17" s="33">
        <v>728.83</v>
      </c>
      <c r="L17" s="33">
        <v>365.32</v>
      </c>
      <c r="M17" s="33">
        <v>127.08</v>
      </c>
      <c r="N17" s="33">
        <v>125.14</v>
      </c>
      <c r="O17" s="33">
        <v>192.39</v>
      </c>
      <c r="P17" s="33">
        <v>150.73</v>
      </c>
      <c r="Q17" s="33">
        <v>148.38</v>
      </c>
      <c r="R17" s="33">
        <v>155.1</v>
      </c>
      <c r="S17" s="33">
        <v>154.47</v>
      </c>
      <c r="T17" s="33">
        <v>564.37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798</v>
      </c>
      <c r="E18" s="32"/>
      <c r="F18" s="32"/>
      <c r="G18" s="32"/>
      <c r="H18" s="32"/>
      <c r="I18" s="33">
        <v>191.58</v>
      </c>
      <c r="J18" s="33">
        <v>181.26</v>
      </c>
      <c r="K18" s="33">
        <v>203.65</v>
      </c>
      <c r="L18" s="33">
        <v>153.13</v>
      </c>
      <c r="M18" s="33">
        <v>121.31</v>
      </c>
      <c r="N18" s="33">
        <v>64.66</v>
      </c>
      <c r="O18" s="33">
        <v>58.53</v>
      </c>
      <c r="P18" s="33">
        <v>56.97</v>
      </c>
      <c r="Q18" s="33">
        <v>51.35</v>
      </c>
      <c r="R18" s="33">
        <v>56.91</v>
      </c>
      <c r="S18" s="33">
        <v>83.76</v>
      </c>
      <c r="T18" s="33">
        <v>113.56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799</v>
      </c>
      <c r="E19" s="32"/>
      <c r="F19" s="32"/>
      <c r="G19" s="32"/>
      <c r="H19" s="32"/>
      <c r="I19" s="33">
        <v>125.85</v>
      </c>
      <c r="J19" s="33">
        <v>112.64</v>
      </c>
      <c r="K19" s="33">
        <v>109.1</v>
      </c>
      <c r="L19" s="33">
        <v>55.21</v>
      </c>
      <c r="M19" s="33">
        <v>52.42</v>
      </c>
      <c r="N19" s="33">
        <v>45.74</v>
      </c>
      <c r="O19" s="33">
        <v>45.48</v>
      </c>
      <c r="P19" s="33">
        <v>52.51</v>
      </c>
      <c r="Q19" s="33">
        <v>55.78</v>
      </c>
      <c r="R19" s="33">
        <v>69.07</v>
      </c>
      <c r="S19" s="33">
        <v>70.89</v>
      </c>
      <c r="T19" s="33">
        <v>77.39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800</v>
      </c>
      <c r="E20" s="32"/>
      <c r="F20" s="32"/>
      <c r="G20" s="32"/>
      <c r="H20" s="32"/>
      <c r="I20" s="33">
        <v>172.44</v>
      </c>
      <c r="J20" s="33">
        <v>151.29</v>
      </c>
      <c r="K20" s="33">
        <v>139.34</v>
      </c>
      <c r="L20" s="33">
        <v>54.32</v>
      </c>
      <c r="M20" s="33">
        <v>50.88</v>
      </c>
      <c r="N20" s="33">
        <v>44.94</v>
      </c>
      <c r="O20" s="33">
        <v>44.04</v>
      </c>
      <c r="P20" s="33">
        <v>51.22</v>
      </c>
      <c r="Q20" s="33">
        <v>55.01</v>
      </c>
      <c r="R20" s="33">
        <v>66.52</v>
      </c>
      <c r="S20" s="33">
        <v>69.54</v>
      </c>
      <c r="T20" s="33">
        <v>76.18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801</v>
      </c>
      <c r="E21" s="32"/>
      <c r="F21" s="32"/>
      <c r="G21" s="32"/>
      <c r="H21" s="32"/>
      <c r="I21" s="33">
        <v>112.3</v>
      </c>
      <c r="J21" s="33">
        <v>47.05</v>
      </c>
      <c r="K21" s="33">
        <v>58.47</v>
      </c>
      <c r="L21" s="33">
        <v>117.16</v>
      </c>
      <c r="M21" s="33">
        <v>110.55</v>
      </c>
      <c r="N21" s="33">
        <v>51.67</v>
      </c>
      <c r="O21" s="33">
        <v>38.88</v>
      </c>
      <c r="P21" s="33">
        <v>74.45</v>
      </c>
      <c r="Q21" s="33">
        <v>56.72</v>
      </c>
      <c r="R21" s="33">
        <v>57.17</v>
      </c>
      <c r="S21" s="33">
        <v>61.51</v>
      </c>
      <c r="T21" s="33">
        <v>111.02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ht="12.75" customHeight="1" spans="2:37" x14ac:dyDescent="0.25">
      <c r="B23" s="20" t="s">
        <v>85</v>
      </c>
      <c r="C23" s="21"/>
      <c r="D23" s="21"/>
      <c r="E23" s="22">
        <f>SUM(E14:E21)</f>
      </c>
      <c r="F23" s="22">
        <f>SUM(F14:F21)</f>
      </c>
      <c r="G23" s="22">
        <f>SUM(G14:G21)</f>
      </c>
      <c r="H23" s="22">
        <f>SUM(H14:H21)</f>
      </c>
      <c r="I23" s="22">
        <f>SUM(I14:I21)</f>
      </c>
      <c r="J23" s="22">
        <f>SUM(J14:J21)</f>
      </c>
      <c r="K23" s="22">
        <f>SUM(K14:K21)</f>
      </c>
      <c r="L23" s="22">
        <f>SUM(L14:L21)</f>
      </c>
      <c r="M23" s="22">
        <f>SUM(M14:M21)</f>
      </c>
      <c r="N23" s="22">
        <f>SUM(N14:N21)</f>
      </c>
      <c r="O23" s="22">
        <f>SUM(O14:O21)</f>
      </c>
      <c r="P23" s="22">
        <f>SUM(P14:P21)</f>
      </c>
      <c r="Q23" s="22">
        <f>SUM(Q14:Q21)</f>
      </c>
      <c r="R23" s="22">
        <f>SUM(R14:R21)</f>
      </c>
      <c r="S23" s="22">
        <f>SUM(S14:S21)</f>
      </c>
      <c r="T23" s="22">
        <f>SUM(T14:T21)</f>
      </c>
      <c r="U23" s="22">
        <f>SUM(U14:U21)</f>
      </c>
      <c r="V23" s="22">
        <f>SUM(V14:V21)</f>
      </c>
      <c r="W23" s="22">
        <f>SUM(W14:W21)</f>
      </c>
      <c r="X23" s="22">
        <f>SUM(X14:X21)</f>
      </c>
      <c r="Y23" s="22">
        <f>SUM(Y14:Y21)</f>
      </c>
      <c r="Z23" s="22">
        <f>SUM(Z14:Z21)</f>
      </c>
      <c r="AA23" s="22">
        <f>SUM(AA14:AA21)</f>
      </c>
      <c r="AB23" s="22">
        <f>SUM(AB14:AB21)</f>
      </c>
      <c r="AC23" s="22">
        <f>SUM(AC14:AC21)</f>
      </c>
      <c r="AD23" s="22">
        <f>SUM(AD14:AD21)</f>
      </c>
      <c r="AE23" s="22">
        <f>SUM(AE14:AE21)</f>
      </c>
      <c r="AF23" s="22">
        <f>SUM(AF14:AF21)</f>
      </c>
      <c r="AG23" s="22">
        <f>SUM(AG14:AG21)</f>
      </c>
      <c r="AH23" s="22">
        <f>SUM(AH14:AH21)</f>
      </c>
      <c r="AI23" s="22">
        <f>SUM(AI14:AI21)</f>
      </c>
      <c r="AJ23" s="22">
        <f>SUM(AJ14:AJ21)</f>
      </c>
      <c r="AK23" s="23"/>
    </row>
    <row r="25" ht="12.75" customHeight="1" spans="2:37" x14ac:dyDescent="0.25">
      <c r="B25" s="26" t="s">
        <v>43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/>
    </row>
    <row r="26" ht="12.75" customHeight="1" spans="2:37" x14ac:dyDescent="0.25">
      <c r="B26" s="30" t="s">
        <v>43</v>
      </c>
      <c r="C26" s="31" t="s">
        <v>3</v>
      </c>
      <c r="D26" s="32" t="s">
        <v>802</v>
      </c>
      <c r="E26" s="32"/>
      <c r="F26" s="32"/>
      <c r="G26" s="32"/>
      <c r="H26" s="33">
        <v>9840.66</v>
      </c>
      <c r="I26" s="33">
        <v>10257.36</v>
      </c>
      <c r="J26" s="33">
        <v>10257.36</v>
      </c>
      <c r="K26" s="33">
        <v>10257.36</v>
      </c>
      <c r="L26" s="33">
        <v>10257.36</v>
      </c>
      <c r="M26" s="33">
        <v>10257.36</v>
      </c>
      <c r="N26" s="33">
        <v>10257.36</v>
      </c>
      <c r="O26" s="33">
        <v>10257.36</v>
      </c>
      <c r="P26" s="33">
        <v>10257.36</v>
      </c>
      <c r="Q26" s="33">
        <v>10257.36</v>
      </c>
      <c r="R26" s="33">
        <v>10257.36</v>
      </c>
      <c r="S26" s="33">
        <v>10257.36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43</v>
      </c>
      <c r="C27" s="31" t="s">
        <v>3</v>
      </c>
      <c r="D27" s="32" t="s">
        <v>803</v>
      </c>
      <c r="E27" s="32"/>
      <c r="F27" s="32"/>
      <c r="G27" s="32"/>
      <c r="H27" s="33">
        <v>52.5</v>
      </c>
      <c r="I27" s="33">
        <v>59</v>
      </c>
      <c r="J27" s="33">
        <v>59</v>
      </c>
      <c r="K27" s="33">
        <v>59</v>
      </c>
      <c r="L27" s="33">
        <v>120.12</v>
      </c>
      <c r="M27" s="33">
        <v>158.32</v>
      </c>
      <c r="N27" s="33">
        <v>368.42</v>
      </c>
      <c r="O27" s="33">
        <v>695.33</v>
      </c>
      <c r="P27" s="33">
        <v>532.73</v>
      </c>
      <c r="Q27" s="33">
        <v>471.56</v>
      </c>
      <c r="R27" s="33">
        <v>59</v>
      </c>
      <c r="S27" s="33">
        <v>59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43</v>
      </c>
      <c r="C28" s="31" t="s">
        <v>3</v>
      </c>
      <c r="D28" s="32" t="s">
        <v>804</v>
      </c>
      <c r="E28" s="32"/>
      <c r="F28" s="32"/>
      <c r="G28" s="32"/>
      <c r="H28" s="33">
        <v>688</v>
      </c>
      <c r="I28" s="33">
        <v>763</v>
      </c>
      <c r="J28" s="33">
        <v>764.6</v>
      </c>
      <c r="K28" s="33">
        <v>763</v>
      </c>
      <c r="L28" s="33">
        <v>769.4</v>
      </c>
      <c r="M28" s="33">
        <v>795</v>
      </c>
      <c r="N28" s="33">
        <v>899</v>
      </c>
      <c r="O28" s="33">
        <v>1038.2</v>
      </c>
      <c r="P28" s="33">
        <v>974.2</v>
      </c>
      <c r="Q28" s="33">
        <v>863.8</v>
      </c>
      <c r="R28" s="33">
        <v>774.2</v>
      </c>
      <c r="S28" s="33">
        <v>764.6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43</v>
      </c>
      <c r="C29" s="31" t="s">
        <v>3</v>
      </c>
      <c r="D29" s="32" t="s">
        <v>805</v>
      </c>
      <c r="E29" s="32"/>
      <c r="F29" s="32"/>
      <c r="G29" s="32"/>
      <c r="H29" s="33">
        <v>2404.8</v>
      </c>
      <c r="I29" s="33">
        <v>2623.28</v>
      </c>
      <c r="J29" s="33">
        <v>2561.72</v>
      </c>
      <c r="K29" s="33">
        <v>2407.82</v>
      </c>
      <c r="L29" s="33">
        <v>2866.1</v>
      </c>
      <c r="M29" s="33">
        <v>3433.82</v>
      </c>
      <c r="N29" s="33">
        <v>3686.9</v>
      </c>
      <c r="O29" s="33">
        <v>4435.88</v>
      </c>
      <c r="P29" s="33">
        <v>3960.5</v>
      </c>
      <c r="Q29" s="33">
        <v>3095.24</v>
      </c>
      <c r="R29" s="33">
        <v>2517.26</v>
      </c>
      <c r="S29" s="33">
        <v>2110.28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43</v>
      </c>
      <c r="C30" s="31" t="s">
        <v>3</v>
      </c>
      <c r="D30" s="32" t="s">
        <v>806</v>
      </c>
      <c r="E30" s="32"/>
      <c r="F30" s="32"/>
      <c r="G30" s="32"/>
      <c r="H30" s="33">
        <v>440.32</v>
      </c>
      <c r="I30" s="33">
        <v>489.92</v>
      </c>
      <c r="J30" s="33">
        <v>488.32</v>
      </c>
      <c r="K30" s="33">
        <v>488.32</v>
      </c>
      <c r="L30" s="33">
        <v>488.32</v>
      </c>
      <c r="M30" s="33">
        <v>504.32</v>
      </c>
      <c r="N30" s="33">
        <v>595.52</v>
      </c>
      <c r="O30" s="33">
        <v>746.72</v>
      </c>
      <c r="P30" s="33">
        <v>669.12</v>
      </c>
      <c r="Q30" s="33">
        <v>569.92</v>
      </c>
      <c r="R30" s="33">
        <v>496.32</v>
      </c>
      <c r="S30" s="33">
        <v>488.32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43</v>
      </c>
      <c r="C31" s="31" t="s">
        <v>3</v>
      </c>
      <c r="D31" s="32" t="s">
        <v>807</v>
      </c>
      <c r="E31" s="32"/>
      <c r="F31" s="32"/>
      <c r="G31" s="32"/>
      <c r="H31" s="33">
        <v>414.36</v>
      </c>
      <c r="I31" s="33">
        <v>461</v>
      </c>
      <c r="J31" s="33">
        <v>459.4</v>
      </c>
      <c r="K31" s="33">
        <v>459.4</v>
      </c>
      <c r="L31" s="33">
        <v>475.4</v>
      </c>
      <c r="M31" s="33">
        <v>531.4</v>
      </c>
      <c r="N31" s="33">
        <v>708.76</v>
      </c>
      <c r="O31" s="33">
        <v>1061.16</v>
      </c>
      <c r="P31" s="33">
        <v>872.24</v>
      </c>
      <c r="Q31" s="33">
        <v>625.8</v>
      </c>
      <c r="R31" s="33">
        <v>486.6</v>
      </c>
      <c r="S31" s="33">
        <v>461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43</v>
      </c>
      <c r="C32" s="31" t="s">
        <v>3</v>
      </c>
      <c r="D32" s="32" t="s">
        <v>808</v>
      </c>
      <c r="E32" s="32"/>
      <c r="F32" s="32"/>
      <c r="G32" s="32"/>
      <c r="H32" s="33">
        <v>632.96</v>
      </c>
      <c r="I32" s="33">
        <v>701.96</v>
      </c>
      <c r="J32" s="33">
        <v>701.96</v>
      </c>
      <c r="K32" s="33">
        <v>701.96</v>
      </c>
      <c r="L32" s="33">
        <v>703.56</v>
      </c>
      <c r="M32" s="33">
        <v>727.56</v>
      </c>
      <c r="N32" s="33">
        <v>823.56</v>
      </c>
      <c r="O32" s="33">
        <v>956.36</v>
      </c>
      <c r="P32" s="33">
        <v>897.16</v>
      </c>
      <c r="Q32" s="33">
        <v>793.16</v>
      </c>
      <c r="R32" s="33">
        <v>711.56</v>
      </c>
      <c r="S32" s="33">
        <v>701.96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43</v>
      </c>
      <c r="C33" s="31" t="s">
        <v>3</v>
      </c>
      <c r="D33" s="32" t="s">
        <v>809</v>
      </c>
      <c r="E33" s="32"/>
      <c r="F33" s="32"/>
      <c r="G33" s="32"/>
      <c r="H33" s="33">
        <v>610.8</v>
      </c>
      <c r="I33" s="33">
        <v>677.36</v>
      </c>
      <c r="J33" s="33">
        <v>672.56</v>
      </c>
      <c r="K33" s="33">
        <v>658.16</v>
      </c>
      <c r="L33" s="33">
        <v>709.36</v>
      </c>
      <c r="M33" s="33">
        <v>929.84</v>
      </c>
      <c r="N33" s="33">
        <v>1360.26</v>
      </c>
      <c r="O33" s="33">
        <v>2242.62</v>
      </c>
      <c r="P33" s="33">
        <v>1914.3</v>
      </c>
      <c r="Q33" s="33">
        <v>1109.4</v>
      </c>
      <c r="R33" s="33">
        <v>726.96</v>
      </c>
      <c r="S33" s="33">
        <v>691.76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43</v>
      </c>
      <c r="C34" s="31" t="s">
        <v>3</v>
      </c>
      <c r="D34" s="32" t="s">
        <v>810</v>
      </c>
      <c r="E34" s="32"/>
      <c r="F34" s="32"/>
      <c r="G34" s="32"/>
      <c r="H34" s="33">
        <v>698.6</v>
      </c>
      <c r="I34" s="33">
        <v>764</v>
      </c>
      <c r="J34" s="33">
        <v>776.8</v>
      </c>
      <c r="K34" s="33">
        <v>775.2</v>
      </c>
      <c r="L34" s="33">
        <v>842.4</v>
      </c>
      <c r="M34" s="33">
        <v>1045.96</v>
      </c>
      <c r="N34" s="33">
        <v>1436.54</v>
      </c>
      <c r="O34" s="33">
        <v>2277.86</v>
      </c>
      <c r="P34" s="33">
        <v>1942.7</v>
      </c>
      <c r="Q34" s="33">
        <v>1169.24</v>
      </c>
      <c r="R34" s="33">
        <v>802.4</v>
      </c>
      <c r="S34" s="33">
        <v>756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43</v>
      </c>
      <c r="C35" s="31" t="s">
        <v>3</v>
      </c>
      <c r="D35" s="32" t="s">
        <v>811</v>
      </c>
      <c r="E35" s="32"/>
      <c r="F35" s="32"/>
      <c r="G35" s="32"/>
      <c r="H35" s="33">
        <v>550.4</v>
      </c>
      <c r="I35" s="33">
        <v>610.4</v>
      </c>
      <c r="J35" s="33">
        <v>610.4</v>
      </c>
      <c r="K35" s="33">
        <v>610.4</v>
      </c>
      <c r="L35" s="33">
        <v>610.4</v>
      </c>
      <c r="M35" s="33">
        <v>610.4</v>
      </c>
      <c r="N35" s="33">
        <v>610.4</v>
      </c>
      <c r="O35" s="33">
        <v>610.4</v>
      </c>
      <c r="P35" s="33">
        <v>610.4</v>
      </c>
      <c r="Q35" s="33">
        <v>610.4</v>
      </c>
      <c r="R35" s="33">
        <v>610.4</v>
      </c>
      <c r="S35" s="33">
        <v>610.4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40"/>
    </row>
    <row r="37" ht="12.75" customHeight="1" spans="2:37" x14ac:dyDescent="0.25">
      <c r="B37" s="20" t="s">
        <v>89</v>
      </c>
      <c r="C37" s="21"/>
      <c r="D37" s="21"/>
      <c r="E37" s="22">
        <f>SUM(E26:E35)</f>
      </c>
      <c r="F37" s="22">
        <f>SUM(F26:F35)</f>
      </c>
      <c r="G37" s="22">
        <f>SUM(G26:G35)</f>
      </c>
      <c r="H37" s="22">
        <f>SUM(H26:H35)</f>
      </c>
      <c r="I37" s="22">
        <f>SUM(I26:I35)</f>
      </c>
      <c r="J37" s="22">
        <f>SUM(J26:J35)</f>
      </c>
      <c r="K37" s="22">
        <f>SUM(K26:K35)</f>
      </c>
      <c r="L37" s="22">
        <f>SUM(L26:L35)</f>
      </c>
      <c r="M37" s="22">
        <f>SUM(M26:M35)</f>
      </c>
      <c r="N37" s="22">
        <f>SUM(N26:N35)</f>
      </c>
      <c r="O37" s="22">
        <f>SUM(O26:O35)</f>
      </c>
      <c r="P37" s="22">
        <f>SUM(P26:P35)</f>
      </c>
      <c r="Q37" s="22">
        <f>SUM(Q26:Q35)</f>
      </c>
      <c r="R37" s="22">
        <f>SUM(R26:R35)</f>
      </c>
      <c r="S37" s="22">
        <f>SUM(S26:S35)</f>
      </c>
      <c r="T37" s="22">
        <f>SUM(T26:T35)</f>
      </c>
      <c r="U37" s="22">
        <f>SUM(U26:U35)</f>
      </c>
      <c r="V37" s="22">
        <f>SUM(V26:V35)</f>
      </c>
      <c r="W37" s="22">
        <f>SUM(W26:W35)</f>
      </c>
      <c r="X37" s="22">
        <f>SUM(X26:X35)</f>
      </c>
      <c r="Y37" s="22">
        <f>SUM(Y26:Y35)</f>
      </c>
      <c r="Z37" s="22">
        <f>SUM(Z26:Z35)</f>
      </c>
      <c r="AA37" s="22">
        <f>SUM(AA26:AA35)</f>
      </c>
      <c r="AB37" s="22">
        <f>SUM(AB26:AB35)</f>
      </c>
      <c r="AC37" s="22">
        <f>SUM(AC26:AC35)</f>
      </c>
      <c r="AD37" s="22">
        <f>SUM(AD26:AD35)</f>
      </c>
      <c r="AE37" s="22">
        <f>SUM(AE26:AE35)</f>
      </c>
      <c r="AF37" s="22">
        <f>SUM(AF26:AF35)</f>
      </c>
      <c r="AG37" s="22">
        <f>SUM(AG26:AG35)</f>
      </c>
      <c r="AH37" s="22">
        <f>SUM(AH26:AH35)</f>
      </c>
      <c r="AI37" s="22">
        <f>SUM(AI26:AI35)</f>
      </c>
      <c r="AJ37" s="22">
        <f>SUM(AJ26:AJ35)</f>
      </c>
      <c r="AK37" s="23"/>
    </row>
    <row r="39" ht="12.75" customHeight="1" spans="2:37" x14ac:dyDescent="0.25">
      <c r="B39" s="26" t="s">
        <v>44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9"/>
    </row>
    <row r="40" ht="12.75" customHeight="1" spans="2:37" x14ac:dyDescent="0.25"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40"/>
    </row>
    <row r="41" ht="12.75" customHeight="1" spans="2:37" x14ac:dyDescent="0.25">
      <c r="B41" s="20" t="s">
        <v>90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3"/>
    </row>
    <row r="44" ht="12.75" customHeight="1" spans="2:37" x14ac:dyDescent="0.25">
      <c r="B44" s="11" t="s">
        <v>40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18">
        <f>E11</f>
      </c>
      <c r="F45" s="18">
        <f>F11</f>
      </c>
      <c r="G45" s="18">
        <f>G11</f>
      </c>
      <c r="H45" s="18">
        <f>H11</f>
      </c>
      <c r="I45" s="18">
        <f>I11</f>
      </c>
      <c r="J45" s="18">
        <f>J11</f>
      </c>
      <c r="K45" s="18">
        <f>K11</f>
      </c>
      <c r="L45" s="18">
        <f>L11</f>
      </c>
      <c r="M45" s="18">
        <f>M11</f>
      </c>
      <c r="N45" s="18">
        <f>N11</f>
      </c>
      <c r="O45" s="18">
        <f>O11</f>
      </c>
      <c r="P45" s="18">
        <f>P11</f>
      </c>
      <c r="Q45" s="18">
        <f>Q11</f>
      </c>
      <c r="R45" s="18">
        <f>R11</f>
      </c>
      <c r="S45" s="18">
        <f>S11</f>
      </c>
      <c r="T45" s="18">
        <f>T11</f>
      </c>
      <c r="U45" s="18">
        <f>U11</f>
      </c>
      <c r="V45" s="18">
        <f>V11</f>
      </c>
      <c r="W45" s="18">
        <f>W11</f>
      </c>
      <c r="X45" s="18">
        <f>X11</f>
      </c>
      <c r="Y45" s="18">
        <f>Y11</f>
      </c>
      <c r="Z45" s="18">
        <f>Z11</f>
      </c>
      <c r="AA45" s="18">
        <f>AA11</f>
      </c>
      <c r="AB45" s="18">
        <f>AB11</f>
      </c>
      <c r="AC45" s="18">
        <f>AC11</f>
      </c>
      <c r="AD45" s="18">
        <f>AD11</f>
      </c>
      <c r="AE45" s="18">
        <f>AE11</f>
      </c>
      <c r="AF45" s="18">
        <f>AF11</f>
      </c>
      <c r="AG45" s="18">
        <f>AG11</f>
      </c>
      <c r="AH45" s="18">
        <f>AH11</f>
      </c>
      <c r="AI45" s="18">
        <f>AI11</f>
      </c>
      <c r="AJ45" s="18">
        <f>AJ11</f>
      </c>
      <c r="AK45" s="19"/>
    </row>
    <row r="46" ht="12.75" customHeight="1" spans="2:37" x14ac:dyDescent="0.25">
      <c r="B46" s="16" t="s">
        <v>42</v>
      </c>
      <c r="C46" s="17"/>
      <c r="D46" s="17"/>
      <c r="E46" s="18">
        <f>E23</f>
      </c>
      <c r="F46" s="18">
        <f>F23</f>
      </c>
      <c r="G46" s="18">
        <f>G23</f>
      </c>
      <c r="H46" s="18">
        <f>H23</f>
      </c>
      <c r="I46" s="18">
        <f>I23</f>
      </c>
      <c r="J46" s="18">
        <f>J23</f>
      </c>
      <c r="K46" s="18">
        <f>K23</f>
      </c>
      <c r="L46" s="18">
        <f>L23</f>
      </c>
      <c r="M46" s="18">
        <f>M23</f>
      </c>
      <c r="N46" s="18">
        <f>N23</f>
      </c>
      <c r="O46" s="18">
        <f>O23</f>
      </c>
      <c r="P46" s="18">
        <f>P23</f>
      </c>
      <c r="Q46" s="18">
        <f>Q23</f>
      </c>
      <c r="R46" s="18">
        <f>R23</f>
      </c>
      <c r="S46" s="18">
        <f>S23</f>
      </c>
      <c r="T46" s="18">
        <f>T23</f>
      </c>
      <c r="U46" s="18">
        <f>U23</f>
      </c>
      <c r="V46" s="18">
        <f>V23</f>
      </c>
      <c r="W46" s="18">
        <f>W23</f>
      </c>
      <c r="X46" s="18">
        <f>X23</f>
      </c>
      <c r="Y46" s="18">
        <f>Y23</f>
      </c>
      <c r="Z46" s="18">
        <f>Z23</f>
      </c>
      <c r="AA46" s="18">
        <f>AA23</f>
      </c>
      <c r="AB46" s="18">
        <f>AB23</f>
      </c>
      <c r="AC46" s="18">
        <f>AC23</f>
      </c>
      <c r="AD46" s="18">
        <f>AD23</f>
      </c>
      <c r="AE46" s="18">
        <f>AE23</f>
      </c>
      <c r="AF46" s="18">
        <f>AF23</f>
      </c>
      <c r="AG46" s="18">
        <f>AG23</f>
      </c>
      <c r="AH46" s="18">
        <f>AH23</f>
      </c>
      <c r="AI46" s="18">
        <f>AI23</f>
      </c>
      <c r="AJ46" s="18">
        <f>AJ23</f>
      </c>
      <c r="AK46" s="19"/>
    </row>
    <row r="47" ht="12.75" customHeight="1" spans="2:37" x14ac:dyDescent="0.25">
      <c r="B47" s="16" t="s">
        <v>43</v>
      </c>
      <c r="C47" s="17"/>
      <c r="D47" s="17"/>
      <c r="E47" s="18">
        <f>E37</f>
      </c>
      <c r="F47" s="18">
        <f>F37</f>
      </c>
      <c r="G47" s="18">
        <f>G37</f>
      </c>
      <c r="H47" s="18">
        <f>H37</f>
      </c>
      <c r="I47" s="18">
        <f>I37</f>
      </c>
      <c r="J47" s="18">
        <f>J37</f>
      </c>
      <c r="K47" s="18">
        <f>K37</f>
      </c>
      <c r="L47" s="18">
        <f>L37</f>
      </c>
      <c r="M47" s="18">
        <f>M37</f>
      </c>
      <c r="N47" s="18">
        <f>N37</f>
      </c>
      <c r="O47" s="18">
        <f>O37</f>
      </c>
      <c r="P47" s="18">
        <f>P37</f>
      </c>
      <c r="Q47" s="18">
        <f>Q37</f>
      </c>
      <c r="R47" s="18">
        <f>R37</f>
      </c>
      <c r="S47" s="18">
        <f>S37</f>
      </c>
      <c r="T47" s="18">
        <f>T37</f>
      </c>
      <c r="U47" s="18">
        <f>U37</f>
      </c>
      <c r="V47" s="18">
        <f>V37</f>
      </c>
      <c r="W47" s="18">
        <f>W37</f>
      </c>
      <c r="X47" s="18">
        <f>X37</f>
      </c>
      <c r="Y47" s="18">
        <f>Y37</f>
      </c>
      <c r="Z47" s="18">
        <f>Z37</f>
      </c>
      <c r="AA47" s="18">
        <f>AA37</f>
      </c>
      <c r="AB47" s="18">
        <f>AB37</f>
      </c>
      <c r="AC47" s="18">
        <f>AC37</f>
      </c>
      <c r="AD47" s="18">
        <f>AD37</f>
      </c>
      <c r="AE47" s="18">
        <f>AE37</f>
      </c>
      <c r="AF47" s="18">
        <f>AF37</f>
      </c>
      <c r="AG47" s="18">
        <f>AG37</f>
      </c>
      <c r="AH47" s="18">
        <f>AH37</f>
      </c>
      <c r="AI47" s="18">
        <f>AI37</f>
      </c>
      <c r="AJ47" s="18">
        <f>AJ37</f>
      </c>
      <c r="AK47" s="19"/>
    </row>
    <row r="48" ht="12.75" customHeight="1" spans="2:37" x14ac:dyDescent="0.25">
      <c r="B48" s="16" t="s">
        <v>44</v>
      </c>
      <c r="C48" s="17"/>
      <c r="D48" s="17"/>
      <c r="E48" s="18">
        <f>E41</f>
      </c>
      <c r="F48" s="18">
        <f>F41</f>
      </c>
      <c r="G48" s="18">
        <f>G41</f>
      </c>
      <c r="H48" s="18">
        <f>H41</f>
      </c>
      <c r="I48" s="18">
        <f>I41</f>
      </c>
      <c r="J48" s="18">
        <f>J41</f>
      </c>
      <c r="K48" s="18">
        <f>K41</f>
      </c>
      <c r="L48" s="18">
        <f>L41</f>
      </c>
      <c r="M48" s="18">
        <f>M41</f>
      </c>
      <c r="N48" s="18">
        <f>N41</f>
      </c>
      <c r="O48" s="18">
        <f>O41</f>
      </c>
      <c r="P48" s="18">
        <f>P41</f>
      </c>
      <c r="Q48" s="18">
        <f>Q41</f>
      </c>
      <c r="R48" s="18">
        <f>R41</f>
      </c>
      <c r="S48" s="18">
        <f>S41</f>
      </c>
      <c r="T48" s="18">
        <f>T41</f>
      </c>
      <c r="U48" s="18">
        <f>U41</f>
      </c>
      <c r="V48" s="18">
        <f>V41</f>
      </c>
      <c r="W48" s="18">
        <f>W41</f>
      </c>
      <c r="X48" s="18">
        <f>X41</f>
      </c>
      <c r="Y48" s="18">
        <f>Y41</f>
      </c>
      <c r="Z48" s="18">
        <f>Z41</f>
      </c>
      <c r="AA48" s="18">
        <f>AA41</f>
      </c>
      <c r="AB48" s="18">
        <f>AB41</f>
      </c>
      <c r="AC48" s="18">
        <f>AC41</f>
      </c>
      <c r="AD48" s="18">
        <f>AD41</f>
      </c>
      <c r="AE48" s="18">
        <f>AE41</f>
      </c>
      <c r="AF48" s="18">
        <f>AF41</f>
      </c>
      <c r="AG48" s="18">
        <f>AG41</f>
      </c>
      <c r="AH48" s="18">
        <f>AH41</f>
      </c>
      <c r="AI48" s="18">
        <f>AI41</f>
      </c>
      <c r="AJ48" s="18">
        <f>AJ41</f>
      </c>
      <c r="AK48" s="19"/>
    </row>
    <row r="49" ht="12.75" customHeight="1" spans="2:37" x14ac:dyDescent="0.25">
      <c r="B49" s="20" t="s">
        <v>45</v>
      </c>
      <c r="C49" s="21"/>
      <c r="D49" s="21"/>
      <c r="E49" s="22">
        <f>E45+E46+E47+E48</f>
      </c>
      <c r="F49" s="22">
        <f>F45+F46+F47+F48</f>
      </c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3"/>
    </row>
    <row r="51" ht="12.75" customHeight="1" spans="2:37" x14ac:dyDescent="0.25">
      <c r="B51" s="11" t="s">
        <v>46</v>
      </c>
      <c r="C51" s="12"/>
      <c r="D51" s="13"/>
      <c r="E51" s="14" t="s">
        <v>7</v>
      </c>
      <c r="F51" s="14" t="s">
        <v>8</v>
      </c>
      <c r="G51" s="14" t="s">
        <v>9</v>
      </c>
      <c r="H51" s="14" t="s">
        <v>10</v>
      </c>
      <c r="I51" s="14" t="s">
        <v>11</v>
      </c>
      <c r="J51" s="14" t="s">
        <v>12</v>
      </c>
      <c r="K51" s="14" t="s">
        <v>13</v>
      </c>
      <c r="L51" s="14" t="s">
        <v>14</v>
      </c>
      <c r="M51" s="14" t="s">
        <v>15</v>
      </c>
      <c r="N51" s="14" t="s">
        <v>16</v>
      </c>
      <c r="O51" s="14" t="s">
        <v>17</v>
      </c>
      <c r="P51" s="14" t="s">
        <v>18</v>
      </c>
      <c r="Q51" s="14" t="s">
        <v>19</v>
      </c>
      <c r="R51" s="14" t="s">
        <v>20</v>
      </c>
      <c r="S51" s="14" t="s">
        <v>21</v>
      </c>
      <c r="T51" s="14" t="s">
        <v>22</v>
      </c>
      <c r="U51" s="14" t="s">
        <v>23</v>
      </c>
      <c r="V51" s="14" t="s">
        <v>24</v>
      </c>
      <c r="W51" s="14" t="s">
        <v>25</v>
      </c>
      <c r="X51" s="14" t="s">
        <v>26</v>
      </c>
      <c r="Y51" s="14" t="s">
        <v>27</v>
      </c>
      <c r="Z51" s="14" t="s">
        <v>28</v>
      </c>
      <c r="AA51" s="14" t="s">
        <v>29</v>
      </c>
      <c r="AB51" s="14" t="s">
        <v>30</v>
      </c>
      <c r="AC51" s="14" t="s">
        <v>31</v>
      </c>
      <c r="AD51" s="14" t="s">
        <v>32</v>
      </c>
      <c r="AE51" s="14" t="s">
        <v>33</v>
      </c>
      <c r="AF51" s="14" t="s">
        <v>34</v>
      </c>
      <c r="AG51" s="14" t="s">
        <v>35</v>
      </c>
      <c r="AH51" s="14" t="s">
        <v>36</v>
      </c>
      <c r="AI51" s="14" t="s">
        <v>37</v>
      </c>
      <c r="AJ51" s="14" t="s">
        <v>38</v>
      </c>
      <c r="AK51" s="15"/>
    </row>
    <row r="52" ht="12.75" customHeight="1" spans="2:37" x14ac:dyDescent="0.25">
      <c r="B52" s="16" t="s">
        <v>41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42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43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16" t="s">
        <v>44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9"/>
    </row>
    <row r="56" ht="12.75" customHeight="1" spans="2:37" x14ac:dyDescent="0.25">
      <c r="B56" s="20" t="s">
        <v>45</v>
      </c>
      <c r="C56" s="21"/>
      <c r="D56" s="21"/>
      <c r="E56" s="22">
        <f>E52+E53+E54+E55</f>
      </c>
      <c r="F56" s="22">
        <f>F52+F53+F54+F55</f>
      </c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3"/>
    </row>
    <row r="58" ht="12.75" customHeight="1" spans="2:37" x14ac:dyDescent="0.25">
      <c r="B58" s="11" t="s">
        <v>47</v>
      </c>
      <c r="C58" s="12"/>
      <c r="D58" s="13"/>
      <c r="E58" s="14" t="s">
        <v>7</v>
      </c>
      <c r="F58" s="14" t="s">
        <v>8</v>
      </c>
      <c r="G58" s="14" t="s">
        <v>9</v>
      </c>
      <c r="H58" s="14" t="s">
        <v>10</v>
      </c>
      <c r="I58" s="14" t="s">
        <v>11</v>
      </c>
      <c r="J58" s="14" t="s">
        <v>12</v>
      </c>
      <c r="K58" s="14" t="s">
        <v>13</v>
      </c>
      <c r="L58" s="14" t="s">
        <v>14</v>
      </c>
      <c r="M58" s="14" t="s">
        <v>15</v>
      </c>
      <c r="N58" s="14" t="s">
        <v>16</v>
      </c>
      <c r="O58" s="14" t="s">
        <v>17</v>
      </c>
      <c r="P58" s="14" t="s">
        <v>18</v>
      </c>
      <c r="Q58" s="14" t="s">
        <v>19</v>
      </c>
      <c r="R58" s="14" t="s">
        <v>20</v>
      </c>
      <c r="S58" s="14" t="s">
        <v>21</v>
      </c>
      <c r="T58" s="14" t="s">
        <v>22</v>
      </c>
      <c r="U58" s="14" t="s">
        <v>23</v>
      </c>
      <c r="V58" s="14" t="s">
        <v>24</v>
      </c>
      <c r="W58" s="14" t="s">
        <v>25</v>
      </c>
      <c r="X58" s="14" t="s">
        <v>26</v>
      </c>
      <c r="Y58" s="14" t="s">
        <v>27</v>
      </c>
      <c r="Z58" s="14" t="s">
        <v>28</v>
      </c>
      <c r="AA58" s="14" t="s">
        <v>29</v>
      </c>
      <c r="AB58" s="14" t="s">
        <v>30</v>
      </c>
      <c r="AC58" s="14" t="s">
        <v>31</v>
      </c>
      <c r="AD58" s="14" t="s">
        <v>32</v>
      </c>
      <c r="AE58" s="14" t="s">
        <v>33</v>
      </c>
      <c r="AF58" s="14" t="s">
        <v>34</v>
      </c>
      <c r="AG58" s="14" t="s">
        <v>35</v>
      </c>
      <c r="AH58" s="14" t="s">
        <v>36</v>
      </c>
      <c r="AI58" s="14" t="s">
        <v>37</v>
      </c>
      <c r="AJ58" s="14" t="s">
        <v>38</v>
      </c>
      <c r="AK58" s="15"/>
    </row>
    <row r="59" ht="12.75" customHeight="1" spans="2:37" x14ac:dyDescent="0.25">
      <c r="B59" s="16" t="s">
        <v>41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42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43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16" t="s">
        <v>44</v>
      </c>
      <c r="C62" s="17"/>
      <c r="D62" s="17"/>
      <c r="E62" s="24">
        <f>E55-E48</f>
      </c>
      <c r="F62" s="24">
        <f>F55-F48</f>
      </c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19"/>
    </row>
    <row r="63" ht="12.75" customHeight="1" spans="2:37" x14ac:dyDescent="0.25">
      <c r="B63" s="20" t="s">
        <v>45</v>
      </c>
      <c r="C63" s="21"/>
      <c r="D63" s="21"/>
      <c r="E63" s="25">
        <f>E59+E60+E61+E62</f>
      </c>
      <c r="F63" s="25">
        <f>F59+F60+F61+F62</f>
      </c>
      <c r="G63" s="25">
        <f>G59+G60+G61+G62</f>
      </c>
      <c r="H63" s="25">
        <f>H59+H60+H61+H62</f>
      </c>
      <c r="I63" s="25">
        <f>I59+I60+I61+I62</f>
      </c>
      <c r="J63" s="25">
        <f>J59+J60+J61+J62</f>
      </c>
      <c r="K63" s="25">
        <f>K59+K60+K61+K62</f>
      </c>
      <c r="L63" s="25">
        <f>L59+L60+L61+L62</f>
      </c>
      <c r="M63" s="25">
        <f>M59+M60+M61+M62</f>
      </c>
      <c r="N63" s="25">
        <f>N59+N60+N61+N62</f>
      </c>
      <c r="O63" s="25">
        <f>O59+O60+O61+O62</f>
      </c>
      <c r="P63" s="25">
        <f>P59+P60+P61+P62</f>
      </c>
      <c r="Q63" s="25">
        <f>Q59+Q60+Q61+Q62</f>
      </c>
      <c r="R63" s="25">
        <f>R59+R60+R61+R62</f>
      </c>
      <c r="S63" s="25">
        <f>S59+S60+S61+S62</f>
      </c>
      <c r="T63" s="25">
        <f>T59+T60+T61+T62</f>
      </c>
      <c r="U63" s="25">
        <f>U59+U60+U61+U62</f>
      </c>
      <c r="V63" s="25">
        <f>V59+V60+V61+V62</f>
      </c>
      <c r="W63" s="25">
        <f>W59+W60+W61+W62</f>
      </c>
      <c r="X63" s="25">
        <f>X59+X60+X61+X62</f>
      </c>
      <c r="Y63" s="25">
        <f>Y59+Y60+Y61+Y62</f>
      </c>
      <c r="Z63" s="25">
        <f>Z59+Z60+Z61+Z62</f>
      </c>
      <c r="AA63" s="25">
        <f>AA59+AA60+AA61+AA62</f>
      </c>
      <c r="AB63" s="25">
        <f>AB59+AB60+AB61+AB62</f>
      </c>
      <c r="AC63" s="25">
        <f>AC59+AC60+AC61+AC62</f>
      </c>
      <c r="AD63" s="25">
        <f>AD59+AD60+AD61+AD62</f>
      </c>
      <c r="AE63" s="25">
        <f>AE59+AE60+AE61+AE62</f>
      </c>
      <c r="AF63" s="25">
        <f>AF59+AF60+AF61+AF62</f>
      </c>
      <c r="AG63" s="25">
        <f>AG59+AG60+AG61+AG62</f>
      </c>
      <c r="AH63" s="25">
        <f>AH59+AH60+AH61+AH62</f>
      </c>
      <c r="AI63" s="25">
        <f>AI59+AI60+AI61+AI62</f>
      </c>
      <c r="AJ63" s="25">
        <f>AJ59+AJ60+AJ61+AJ62</f>
      </c>
      <c r="AK63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793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812</v>
      </c>
      <c r="K8" s="44" t="s">
        <v>813</v>
      </c>
      <c r="L8" s="44" t="s">
        <v>814</v>
      </c>
      <c r="M8" s="44" t="s">
        <v>815</v>
      </c>
      <c r="N8" s="44" t="s">
        <v>816</v>
      </c>
      <c r="O8" s="44" t="s">
        <v>817</v>
      </c>
      <c r="P8" s="44" t="s">
        <v>818</v>
      </c>
      <c r="Q8" s="44" t="s">
        <v>819</v>
      </c>
      <c r="R8" s="44" t="s">
        <v>820</v>
      </c>
      <c r="S8" s="44" t="s">
        <v>821</v>
      </c>
      <c r="T8" s="44" t="s">
        <v>822</v>
      </c>
      <c r="U8" s="44" t="s">
        <v>823</v>
      </c>
      <c r="V8" s="44" t="s">
        <v>824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793</v>
      </c>
      <c r="D10" s="50" t="s">
        <v>41</v>
      </c>
      <c r="E10" s="32" t="s">
        <v>3</v>
      </c>
      <c r="F10" s="32" t="s">
        <v>794</v>
      </c>
      <c r="G10" s="32"/>
      <c r="H10" s="32"/>
      <c r="I10" s="32"/>
      <c r="J10" s="32"/>
      <c r="K10" s="33">
        <v>176.73</v>
      </c>
      <c r="L10" s="33">
        <v>12.55</v>
      </c>
      <c r="M10" s="33">
        <v>118.82</v>
      </c>
      <c r="N10" s="33">
        <v>16.98</v>
      </c>
      <c r="O10" s="33">
        <v>11.36</v>
      </c>
      <c r="P10" s="33">
        <v>4.4</v>
      </c>
      <c r="Q10" s="33">
        <v>33.06</v>
      </c>
      <c r="R10" s="33">
        <v>51.18</v>
      </c>
      <c r="S10" s="33">
        <v>50.22</v>
      </c>
      <c r="T10" s="33">
        <v>57.74</v>
      </c>
      <c r="U10" s="33">
        <v>113.96</v>
      </c>
      <c r="V10" s="33">
        <v>215.74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793</v>
      </c>
      <c r="D15" s="50" t="s">
        <v>42</v>
      </c>
      <c r="E15" s="32" t="s">
        <v>3</v>
      </c>
      <c r="F15" s="32" t="s">
        <v>794</v>
      </c>
      <c r="G15" s="32"/>
      <c r="H15" s="32"/>
      <c r="I15" s="32"/>
      <c r="J15" s="32"/>
      <c r="K15" s="33">
        <v>267.96</v>
      </c>
      <c r="L15" s="33">
        <v>212.81</v>
      </c>
      <c r="M15" s="33">
        <v>215.39</v>
      </c>
      <c r="N15" s="33">
        <v>187.82</v>
      </c>
      <c r="O15" s="33">
        <v>174.91</v>
      </c>
      <c r="P15" s="33">
        <v>144.96</v>
      </c>
      <c r="Q15" s="33">
        <v>146.07</v>
      </c>
      <c r="R15" s="33">
        <v>148.66</v>
      </c>
      <c r="S15" s="33">
        <v>130.32</v>
      </c>
      <c r="T15" s="33">
        <v>170.3</v>
      </c>
      <c r="U15" s="33">
        <v>215.52</v>
      </c>
      <c r="V15" s="33">
        <v>278.58</v>
      </c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793</v>
      </c>
      <c r="D16" s="50" t="s">
        <v>42</v>
      </c>
      <c r="E16" s="32" t="s">
        <v>3</v>
      </c>
      <c r="F16" s="32" t="s">
        <v>795</v>
      </c>
      <c r="G16" s="32"/>
      <c r="H16" s="32"/>
      <c r="I16" s="32"/>
      <c r="J16" s="32"/>
      <c r="K16" s="33">
        <v>123.86</v>
      </c>
      <c r="L16" s="33">
        <v>110.85</v>
      </c>
      <c r="M16" s="33">
        <v>108.72</v>
      </c>
      <c r="N16" s="33">
        <v>61.24</v>
      </c>
      <c r="O16" s="33">
        <v>58.56</v>
      </c>
      <c r="P16" s="33">
        <v>51.22</v>
      </c>
      <c r="Q16" s="33">
        <v>50.43</v>
      </c>
      <c r="R16" s="33">
        <v>58.27</v>
      </c>
      <c r="S16" s="33">
        <v>62.58</v>
      </c>
      <c r="T16" s="33">
        <v>76.03</v>
      </c>
      <c r="U16" s="33">
        <v>76.84</v>
      </c>
      <c r="V16" s="33">
        <v>84.16</v>
      </c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793</v>
      </c>
      <c r="D17" s="50" t="s">
        <v>42</v>
      </c>
      <c r="E17" s="32" t="s">
        <v>3</v>
      </c>
      <c r="F17" s="32" t="s">
        <v>796</v>
      </c>
      <c r="G17" s="32"/>
      <c r="H17" s="32"/>
      <c r="I17" s="32"/>
      <c r="J17" s="32"/>
      <c r="K17" s="33">
        <v>169.95</v>
      </c>
      <c r="L17" s="33">
        <v>144.03</v>
      </c>
      <c r="M17" s="33">
        <v>136.54</v>
      </c>
      <c r="N17" s="33">
        <v>57.09</v>
      </c>
      <c r="O17" s="33">
        <v>53.83</v>
      </c>
      <c r="P17" s="33">
        <v>47.17</v>
      </c>
      <c r="Q17" s="33">
        <v>45.48</v>
      </c>
      <c r="R17" s="33">
        <v>53.57</v>
      </c>
      <c r="S17" s="33">
        <v>57.87</v>
      </c>
      <c r="T17" s="33">
        <v>71.62</v>
      </c>
      <c r="U17" s="33">
        <v>73.33</v>
      </c>
      <c r="V17" s="33">
        <v>81.32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793</v>
      </c>
      <c r="D18" s="50" t="s">
        <v>42</v>
      </c>
      <c r="E18" s="32" t="s">
        <v>3</v>
      </c>
      <c r="F18" s="32" t="s">
        <v>797</v>
      </c>
      <c r="G18" s="32"/>
      <c r="H18" s="32"/>
      <c r="I18" s="32"/>
      <c r="J18" s="32"/>
      <c r="K18" s="33">
        <v>588.43</v>
      </c>
      <c r="L18" s="33">
        <v>638.44</v>
      </c>
      <c r="M18" s="33">
        <v>728.83</v>
      </c>
      <c r="N18" s="33">
        <v>365.32</v>
      </c>
      <c r="O18" s="33">
        <v>127.08</v>
      </c>
      <c r="P18" s="33">
        <v>125.14</v>
      </c>
      <c r="Q18" s="33">
        <v>192.39</v>
      </c>
      <c r="R18" s="33">
        <v>150.73</v>
      </c>
      <c r="S18" s="33">
        <v>148.38</v>
      </c>
      <c r="T18" s="33">
        <v>155.1</v>
      </c>
      <c r="U18" s="33">
        <v>154.47</v>
      </c>
      <c r="V18" s="33">
        <v>564.37</v>
      </c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793</v>
      </c>
      <c r="D19" s="50" t="s">
        <v>42</v>
      </c>
      <c r="E19" s="32" t="s">
        <v>3</v>
      </c>
      <c r="F19" s="32" t="s">
        <v>798</v>
      </c>
      <c r="G19" s="32"/>
      <c r="H19" s="32"/>
      <c r="I19" s="32"/>
      <c r="J19" s="32"/>
      <c r="K19" s="33">
        <v>191.58</v>
      </c>
      <c r="L19" s="33">
        <v>181.26</v>
      </c>
      <c r="M19" s="33">
        <v>203.65</v>
      </c>
      <c r="N19" s="33">
        <v>153.13</v>
      </c>
      <c r="O19" s="33">
        <v>121.31</v>
      </c>
      <c r="P19" s="33">
        <v>64.66</v>
      </c>
      <c r="Q19" s="33">
        <v>58.53</v>
      </c>
      <c r="R19" s="33">
        <v>56.97</v>
      </c>
      <c r="S19" s="33">
        <v>51.35</v>
      </c>
      <c r="T19" s="33">
        <v>56.91</v>
      </c>
      <c r="U19" s="33">
        <v>83.76</v>
      </c>
      <c r="V19" s="33">
        <v>113.56</v>
      </c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793</v>
      </c>
      <c r="D20" s="50" t="s">
        <v>42</v>
      </c>
      <c r="E20" s="32" t="s">
        <v>3</v>
      </c>
      <c r="F20" s="32" t="s">
        <v>799</v>
      </c>
      <c r="G20" s="32"/>
      <c r="H20" s="32"/>
      <c r="I20" s="32"/>
      <c r="J20" s="32"/>
      <c r="K20" s="33">
        <v>125.85</v>
      </c>
      <c r="L20" s="33">
        <v>112.64</v>
      </c>
      <c r="M20" s="33">
        <v>109.1</v>
      </c>
      <c r="N20" s="33">
        <v>55.21</v>
      </c>
      <c r="O20" s="33">
        <v>52.42</v>
      </c>
      <c r="P20" s="33">
        <v>45.74</v>
      </c>
      <c r="Q20" s="33">
        <v>45.48</v>
      </c>
      <c r="R20" s="33">
        <v>52.51</v>
      </c>
      <c r="S20" s="33">
        <v>55.78</v>
      </c>
      <c r="T20" s="33">
        <v>69.07</v>
      </c>
      <c r="U20" s="33">
        <v>70.89</v>
      </c>
      <c r="V20" s="33">
        <v>77.39</v>
      </c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793</v>
      </c>
      <c r="D21" s="50" t="s">
        <v>42</v>
      </c>
      <c r="E21" s="32" t="s">
        <v>3</v>
      </c>
      <c r="F21" s="32" t="s">
        <v>800</v>
      </c>
      <c r="G21" s="32"/>
      <c r="H21" s="32"/>
      <c r="I21" s="32"/>
      <c r="J21" s="32"/>
      <c r="K21" s="33">
        <v>172.44</v>
      </c>
      <c r="L21" s="33">
        <v>151.29</v>
      </c>
      <c r="M21" s="33">
        <v>139.34</v>
      </c>
      <c r="N21" s="33">
        <v>54.32</v>
      </c>
      <c r="O21" s="33">
        <v>50.88</v>
      </c>
      <c r="P21" s="33">
        <v>44.94</v>
      </c>
      <c r="Q21" s="33">
        <v>44.04</v>
      </c>
      <c r="R21" s="33">
        <v>51.22</v>
      </c>
      <c r="S21" s="33">
        <v>55.01</v>
      </c>
      <c r="T21" s="33">
        <v>66.52</v>
      </c>
      <c r="U21" s="33">
        <v>69.54</v>
      </c>
      <c r="V21" s="33">
        <v>76.18</v>
      </c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793</v>
      </c>
      <c r="D22" s="50" t="s">
        <v>42</v>
      </c>
      <c r="E22" s="32" t="s">
        <v>3</v>
      </c>
      <c r="F22" s="32" t="s">
        <v>801</v>
      </c>
      <c r="G22" s="32"/>
      <c r="H22" s="32"/>
      <c r="I22" s="32"/>
      <c r="J22" s="32"/>
      <c r="K22" s="33">
        <v>112.3</v>
      </c>
      <c r="L22" s="33">
        <v>47.05</v>
      </c>
      <c r="M22" s="33">
        <v>58.47</v>
      </c>
      <c r="N22" s="33">
        <v>117.16</v>
      </c>
      <c r="O22" s="33">
        <v>110.55</v>
      </c>
      <c r="P22" s="33">
        <v>51.67</v>
      </c>
      <c r="Q22" s="33">
        <v>38.88</v>
      </c>
      <c r="R22" s="33">
        <v>74.45</v>
      </c>
      <c r="S22" s="33">
        <v>56.72</v>
      </c>
      <c r="T22" s="33">
        <v>57.17</v>
      </c>
      <c r="U22" s="33">
        <v>61.51</v>
      </c>
      <c r="V22" s="33">
        <v>111.02</v>
      </c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51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0"/>
    </row>
    <row r="24" ht="13.5" customHeight="1" spans="2:39" x14ac:dyDescent="0.25">
      <c r="B24" s="20"/>
      <c r="C24" s="21"/>
      <c r="D24" s="21" t="s">
        <v>85</v>
      </c>
      <c r="E24" s="21"/>
      <c r="F24" s="21"/>
      <c r="G24" s="22">
        <f>SUM(G15:G22)</f>
      </c>
      <c r="H24" s="22">
        <f>SUM(H15:H22)</f>
      </c>
      <c r="I24" s="22">
        <f>SUM(I15:I22)</f>
      </c>
      <c r="J24" s="22">
        <f>SUM(J15:J22)</f>
      </c>
      <c r="K24" s="22">
        <f>SUM(K15:K22)</f>
      </c>
      <c r="L24" s="22">
        <f>SUM(L15:L22)</f>
      </c>
      <c r="M24" s="22">
        <f>SUM(M15:M22)</f>
      </c>
      <c r="N24" s="22">
        <f>SUM(N15:N22)</f>
      </c>
      <c r="O24" s="22">
        <f>SUM(O15:O22)</f>
      </c>
      <c r="P24" s="22">
        <f>SUM(P15:P22)</f>
      </c>
      <c r="Q24" s="22">
        <f>SUM(Q15:Q22)</f>
      </c>
      <c r="R24" s="22">
        <f>SUM(R15:R22)</f>
      </c>
      <c r="S24" s="22">
        <f>SUM(S15:S22)</f>
      </c>
      <c r="T24" s="22">
        <f>SUM(T15:T22)</f>
      </c>
      <c r="U24" s="22">
        <f>SUM(U15:U22)</f>
      </c>
      <c r="V24" s="22">
        <f>SUM(V15:V22)</f>
      </c>
      <c r="W24" s="22">
        <f>SUM(W15:W22)</f>
      </c>
      <c r="X24" s="22">
        <f>SUM(X15:X22)</f>
      </c>
      <c r="Y24" s="22">
        <f>SUM(Y15:Y22)</f>
      </c>
      <c r="Z24" s="22">
        <f>SUM(Z15:Z22)</f>
      </c>
      <c r="AA24" s="22">
        <f>SUM(AA15:AA22)</f>
      </c>
      <c r="AB24" s="22">
        <f>SUM(AB15:AB22)</f>
      </c>
      <c r="AC24" s="22">
        <f>SUM(AC15:AC22)</f>
      </c>
      <c r="AD24" s="22">
        <f>SUM(AD15:AD22)</f>
      </c>
      <c r="AE24" s="22">
        <f>SUM(AE15:AE22)</f>
      </c>
      <c r="AF24" s="22">
        <f>SUM(AF15:AF22)</f>
      </c>
      <c r="AG24" s="22">
        <f>SUM(AG15:AG22)</f>
      </c>
      <c r="AH24" s="22">
        <f>SUM(AH15:AH22)</f>
      </c>
      <c r="AI24" s="22">
        <f>SUM(AI15:AI22)</f>
      </c>
      <c r="AJ24" s="22">
        <f>SUM(AJ15:AJ22)</f>
      </c>
      <c r="AK24" s="22">
        <f>SUM(AK15:AK22)</f>
      </c>
      <c r="AL24" s="22">
        <f>SUM(AL15:AL22)</f>
      </c>
      <c r="AM24" s="23"/>
    </row>
    <row r="26" ht="13.5" customHeight="1" spans="2:39" x14ac:dyDescent="0.25">
      <c r="B26" s="46"/>
      <c r="C26" s="28"/>
      <c r="D26" s="47" t="s">
        <v>43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/>
    </row>
    <row r="27" ht="13.5" customHeight="1" spans="2:39" x14ac:dyDescent="0.25">
      <c r="B27" s="48" t="s">
        <v>3</v>
      </c>
      <c r="C27" s="49" t="s">
        <v>793</v>
      </c>
      <c r="D27" s="50" t="s">
        <v>43</v>
      </c>
      <c r="E27" s="32" t="s">
        <v>3</v>
      </c>
      <c r="F27" s="32" t="s">
        <v>802</v>
      </c>
      <c r="G27" s="32"/>
      <c r="H27" s="32"/>
      <c r="I27" s="32"/>
      <c r="J27" s="33">
        <v>9840.66</v>
      </c>
      <c r="K27" s="33">
        <v>10257.36</v>
      </c>
      <c r="L27" s="33">
        <v>10257.36</v>
      </c>
      <c r="M27" s="33">
        <v>10257.36</v>
      </c>
      <c r="N27" s="33">
        <v>10257.36</v>
      </c>
      <c r="O27" s="33">
        <v>10257.36</v>
      </c>
      <c r="P27" s="33">
        <v>10257.36</v>
      </c>
      <c r="Q27" s="33">
        <v>10257.36</v>
      </c>
      <c r="R27" s="33">
        <v>10257.36</v>
      </c>
      <c r="S27" s="33">
        <v>10257.36</v>
      </c>
      <c r="T27" s="33">
        <v>10257.36</v>
      </c>
      <c r="U27" s="33">
        <v>10257.36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793</v>
      </c>
      <c r="D28" s="50" t="s">
        <v>43</v>
      </c>
      <c r="E28" s="32" t="s">
        <v>3</v>
      </c>
      <c r="F28" s="32" t="s">
        <v>803</v>
      </c>
      <c r="G28" s="32"/>
      <c r="H28" s="32"/>
      <c r="I28" s="32"/>
      <c r="J28" s="33">
        <v>52.5</v>
      </c>
      <c r="K28" s="33">
        <v>59</v>
      </c>
      <c r="L28" s="33">
        <v>59</v>
      </c>
      <c r="M28" s="33">
        <v>59</v>
      </c>
      <c r="N28" s="33">
        <v>120.12</v>
      </c>
      <c r="O28" s="33">
        <v>158.32</v>
      </c>
      <c r="P28" s="33">
        <v>368.42</v>
      </c>
      <c r="Q28" s="33">
        <v>695.33</v>
      </c>
      <c r="R28" s="33">
        <v>532.73</v>
      </c>
      <c r="S28" s="33">
        <v>471.56</v>
      </c>
      <c r="T28" s="33">
        <v>59</v>
      </c>
      <c r="U28" s="33">
        <v>59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793</v>
      </c>
      <c r="D29" s="50" t="s">
        <v>43</v>
      </c>
      <c r="E29" s="32" t="s">
        <v>3</v>
      </c>
      <c r="F29" s="32" t="s">
        <v>804</v>
      </c>
      <c r="G29" s="32"/>
      <c r="H29" s="32"/>
      <c r="I29" s="32"/>
      <c r="J29" s="33">
        <v>688</v>
      </c>
      <c r="K29" s="33">
        <v>763</v>
      </c>
      <c r="L29" s="33">
        <v>764.6</v>
      </c>
      <c r="M29" s="33">
        <v>763</v>
      </c>
      <c r="N29" s="33">
        <v>769.4</v>
      </c>
      <c r="O29" s="33">
        <v>795</v>
      </c>
      <c r="P29" s="33">
        <v>899</v>
      </c>
      <c r="Q29" s="33">
        <v>1038.2</v>
      </c>
      <c r="R29" s="33">
        <v>974.2</v>
      </c>
      <c r="S29" s="33">
        <v>863.8</v>
      </c>
      <c r="T29" s="33">
        <v>774.2</v>
      </c>
      <c r="U29" s="33">
        <v>764.6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793</v>
      </c>
      <c r="D30" s="50" t="s">
        <v>43</v>
      </c>
      <c r="E30" s="32" t="s">
        <v>3</v>
      </c>
      <c r="F30" s="32" t="s">
        <v>805</v>
      </c>
      <c r="G30" s="32"/>
      <c r="H30" s="32"/>
      <c r="I30" s="32"/>
      <c r="J30" s="33">
        <v>2404.8</v>
      </c>
      <c r="K30" s="33">
        <v>2623.28</v>
      </c>
      <c r="L30" s="33">
        <v>2561.72</v>
      </c>
      <c r="M30" s="33">
        <v>2407.82</v>
      </c>
      <c r="N30" s="33">
        <v>2866.1</v>
      </c>
      <c r="O30" s="33">
        <v>3433.82</v>
      </c>
      <c r="P30" s="33">
        <v>3686.9</v>
      </c>
      <c r="Q30" s="33">
        <v>4435.88</v>
      </c>
      <c r="R30" s="33">
        <v>3960.5</v>
      </c>
      <c r="S30" s="33">
        <v>3095.24</v>
      </c>
      <c r="T30" s="33">
        <v>2517.26</v>
      </c>
      <c r="U30" s="33">
        <v>2110.28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793</v>
      </c>
      <c r="D31" s="50" t="s">
        <v>43</v>
      </c>
      <c r="E31" s="32" t="s">
        <v>3</v>
      </c>
      <c r="F31" s="32" t="s">
        <v>806</v>
      </c>
      <c r="G31" s="32"/>
      <c r="H31" s="32"/>
      <c r="I31" s="32"/>
      <c r="J31" s="33">
        <v>440.32</v>
      </c>
      <c r="K31" s="33">
        <v>489.92</v>
      </c>
      <c r="L31" s="33">
        <v>488.32</v>
      </c>
      <c r="M31" s="33">
        <v>488.32</v>
      </c>
      <c r="N31" s="33">
        <v>488.32</v>
      </c>
      <c r="O31" s="33">
        <v>504.32</v>
      </c>
      <c r="P31" s="33">
        <v>595.52</v>
      </c>
      <c r="Q31" s="33">
        <v>746.72</v>
      </c>
      <c r="R31" s="33">
        <v>669.12</v>
      </c>
      <c r="S31" s="33">
        <v>569.92</v>
      </c>
      <c r="T31" s="33">
        <v>496.32</v>
      </c>
      <c r="U31" s="33">
        <v>488.32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793</v>
      </c>
      <c r="D32" s="50" t="s">
        <v>43</v>
      </c>
      <c r="E32" s="32" t="s">
        <v>3</v>
      </c>
      <c r="F32" s="32" t="s">
        <v>807</v>
      </c>
      <c r="G32" s="32"/>
      <c r="H32" s="32"/>
      <c r="I32" s="32"/>
      <c r="J32" s="33">
        <v>414.36</v>
      </c>
      <c r="K32" s="33">
        <v>461</v>
      </c>
      <c r="L32" s="33">
        <v>459.4</v>
      </c>
      <c r="M32" s="33">
        <v>459.4</v>
      </c>
      <c r="N32" s="33">
        <v>475.4</v>
      </c>
      <c r="O32" s="33">
        <v>531.4</v>
      </c>
      <c r="P32" s="33">
        <v>708.76</v>
      </c>
      <c r="Q32" s="33">
        <v>1061.16</v>
      </c>
      <c r="R32" s="33">
        <v>872.24</v>
      </c>
      <c r="S32" s="33">
        <v>625.8</v>
      </c>
      <c r="T32" s="33">
        <v>486.6</v>
      </c>
      <c r="U32" s="33">
        <v>461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793</v>
      </c>
      <c r="D33" s="50" t="s">
        <v>43</v>
      </c>
      <c r="E33" s="32" t="s">
        <v>3</v>
      </c>
      <c r="F33" s="32" t="s">
        <v>808</v>
      </c>
      <c r="G33" s="32"/>
      <c r="H33" s="32"/>
      <c r="I33" s="32"/>
      <c r="J33" s="33">
        <v>632.96</v>
      </c>
      <c r="K33" s="33">
        <v>701.96</v>
      </c>
      <c r="L33" s="33">
        <v>701.96</v>
      </c>
      <c r="M33" s="33">
        <v>701.96</v>
      </c>
      <c r="N33" s="33">
        <v>703.56</v>
      </c>
      <c r="O33" s="33">
        <v>727.56</v>
      </c>
      <c r="P33" s="33">
        <v>823.56</v>
      </c>
      <c r="Q33" s="33">
        <v>956.36</v>
      </c>
      <c r="R33" s="33">
        <v>897.16</v>
      </c>
      <c r="S33" s="33">
        <v>793.16</v>
      </c>
      <c r="T33" s="33">
        <v>711.56</v>
      </c>
      <c r="U33" s="33">
        <v>701.96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793</v>
      </c>
      <c r="D34" s="50" t="s">
        <v>43</v>
      </c>
      <c r="E34" s="32" t="s">
        <v>3</v>
      </c>
      <c r="F34" s="32" t="s">
        <v>809</v>
      </c>
      <c r="G34" s="32"/>
      <c r="H34" s="32"/>
      <c r="I34" s="32"/>
      <c r="J34" s="33">
        <v>610.8</v>
      </c>
      <c r="K34" s="33">
        <v>677.36</v>
      </c>
      <c r="L34" s="33">
        <v>672.56</v>
      </c>
      <c r="M34" s="33">
        <v>658.16</v>
      </c>
      <c r="N34" s="33">
        <v>709.36</v>
      </c>
      <c r="O34" s="33">
        <v>929.84</v>
      </c>
      <c r="P34" s="33">
        <v>1360.26</v>
      </c>
      <c r="Q34" s="33">
        <v>2242.62</v>
      </c>
      <c r="R34" s="33">
        <v>1914.3</v>
      </c>
      <c r="S34" s="33">
        <v>1109.4</v>
      </c>
      <c r="T34" s="33">
        <v>726.96</v>
      </c>
      <c r="U34" s="33">
        <v>691.76</v>
      </c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793</v>
      </c>
      <c r="D35" s="50" t="s">
        <v>43</v>
      </c>
      <c r="E35" s="32" t="s">
        <v>3</v>
      </c>
      <c r="F35" s="32" t="s">
        <v>810</v>
      </c>
      <c r="G35" s="32"/>
      <c r="H35" s="32"/>
      <c r="I35" s="32"/>
      <c r="J35" s="33">
        <v>698.6</v>
      </c>
      <c r="K35" s="33">
        <v>764</v>
      </c>
      <c r="L35" s="33">
        <v>776.8</v>
      </c>
      <c r="M35" s="33">
        <v>775.2</v>
      </c>
      <c r="N35" s="33">
        <v>842.4</v>
      </c>
      <c r="O35" s="33">
        <v>1045.96</v>
      </c>
      <c r="P35" s="33">
        <v>1436.54</v>
      </c>
      <c r="Q35" s="33">
        <v>2277.86</v>
      </c>
      <c r="R35" s="33">
        <v>1942.7</v>
      </c>
      <c r="S35" s="33">
        <v>1169.24</v>
      </c>
      <c r="T35" s="33">
        <v>802.4</v>
      </c>
      <c r="U35" s="33">
        <v>756</v>
      </c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793</v>
      </c>
      <c r="D36" s="50" t="s">
        <v>43</v>
      </c>
      <c r="E36" s="32" t="s">
        <v>3</v>
      </c>
      <c r="F36" s="32" t="s">
        <v>811</v>
      </c>
      <c r="G36" s="32"/>
      <c r="H36" s="32"/>
      <c r="I36" s="32"/>
      <c r="J36" s="33">
        <v>550.4</v>
      </c>
      <c r="K36" s="33">
        <v>610.4</v>
      </c>
      <c r="L36" s="33">
        <v>610.4</v>
      </c>
      <c r="M36" s="33">
        <v>610.4</v>
      </c>
      <c r="N36" s="33">
        <v>610.4</v>
      </c>
      <c r="O36" s="33">
        <v>610.4</v>
      </c>
      <c r="P36" s="33">
        <v>610.4</v>
      </c>
      <c r="Q36" s="33">
        <v>610.4</v>
      </c>
      <c r="R36" s="33">
        <v>610.4</v>
      </c>
      <c r="S36" s="33">
        <v>610.4</v>
      </c>
      <c r="T36" s="33">
        <v>610.4</v>
      </c>
      <c r="U36" s="33">
        <v>610.4</v>
      </c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5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ht="13.5" customHeight="1" spans="2:39" x14ac:dyDescent="0.25">
      <c r="B38" s="20"/>
      <c r="C38" s="21"/>
      <c r="D38" s="21" t="s">
        <v>89</v>
      </c>
      <c r="E38" s="21"/>
      <c r="F38" s="21"/>
      <c r="G38" s="22">
        <f>SUM(G27:G36)</f>
      </c>
      <c r="H38" s="22">
        <f>SUM(H27:H36)</f>
      </c>
      <c r="I38" s="22">
        <f>SUM(I27:I36)</f>
      </c>
      <c r="J38" s="22">
        <f>SUM(J27:J36)</f>
      </c>
      <c r="K38" s="22">
        <f>SUM(K27:K36)</f>
      </c>
      <c r="L38" s="22">
        <f>SUM(L27:L36)</f>
      </c>
      <c r="M38" s="22">
        <f>SUM(M27:M36)</f>
      </c>
      <c r="N38" s="22">
        <f>SUM(N27:N36)</f>
      </c>
      <c r="O38" s="22">
        <f>SUM(O27:O36)</f>
      </c>
      <c r="P38" s="22">
        <f>SUM(P27:P36)</f>
      </c>
      <c r="Q38" s="22">
        <f>SUM(Q27:Q36)</f>
      </c>
      <c r="R38" s="22">
        <f>SUM(R27:R36)</f>
      </c>
      <c r="S38" s="22">
        <f>SUM(S27:S36)</f>
      </c>
      <c r="T38" s="22">
        <f>SUM(T27:T36)</f>
      </c>
      <c r="U38" s="22">
        <f>SUM(U27:U36)</f>
      </c>
      <c r="V38" s="22">
        <f>SUM(V27:V36)</f>
      </c>
      <c r="W38" s="22">
        <f>SUM(W27:W36)</f>
      </c>
      <c r="X38" s="22">
        <f>SUM(X27:X36)</f>
      </c>
      <c r="Y38" s="22">
        <f>SUM(Y27:Y36)</f>
      </c>
      <c r="Z38" s="22">
        <f>SUM(Z27:Z36)</f>
      </c>
      <c r="AA38" s="22">
        <f>SUM(AA27:AA36)</f>
      </c>
      <c r="AB38" s="22">
        <f>SUM(AB27:AB36)</f>
      </c>
      <c r="AC38" s="22">
        <f>SUM(AC27:AC36)</f>
      </c>
      <c r="AD38" s="22">
        <f>SUM(AD27:AD36)</f>
      </c>
      <c r="AE38" s="22">
        <f>SUM(AE27:AE36)</f>
      </c>
      <c r="AF38" s="22">
        <f>SUM(AF27:AF36)</f>
      </c>
      <c r="AG38" s="22">
        <f>SUM(AG27:AG36)</f>
      </c>
      <c r="AH38" s="22">
        <f>SUM(AH27:AH36)</f>
      </c>
      <c r="AI38" s="22">
        <f>SUM(AI27:AI36)</f>
      </c>
      <c r="AJ38" s="22">
        <f>SUM(AJ27:AJ36)</f>
      </c>
      <c r="AK38" s="22">
        <f>SUM(AK27:AK36)</f>
      </c>
      <c r="AL38" s="22">
        <f>SUM(AL27:AL36)</f>
      </c>
      <c r="AM38" s="23"/>
    </row>
    <row r="40" ht="13.5" customHeight="1" spans="2:39" x14ac:dyDescent="0.25">
      <c r="B40" s="46"/>
      <c r="C40" s="28"/>
      <c r="D40" s="47" t="s">
        <v>44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/>
    </row>
    <row r="41" ht="13.5" customHeight="1" spans="2:39" x14ac:dyDescent="0.25">
      <c r="B41" s="5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40"/>
    </row>
    <row r="42" ht="13.5" customHeight="1" spans="2:39" x14ac:dyDescent="0.25">
      <c r="B42" s="20"/>
      <c r="C42" s="21"/>
      <c r="D42" s="21" t="s">
        <v>90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3"/>
    </row>
    <row r="45" ht="12.75" customHeight="1" spans="2:39" x14ac:dyDescent="0.25">
      <c r="B45" s="11" t="s">
        <v>40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18">
        <f>G12</f>
      </c>
      <c r="H46" s="18">
        <f>H12</f>
      </c>
      <c r="I46" s="18">
        <f>I12</f>
      </c>
      <c r="J46" s="18">
        <f>J12</f>
      </c>
      <c r="K46" s="18">
        <f>K12</f>
      </c>
      <c r="L46" s="18">
        <f>L12</f>
      </c>
      <c r="M46" s="18">
        <f>M12</f>
      </c>
      <c r="N46" s="18">
        <f>N12</f>
      </c>
      <c r="O46" s="18">
        <f>O12</f>
      </c>
      <c r="P46" s="18">
        <f>P12</f>
      </c>
      <c r="Q46" s="18">
        <f>Q12</f>
      </c>
      <c r="R46" s="18">
        <f>R12</f>
      </c>
      <c r="S46" s="18">
        <f>S12</f>
      </c>
      <c r="T46" s="18">
        <f>T12</f>
      </c>
      <c r="U46" s="18">
        <f>U12</f>
      </c>
      <c r="V46" s="18">
        <f>V12</f>
      </c>
      <c r="W46" s="18">
        <f>W12</f>
      </c>
      <c r="X46" s="18">
        <f>X12</f>
      </c>
      <c r="Y46" s="18">
        <f>Y12</f>
      </c>
      <c r="Z46" s="18">
        <f>Z12</f>
      </c>
      <c r="AA46" s="18">
        <f>AA12</f>
      </c>
      <c r="AB46" s="18">
        <f>AB12</f>
      </c>
      <c r="AC46" s="18">
        <f>AC12</f>
      </c>
      <c r="AD46" s="18">
        <f>AD12</f>
      </c>
      <c r="AE46" s="18">
        <f>AE12</f>
      </c>
      <c r="AF46" s="18">
        <f>AF12</f>
      </c>
      <c r="AG46" s="18">
        <f>AG12</f>
      </c>
      <c r="AH46" s="18">
        <f>AH12</f>
      </c>
      <c r="AI46" s="18">
        <f>AI12</f>
      </c>
      <c r="AJ46" s="18">
        <f>AJ12</f>
      </c>
      <c r="AK46" s="18">
        <f>AK12</f>
      </c>
      <c r="AL46" s="18">
        <f>AL12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18">
        <f>G24</f>
      </c>
      <c r="H47" s="18">
        <f>H24</f>
      </c>
      <c r="I47" s="18">
        <f>I24</f>
      </c>
      <c r="J47" s="18">
        <f>J24</f>
      </c>
      <c r="K47" s="18">
        <f>K24</f>
      </c>
      <c r="L47" s="18">
        <f>L24</f>
      </c>
      <c r="M47" s="18">
        <f>M24</f>
      </c>
      <c r="N47" s="18">
        <f>N24</f>
      </c>
      <c r="O47" s="18">
        <f>O24</f>
      </c>
      <c r="P47" s="18">
        <f>P24</f>
      </c>
      <c r="Q47" s="18">
        <f>Q24</f>
      </c>
      <c r="R47" s="18">
        <f>R24</f>
      </c>
      <c r="S47" s="18">
        <f>S24</f>
      </c>
      <c r="T47" s="18">
        <f>T24</f>
      </c>
      <c r="U47" s="18">
        <f>U24</f>
      </c>
      <c r="V47" s="18">
        <f>V24</f>
      </c>
      <c r="W47" s="18">
        <f>W24</f>
      </c>
      <c r="X47" s="18">
        <f>X24</f>
      </c>
      <c r="Y47" s="18">
        <f>Y24</f>
      </c>
      <c r="Z47" s="18">
        <f>Z24</f>
      </c>
      <c r="AA47" s="18">
        <f>AA24</f>
      </c>
      <c r="AB47" s="18">
        <f>AB24</f>
      </c>
      <c r="AC47" s="18">
        <f>AC24</f>
      </c>
      <c r="AD47" s="18">
        <f>AD24</f>
      </c>
      <c r="AE47" s="18">
        <f>AE24</f>
      </c>
      <c r="AF47" s="18">
        <f>AF24</f>
      </c>
      <c r="AG47" s="18">
        <f>AG24</f>
      </c>
      <c r="AH47" s="18">
        <f>AH24</f>
      </c>
      <c r="AI47" s="18">
        <f>AI24</f>
      </c>
      <c r="AJ47" s="18">
        <f>AJ24</f>
      </c>
      <c r="AK47" s="18">
        <f>AK24</f>
      </c>
      <c r="AL47" s="18">
        <f>AL24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18">
        <f>G38</f>
      </c>
      <c r="H48" s="18">
        <f>H38</f>
      </c>
      <c r="I48" s="18">
        <f>I38</f>
      </c>
      <c r="J48" s="18">
        <f>J38</f>
      </c>
      <c r="K48" s="18">
        <f>K38</f>
      </c>
      <c r="L48" s="18">
        <f>L38</f>
      </c>
      <c r="M48" s="18">
        <f>M38</f>
      </c>
      <c r="N48" s="18">
        <f>N38</f>
      </c>
      <c r="O48" s="18">
        <f>O38</f>
      </c>
      <c r="P48" s="18">
        <f>P38</f>
      </c>
      <c r="Q48" s="18">
        <f>Q38</f>
      </c>
      <c r="R48" s="18">
        <f>R38</f>
      </c>
      <c r="S48" s="18">
        <f>S38</f>
      </c>
      <c r="T48" s="18">
        <f>T38</f>
      </c>
      <c r="U48" s="18">
        <f>U38</f>
      </c>
      <c r="V48" s="18">
        <f>V38</f>
      </c>
      <c r="W48" s="18">
        <f>W38</f>
      </c>
      <c r="X48" s="18">
        <f>X38</f>
      </c>
      <c r="Y48" s="18">
        <f>Y38</f>
      </c>
      <c r="Z48" s="18">
        <f>Z38</f>
      </c>
      <c r="AA48" s="18">
        <f>AA38</f>
      </c>
      <c r="AB48" s="18">
        <f>AB38</f>
      </c>
      <c r="AC48" s="18">
        <f>AC38</f>
      </c>
      <c r="AD48" s="18">
        <f>AD38</f>
      </c>
      <c r="AE48" s="18">
        <f>AE38</f>
      </c>
      <c r="AF48" s="18">
        <f>AF38</f>
      </c>
      <c r="AG48" s="18">
        <f>AG38</f>
      </c>
      <c r="AH48" s="18">
        <f>AH38</f>
      </c>
      <c r="AI48" s="18">
        <f>AI38</f>
      </c>
      <c r="AJ48" s="18">
        <f>AJ38</f>
      </c>
      <c r="AK48" s="18">
        <f>AK38</f>
      </c>
      <c r="AL48" s="18">
        <f>AL38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18">
        <f>G42</f>
      </c>
      <c r="H49" s="18">
        <f>H42</f>
      </c>
      <c r="I49" s="18">
        <f>I42</f>
      </c>
      <c r="J49" s="18">
        <f>J42</f>
      </c>
      <c r="K49" s="18">
        <f>K42</f>
      </c>
      <c r="L49" s="18">
        <f>L42</f>
      </c>
      <c r="M49" s="18">
        <f>M42</f>
      </c>
      <c r="N49" s="18">
        <f>N42</f>
      </c>
      <c r="O49" s="18">
        <f>O42</f>
      </c>
      <c r="P49" s="18">
        <f>P42</f>
      </c>
      <c r="Q49" s="18">
        <f>Q42</f>
      </c>
      <c r="R49" s="18">
        <f>R42</f>
      </c>
      <c r="S49" s="18">
        <f>S42</f>
      </c>
      <c r="T49" s="18">
        <f>T42</f>
      </c>
      <c r="U49" s="18">
        <f>U42</f>
      </c>
      <c r="V49" s="18">
        <f>V42</f>
      </c>
      <c r="W49" s="18">
        <f>W42</f>
      </c>
      <c r="X49" s="18">
        <f>X42</f>
      </c>
      <c r="Y49" s="18">
        <f>Y42</f>
      </c>
      <c r="Z49" s="18">
        <f>Z42</f>
      </c>
      <c r="AA49" s="18">
        <f>AA42</f>
      </c>
      <c r="AB49" s="18">
        <f>AB42</f>
      </c>
      <c r="AC49" s="18">
        <f>AC42</f>
      </c>
      <c r="AD49" s="18">
        <f>AD42</f>
      </c>
      <c r="AE49" s="18">
        <f>AE42</f>
      </c>
      <c r="AF49" s="18">
        <f>AF42</f>
      </c>
      <c r="AG49" s="18">
        <f>AG42</f>
      </c>
      <c r="AH49" s="18">
        <f>AH42</f>
      </c>
      <c r="AI49" s="18">
        <f>AI42</f>
      </c>
      <c r="AJ49" s="18">
        <f>AJ42</f>
      </c>
      <c r="AK49" s="18">
        <f>AK42</f>
      </c>
      <c r="AL49" s="18">
        <f>AL42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2">
        <f>G46+G47+G48+G49</f>
      </c>
      <c r="H50" s="22">
        <f>H46+H47+H48+H49</f>
      </c>
      <c r="I50" s="22">
        <f>I46+I47+I48+I49</f>
      </c>
      <c r="J50" s="22">
        <f>J46+J47+J48+J49</f>
      </c>
      <c r="K50" s="22">
        <f>K46+K47+K48+K49</f>
      </c>
      <c r="L50" s="22">
        <f>L46+L47+L48+L49</f>
      </c>
      <c r="M50" s="22">
        <f>M46+M47+M48+M49</f>
      </c>
      <c r="N50" s="22">
        <f>N46+N47+N48+N49</f>
      </c>
      <c r="O50" s="22">
        <f>O46+O47+O48+O49</f>
      </c>
      <c r="P50" s="22">
        <f>P46+P47+P48+P49</f>
      </c>
      <c r="Q50" s="22">
        <f>Q46+Q47+Q48+Q49</f>
      </c>
      <c r="R50" s="22">
        <f>R46+R47+R48+R49</f>
      </c>
      <c r="S50" s="22">
        <f>S46+S47+S48+S49</f>
      </c>
      <c r="T50" s="22">
        <f>T46+T47+T48+T49</f>
      </c>
      <c r="U50" s="22">
        <f>U46+U47+U48+U49</f>
      </c>
      <c r="V50" s="22">
        <f>V46+V47+V48+V49</f>
      </c>
      <c r="W50" s="22">
        <f>W46+W47+W48+W49</f>
      </c>
      <c r="X50" s="22">
        <f>X46+X47+X48+X49</f>
      </c>
      <c r="Y50" s="22">
        <f>Y46+Y47+Y48+Y49</f>
      </c>
      <c r="Z50" s="22">
        <f>Z46+Z47+Z48+Z49</f>
      </c>
      <c r="AA50" s="22">
        <f>AA46+AA47+AA48+AA49</f>
      </c>
      <c r="AB50" s="22">
        <f>AB46+AB47+AB48+AB49</f>
      </c>
      <c r="AC50" s="22">
        <f>AC46+AC47+AC48+AC49</f>
      </c>
      <c r="AD50" s="22">
        <f>AD46+AD47+AD48+AD49</f>
      </c>
      <c r="AE50" s="22">
        <f>AE46+AE47+AE48+AE49</f>
      </c>
      <c r="AF50" s="22">
        <f>AF46+AF47+AF48+AF49</f>
      </c>
      <c r="AG50" s="22">
        <f>AG46+AG47+AG48+AG49</f>
      </c>
      <c r="AH50" s="22">
        <f>AH46+AH47+AH48+AH49</f>
      </c>
      <c r="AI50" s="22">
        <f>AI46+AI47+AI48+AI49</f>
      </c>
      <c r="AJ50" s="22">
        <f>AJ46+AJ47+AJ48+AJ49</f>
      </c>
      <c r="AK50" s="22">
        <f>AK46+AK47+AK48+AK49</f>
      </c>
      <c r="AL50" s="22">
        <f>AL46+AL47+AL48+AL49</f>
      </c>
      <c r="AM50" s="23"/>
    </row>
    <row r="52" ht="12.75" customHeight="1" spans="2:39" x14ac:dyDescent="0.25">
      <c r="B52" s="11" t="s">
        <v>46</v>
      </c>
      <c r="C52" s="12"/>
      <c r="D52" s="12"/>
      <c r="E52" s="12"/>
      <c r="F52" s="12"/>
      <c r="G52" s="52" t="s">
        <v>7</v>
      </c>
      <c r="H52" s="52" t="s">
        <v>8</v>
      </c>
      <c r="I52" s="52" t="s">
        <v>9</v>
      </c>
      <c r="J52" s="52" t="s">
        <v>10</v>
      </c>
      <c r="K52" s="52" t="s">
        <v>11</v>
      </c>
      <c r="L52" s="52" t="s">
        <v>12</v>
      </c>
      <c r="M52" s="52" t="s">
        <v>13</v>
      </c>
      <c r="N52" s="52" t="s">
        <v>14</v>
      </c>
      <c r="O52" s="52" t="s">
        <v>15</v>
      </c>
      <c r="P52" s="52" t="s">
        <v>16</v>
      </c>
      <c r="Q52" s="52" t="s">
        <v>17</v>
      </c>
      <c r="R52" s="52" t="s">
        <v>18</v>
      </c>
      <c r="S52" s="52" t="s">
        <v>19</v>
      </c>
      <c r="T52" s="52" t="s">
        <v>20</v>
      </c>
      <c r="U52" s="52" t="s">
        <v>21</v>
      </c>
      <c r="V52" s="52" t="s">
        <v>22</v>
      </c>
      <c r="W52" s="52" t="s">
        <v>23</v>
      </c>
      <c r="X52" s="52" t="s">
        <v>24</v>
      </c>
      <c r="Y52" s="52" t="s">
        <v>25</v>
      </c>
      <c r="Z52" s="52" t="s">
        <v>26</v>
      </c>
      <c r="AA52" s="52" t="s">
        <v>27</v>
      </c>
      <c r="AB52" s="52" t="s">
        <v>28</v>
      </c>
      <c r="AC52" s="52" t="s">
        <v>29</v>
      </c>
      <c r="AD52" s="52" t="s">
        <v>30</v>
      </c>
      <c r="AE52" s="52" t="s">
        <v>31</v>
      </c>
      <c r="AF52" s="52" t="s">
        <v>32</v>
      </c>
      <c r="AG52" s="52" t="s">
        <v>33</v>
      </c>
      <c r="AH52" s="52" t="s">
        <v>34</v>
      </c>
      <c r="AI52" s="52" t="s">
        <v>35</v>
      </c>
      <c r="AJ52" s="52" t="s">
        <v>36</v>
      </c>
      <c r="AK52" s="52" t="s">
        <v>37</v>
      </c>
      <c r="AL52" s="52" t="s">
        <v>38</v>
      </c>
      <c r="AM52" s="15"/>
    </row>
    <row r="53" ht="12.75" customHeight="1" spans="2:39" x14ac:dyDescent="0.25">
      <c r="B53" s="16"/>
      <c r="C53" s="17"/>
      <c r="D53" s="17" t="s">
        <v>41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42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43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16"/>
      <c r="C56" s="17"/>
      <c r="D56" s="17" t="s">
        <v>44</v>
      </c>
      <c r="E56" s="17"/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9"/>
    </row>
    <row r="57" ht="12.75" customHeight="1" spans="2:39" x14ac:dyDescent="0.25">
      <c r="B57" s="20"/>
      <c r="C57" s="21"/>
      <c r="D57" s="21" t="s">
        <v>45</v>
      </c>
      <c r="E57" s="21"/>
      <c r="F57" s="21"/>
      <c r="G57" s="22">
        <f>G53+G54+G55+G56</f>
      </c>
      <c r="H57" s="22">
        <f>H53+H54+H55+H56</f>
      </c>
      <c r="I57" s="22">
        <f>I53+I54+I55+I56</f>
      </c>
      <c r="J57" s="22">
        <f>J53+J54+J55+J56</f>
      </c>
      <c r="K57" s="22">
        <f>K53+K54+K55+K56</f>
      </c>
      <c r="L57" s="22">
        <f>L53+L54+L55+L56</f>
      </c>
      <c r="M57" s="22">
        <f>M53+M54+M55+M56</f>
      </c>
      <c r="N57" s="22">
        <f>N53+N54+N55+N56</f>
      </c>
      <c r="O57" s="22">
        <f>O53+O54+O55+O56</f>
      </c>
      <c r="P57" s="22">
        <f>P53+P54+P55+P56</f>
      </c>
      <c r="Q57" s="22">
        <f>Q53+Q54+Q55+Q56</f>
      </c>
      <c r="R57" s="22">
        <f>R53+R54+R55+R56</f>
      </c>
      <c r="S57" s="22">
        <f>S53+S54+S55+S56</f>
      </c>
      <c r="T57" s="22">
        <f>T53+T54+T55+T56</f>
      </c>
      <c r="U57" s="22">
        <f>U53+U54+U55+U56</f>
      </c>
      <c r="V57" s="22">
        <f>V53+V54+V55+V56</f>
      </c>
      <c r="W57" s="22">
        <f>W53+W54+W55+W56</f>
      </c>
      <c r="X57" s="22">
        <f>X53+X54+X55+X56</f>
      </c>
      <c r="Y57" s="22">
        <f>Y53+Y54+Y55+Y56</f>
      </c>
      <c r="Z57" s="22">
        <f>Z53+Z54+Z55+Z56</f>
      </c>
      <c r="AA57" s="22">
        <f>AA53+AA54+AA55+AA56</f>
      </c>
      <c r="AB57" s="22">
        <f>AB53+AB54+AB55+AB56</f>
      </c>
      <c r="AC57" s="22">
        <f>AC53+AC54+AC55+AC56</f>
      </c>
      <c r="AD57" s="22">
        <f>AD53+AD54+AD55+AD56</f>
      </c>
      <c r="AE57" s="22">
        <f>AE53+AE54+AE55+AE56</f>
      </c>
      <c r="AF57" s="22">
        <f>AF53+AF54+AF55+AF56</f>
      </c>
      <c r="AG57" s="22">
        <f>AG53+AG54+AG55+AG56</f>
      </c>
      <c r="AH57" s="22">
        <f>AH53+AH54+AH55+AH56</f>
      </c>
      <c r="AI57" s="22">
        <f>AI53+AI54+AI55+AI56</f>
      </c>
      <c r="AJ57" s="22">
        <f>AJ53+AJ54+AJ55+AJ56</f>
      </c>
      <c r="AK57" s="22">
        <f>AK53+AK54+AK55+AK56</f>
      </c>
      <c r="AL57" s="22">
        <f>AL53+AL54+AL55+AL56</f>
      </c>
      <c r="AM57" s="23"/>
    </row>
    <row r="59" ht="12.75" customHeight="1" spans="2:39" x14ac:dyDescent="0.25">
      <c r="B59" s="11" t="s">
        <v>47</v>
      </c>
      <c r="C59" s="12"/>
      <c r="D59" s="12"/>
      <c r="E59" s="12"/>
      <c r="F59" s="12"/>
      <c r="G59" s="52" t="s">
        <v>7</v>
      </c>
      <c r="H59" s="52" t="s">
        <v>8</v>
      </c>
      <c r="I59" s="52" t="s">
        <v>9</v>
      </c>
      <c r="J59" s="52" t="s">
        <v>10</v>
      </c>
      <c r="K59" s="52" t="s">
        <v>11</v>
      </c>
      <c r="L59" s="52" t="s">
        <v>12</v>
      </c>
      <c r="M59" s="52" t="s">
        <v>13</v>
      </c>
      <c r="N59" s="52" t="s">
        <v>14</v>
      </c>
      <c r="O59" s="52" t="s">
        <v>15</v>
      </c>
      <c r="P59" s="52" t="s">
        <v>16</v>
      </c>
      <c r="Q59" s="52" t="s">
        <v>17</v>
      </c>
      <c r="R59" s="52" t="s">
        <v>18</v>
      </c>
      <c r="S59" s="52" t="s">
        <v>19</v>
      </c>
      <c r="T59" s="52" t="s">
        <v>20</v>
      </c>
      <c r="U59" s="52" t="s">
        <v>21</v>
      </c>
      <c r="V59" s="52" t="s">
        <v>22</v>
      </c>
      <c r="W59" s="52" t="s">
        <v>23</v>
      </c>
      <c r="X59" s="52" t="s">
        <v>24</v>
      </c>
      <c r="Y59" s="52" t="s">
        <v>25</v>
      </c>
      <c r="Z59" s="52" t="s">
        <v>26</v>
      </c>
      <c r="AA59" s="52" t="s">
        <v>27</v>
      </c>
      <c r="AB59" s="52" t="s">
        <v>28</v>
      </c>
      <c r="AC59" s="52" t="s">
        <v>29</v>
      </c>
      <c r="AD59" s="52" t="s">
        <v>30</v>
      </c>
      <c r="AE59" s="52" t="s">
        <v>31</v>
      </c>
      <c r="AF59" s="52" t="s">
        <v>32</v>
      </c>
      <c r="AG59" s="52" t="s">
        <v>33</v>
      </c>
      <c r="AH59" s="52" t="s">
        <v>34</v>
      </c>
      <c r="AI59" s="52" t="s">
        <v>35</v>
      </c>
      <c r="AJ59" s="52" t="s">
        <v>36</v>
      </c>
      <c r="AK59" s="52" t="s">
        <v>37</v>
      </c>
      <c r="AL59" s="52" t="s">
        <v>38</v>
      </c>
      <c r="AM59" s="15"/>
    </row>
    <row r="60" ht="12.75" customHeight="1" spans="2:39" x14ac:dyDescent="0.25">
      <c r="B60" s="16"/>
      <c r="C60" s="17"/>
      <c r="D60" s="17" t="s">
        <v>41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42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43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16"/>
      <c r="C63" s="17"/>
      <c r="D63" s="17" t="s">
        <v>44</v>
      </c>
      <c r="E63" s="17"/>
      <c r="F63" s="17"/>
      <c r="G63" s="24">
        <f>G56-G49</f>
      </c>
      <c r="H63" s="24">
        <f>H56-H49</f>
      </c>
      <c r="I63" s="24">
        <f>I56-I49</f>
      </c>
      <c r="J63" s="24">
        <f>J56-J49</f>
      </c>
      <c r="K63" s="24">
        <f>K56-K49</f>
      </c>
      <c r="L63" s="24">
        <f>L56-L49</f>
      </c>
      <c r="M63" s="24">
        <f>M56-M49</f>
      </c>
      <c r="N63" s="24">
        <f>N56-N49</f>
      </c>
      <c r="O63" s="24">
        <f>O56-O49</f>
      </c>
      <c r="P63" s="24">
        <f>P56-P49</f>
      </c>
      <c r="Q63" s="24">
        <f>Q56-Q49</f>
      </c>
      <c r="R63" s="24">
        <f>R56-R49</f>
      </c>
      <c r="S63" s="24">
        <f>S56-S49</f>
      </c>
      <c r="T63" s="24">
        <f>T56-T49</f>
      </c>
      <c r="U63" s="24">
        <f>U56-U49</f>
      </c>
      <c r="V63" s="24">
        <f>V56-V49</f>
      </c>
      <c r="W63" s="24">
        <f>W56-W49</f>
      </c>
      <c r="X63" s="24">
        <f>X56-X49</f>
      </c>
      <c r="Y63" s="24">
        <f>Y56-Y49</f>
      </c>
      <c r="Z63" s="24">
        <f>Z56-Z49</f>
      </c>
      <c r="AA63" s="24">
        <f>AA56-AA49</f>
      </c>
      <c r="AB63" s="24">
        <f>AB56-AB49</f>
      </c>
      <c r="AC63" s="24">
        <f>AC56-AC49</f>
      </c>
      <c r="AD63" s="24">
        <f>AD56-AD49</f>
      </c>
      <c r="AE63" s="24">
        <f>AE56-AE49</f>
      </c>
      <c r="AF63" s="24">
        <f>AF56-AF49</f>
      </c>
      <c r="AG63" s="24">
        <f>AG56-AG49</f>
      </c>
      <c r="AH63" s="24">
        <f>AH56-AH49</f>
      </c>
      <c r="AI63" s="24">
        <f>AI56-AI49</f>
      </c>
      <c r="AJ63" s="24">
        <f>AJ56-AJ49</f>
      </c>
      <c r="AK63" s="24">
        <f>AK56-AK49</f>
      </c>
      <c r="AL63" s="24">
        <f>AL56-AL49</f>
      </c>
      <c r="AM63" s="19"/>
    </row>
    <row r="64" ht="12.75" customHeight="1" spans="2:39" x14ac:dyDescent="0.25">
      <c r="B64" s="20"/>
      <c r="C64" s="21"/>
      <c r="D64" s="21" t="s">
        <v>45</v>
      </c>
      <c r="E64" s="21"/>
      <c r="F64" s="21"/>
      <c r="G64" s="25">
        <f>G60+G61+G62+G63</f>
      </c>
      <c r="H64" s="25">
        <f>H60+H61+H62+H63</f>
      </c>
      <c r="I64" s="25">
        <f>I60+I61+I62+I63</f>
      </c>
      <c r="J64" s="25">
        <f>J60+J61+J62+J63</f>
      </c>
      <c r="K64" s="25">
        <f>K60+K61+K62+K63</f>
      </c>
      <c r="L64" s="25">
        <f>L60+L61+L62+L63</f>
      </c>
      <c r="M64" s="25">
        <f>M60+M61+M62+M63</f>
      </c>
      <c r="N64" s="25">
        <f>N60+N61+N62+N63</f>
      </c>
      <c r="O64" s="25">
        <f>O60+O61+O62+O63</f>
      </c>
      <c r="P64" s="25">
        <f>P60+P61+P62+P63</f>
      </c>
      <c r="Q64" s="25">
        <f>Q60+Q61+Q62+Q63</f>
      </c>
      <c r="R64" s="25">
        <f>R60+R61+R62+R63</f>
      </c>
      <c r="S64" s="25">
        <f>S60+S61+S62+S63</f>
      </c>
      <c r="T64" s="25">
        <f>T60+T61+T62+T63</f>
      </c>
      <c r="U64" s="25">
        <f>U60+U61+U62+U63</f>
      </c>
      <c r="V64" s="25">
        <f>V60+V61+V62+V63</f>
      </c>
      <c r="W64" s="25">
        <f>W60+W61+W62+W63</f>
      </c>
      <c r="X64" s="25">
        <f>X60+X61+X62+X63</f>
      </c>
      <c r="Y64" s="25">
        <f>Y60+Y61+Y62+Y63</f>
      </c>
      <c r="Z64" s="25">
        <f>Z60+Z61+Z62+Z63</f>
      </c>
      <c r="AA64" s="25">
        <f>AA60+AA61+AA62+AA63</f>
      </c>
      <c r="AB64" s="25">
        <f>AB60+AB61+AB62+AB63</f>
      </c>
      <c r="AC64" s="25">
        <f>AC60+AC61+AC62+AC63</f>
      </c>
      <c r="AD64" s="25">
        <f>AD60+AD61+AD62+AD63</f>
      </c>
      <c r="AE64" s="25">
        <f>AE60+AE61+AE62+AE63</f>
      </c>
      <c r="AF64" s="25">
        <f>AF60+AF61+AF62+AF63</f>
      </c>
      <c r="AG64" s="25">
        <f>AG60+AG61+AG62+AG63</f>
      </c>
      <c r="AH64" s="25">
        <f>AH60+AH61+AH62+AH63</f>
      </c>
      <c r="AI64" s="25">
        <f>AI60+AI61+AI62+AI63</f>
      </c>
      <c r="AJ64" s="25">
        <f>AJ60+AJ61+AJ62+AJ63</f>
      </c>
      <c r="AK64" s="25">
        <f>AK60+AK61+AK62+AK63</f>
      </c>
      <c r="AL64" s="25">
        <f>AL60+AL61+AL62+AL63</f>
      </c>
      <c r="AM64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0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825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826</v>
      </c>
      <c r="E13" s="32"/>
      <c r="F13" s="32"/>
      <c r="G13" s="32"/>
      <c r="H13" s="33">
        <v>33.51</v>
      </c>
      <c r="I13" s="33">
        <v>85.33</v>
      </c>
      <c r="J13" s="33">
        <v>74.81</v>
      </c>
      <c r="K13" s="33">
        <v>59.95</v>
      </c>
      <c r="L13" s="33">
        <v>30.8</v>
      </c>
      <c r="M13" s="33">
        <v>30.8</v>
      </c>
      <c r="N13" s="33">
        <v>30.8</v>
      </c>
      <c r="O13" s="33">
        <v>30.8</v>
      </c>
      <c r="P13" s="33">
        <v>30.8</v>
      </c>
      <c r="Q13" s="33">
        <v>30.8</v>
      </c>
      <c r="R13" s="33">
        <v>48.59</v>
      </c>
      <c r="S13" s="33">
        <v>86.44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827</v>
      </c>
      <c r="E14" s="32"/>
      <c r="F14" s="32"/>
      <c r="G14" s="32"/>
      <c r="H14" s="33">
        <v>60.3</v>
      </c>
      <c r="I14" s="33">
        <v>88.04</v>
      </c>
      <c r="J14" s="33">
        <v>68.32</v>
      </c>
      <c r="K14" s="33">
        <v>37.99</v>
      </c>
      <c r="L14" s="33">
        <v>30.8</v>
      </c>
      <c r="M14" s="33">
        <v>30.8</v>
      </c>
      <c r="N14" s="33">
        <v>30.8</v>
      </c>
      <c r="O14" s="33">
        <v>30.8</v>
      </c>
      <c r="P14" s="33">
        <v>30.8</v>
      </c>
      <c r="Q14" s="33">
        <v>30.8</v>
      </c>
      <c r="R14" s="33">
        <v>30.8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828</v>
      </c>
      <c r="E15" s="32"/>
      <c r="F15" s="32"/>
      <c r="G15" s="32"/>
      <c r="H15" s="33">
        <v>606.82</v>
      </c>
      <c r="I15" s="33">
        <v>527.39</v>
      </c>
      <c r="J15" s="33">
        <v>542.82</v>
      </c>
      <c r="K15" s="33">
        <v>533.84</v>
      </c>
      <c r="L15" s="33">
        <v>493.97</v>
      </c>
      <c r="M15" s="33">
        <v>644.51</v>
      </c>
      <c r="N15" s="33">
        <v>595.89</v>
      </c>
      <c r="O15" s="33">
        <v>591.11</v>
      </c>
      <c r="P15" s="33">
        <v>616.48</v>
      </c>
      <c r="Q15" s="36">
        <f>505.36+816.16</f>
        <v>1321.52</v>
      </c>
      <c r="R15" s="32"/>
      <c r="S15" s="33">
        <v>383.32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829</v>
      </c>
      <c r="E16" s="32"/>
      <c r="F16" s="32"/>
      <c r="G16" s="32"/>
      <c r="H16" s="33">
        <v>40.97</v>
      </c>
      <c r="I16" s="33">
        <v>135.09</v>
      </c>
      <c r="J16" s="33">
        <v>103.09</v>
      </c>
      <c r="K16" s="33">
        <v>67.6</v>
      </c>
      <c r="L16" s="33">
        <v>30.8</v>
      </c>
      <c r="M16" s="33">
        <v>30.8</v>
      </c>
      <c r="N16" s="33">
        <v>30.8</v>
      </c>
      <c r="O16" s="33">
        <v>30.8</v>
      </c>
      <c r="P16" s="33">
        <v>30.8</v>
      </c>
      <c r="Q16" s="33">
        <v>30.8</v>
      </c>
      <c r="R16" s="33">
        <v>30.8</v>
      </c>
      <c r="S16" s="33">
        <v>30.8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830</v>
      </c>
      <c r="E17" s="32"/>
      <c r="F17" s="32"/>
      <c r="G17" s="32"/>
      <c r="H17" s="33">
        <v>248.09</v>
      </c>
      <c r="I17" s="33">
        <v>184.8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831</v>
      </c>
      <c r="E18" s="32"/>
      <c r="F18" s="32"/>
      <c r="G18" s="32"/>
      <c r="H18" s="33">
        <v>30.79</v>
      </c>
      <c r="I18" s="33">
        <v>30.79</v>
      </c>
      <c r="J18" s="33">
        <v>30.79</v>
      </c>
      <c r="K18" s="33">
        <v>30.8</v>
      </c>
      <c r="L18" s="33">
        <v>30.8</v>
      </c>
      <c r="M18" s="33">
        <v>30.8</v>
      </c>
      <c r="N18" s="33">
        <v>45.93</v>
      </c>
      <c r="O18" s="33">
        <v>53.84</v>
      </c>
      <c r="P18" s="33">
        <v>49.99</v>
      </c>
      <c r="Q18" s="33">
        <v>39.94</v>
      </c>
      <c r="R18" s="33">
        <v>34.15</v>
      </c>
      <c r="S18" s="33">
        <v>30.8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832</v>
      </c>
      <c r="E19" s="32"/>
      <c r="F19" s="32"/>
      <c r="G19" s="32"/>
      <c r="H19" s="33">
        <v>126.06</v>
      </c>
      <c r="I19" s="33">
        <v>142.39</v>
      </c>
      <c r="J19" s="33">
        <v>97.78</v>
      </c>
      <c r="K19" s="33">
        <v>69.21</v>
      </c>
      <c r="L19" s="33">
        <v>51.24</v>
      </c>
      <c r="M19" s="33">
        <v>30.8</v>
      </c>
      <c r="N19" s="33">
        <v>30.8</v>
      </c>
      <c r="O19" s="33">
        <v>30.8</v>
      </c>
      <c r="P19" s="33">
        <v>30.8</v>
      </c>
      <c r="Q19" s="33">
        <v>30.8</v>
      </c>
      <c r="R19" s="33">
        <v>30.8</v>
      </c>
      <c r="S19" s="33">
        <v>62.35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833</v>
      </c>
      <c r="E20" s="32"/>
      <c r="F20" s="32"/>
      <c r="G20" s="32"/>
      <c r="H20" s="33">
        <v>109.75</v>
      </c>
      <c r="I20" s="33">
        <v>163.63</v>
      </c>
      <c r="J20" s="33">
        <v>134.33</v>
      </c>
      <c r="K20" s="33">
        <v>147.93</v>
      </c>
      <c r="L20" s="33">
        <v>30.8</v>
      </c>
      <c r="M20" s="33">
        <v>30.8</v>
      </c>
      <c r="N20" s="33">
        <v>30.8</v>
      </c>
      <c r="O20" s="33">
        <v>30.8</v>
      </c>
      <c r="P20" s="33">
        <v>30.8</v>
      </c>
      <c r="Q20" s="33">
        <v>30.8</v>
      </c>
      <c r="R20" s="33">
        <v>30.8</v>
      </c>
      <c r="S20" s="33">
        <v>30.8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834</v>
      </c>
      <c r="E21" s="32"/>
      <c r="F21" s="32"/>
      <c r="G21" s="32"/>
      <c r="H21" s="33">
        <v>262.53</v>
      </c>
      <c r="I21" s="33">
        <v>270.77</v>
      </c>
      <c r="J21" s="33">
        <v>243.94</v>
      </c>
      <c r="K21" s="33">
        <v>345.01</v>
      </c>
      <c r="L21" s="33">
        <v>309.26</v>
      </c>
      <c r="M21" s="33">
        <v>401.36</v>
      </c>
      <c r="N21" s="33">
        <v>252.77</v>
      </c>
      <c r="O21" s="33">
        <v>184.06</v>
      </c>
      <c r="P21" s="33">
        <v>207.72</v>
      </c>
      <c r="Q21" s="36">
        <f>170.66+284.53</f>
        <v>455.18999999999994</v>
      </c>
      <c r="R21" s="32"/>
      <c r="S21" s="33">
        <v>68.26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835</v>
      </c>
      <c r="E22" s="32"/>
      <c r="F22" s="32"/>
      <c r="G22" s="32"/>
      <c r="H22" s="33">
        <v>109.12</v>
      </c>
      <c r="I22" s="33">
        <v>112.44</v>
      </c>
      <c r="J22" s="33">
        <v>30.79</v>
      </c>
      <c r="K22" s="33">
        <v>30.8</v>
      </c>
      <c r="L22" s="33">
        <v>30.8</v>
      </c>
      <c r="M22" s="33">
        <v>30.8</v>
      </c>
      <c r="N22" s="33">
        <v>30.8</v>
      </c>
      <c r="O22" s="33">
        <v>30.8</v>
      </c>
      <c r="P22" s="33">
        <v>30.8</v>
      </c>
      <c r="Q22" s="33">
        <v>30.8</v>
      </c>
      <c r="R22" s="33">
        <v>30.8</v>
      </c>
      <c r="S22" s="33">
        <v>30.8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836</v>
      </c>
      <c r="E23" s="32"/>
      <c r="F23" s="32"/>
      <c r="G23" s="32"/>
      <c r="H23" s="33">
        <v>435.92</v>
      </c>
      <c r="I23" s="33">
        <v>378.21</v>
      </c>
      <c r="J23" s="33">
        <v>393.53</v>
      </c>
      <c r="K23" s="33">
        <v>349.79</v>
      </c>
      <c r="L23" s="33">
        <v>305.16</v>
      </c>
      <c r="M23" s="33">
        <v>315.07</v>
      </c>
      <c r="N23" s="33">
        <v>277.8</v>
      </c>
      <c r="O23" s="33">
        <v>304.76</v>
      </c>
      <c r="P23" s="33">
        <v>297.32</v>
      </c>
      <c r="Q23" s="36">
        <f>168.30+196.33</f>
        <v>364.63</v>
      </c>
      <c r="R23" s="32"/>
      <c r="S23" s="33">
        <v>70.78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837</v>
      </c>
      <c r="E24" s="32"/>
      <c r="F24" s="32"/>
      <c r="G24" s="32"/>
      <c r="H24" s="33">
        <v>57.13</v>
      </c>
      <c r="I24" s="33">
        <v>127.5</v>
      </c>
      <c r="J24" s="33">
        <v>68.63</v>
      </c>
      <c r="K24" s="33">
        <v>91.63</v>
      </c>
      <c r="L24" s="33">
        <v>91.18</v>
      </c>
      <c r="M24" s="33">
        <v>30.8</v>
      </c>
      <c r="N24" s="33">
        <v>30.8</v>
      </c>
      <c r="O24" s="33">
        <v>30.8</v>
      </c>
      <c r="P24" s="33">
        <v>30.8</v>
      </c>
      <c r="Q24" s="33">
        <v>30.8</v>
      </c>
      <c r="R24" s="33">
        <v>30.8</v>
      </c>
      <c r="S24" s="33">
        <v>30.8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838</v>
      </c>
      <c r="E25" s="32"/>
      <c r="F25" s="32"/>
      <c r="G25" s="32"/>
      <c r="H25" s="33">
        <v>30.79</v>
      </c>
      <c r="I25" s="33">
        <v>30.79</v>
      </c>
      <c r="J25" s="33">
        <v>30.79</v>
      </c>
      <c r="K25" s="33">
        <v>30.8</v>
      </c>
      <c r="L25" s="33">
        <v>30.8</v>
      </c>
      <c r="M25" s="33">
        <v>30.8</v>
      </c>
      <c r="N25" s="33">
        <v>30.8</v>
      </c>
      <c r="O25" s="33">
        <v>30.8</v>
      </c>
      <c r="P25" s="33">
        <v>88.8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839</v>
      </c>
      <c r="E26" s="32"/>
      <c r="F26" s="32"/>
      <c r="G26" s="32"/>
      <c r="H26" s="33">
        <v>59.61</v>
      </c>
      <c r="I26" s="33">
        <v>56.33</v>
      </c>
      <c r="J26" s="33">
        <v>58.77</v>
      </c>
      <c r="K26" s="33">
        <v>67.84</v>
      </c>
      <c r="L26" s="33">
        <v>73.78</v>
      </c>
      <c r="M26" s="33">
        <v>88.55</v>
      </c>
      <c r="N26" s="33">
        <v>71.61</v>
      </c>
      <c r="O26" s="33">
        <v>94.25</v>
      </c>
      <c r="P26" s="33">
        <v>82.04</v>
      </c>
      <c r="Q26" s="33">
        <v>73.01</v>
      </c>
      <c r="R26" s="33">
        <v>52.28</v>
      </c>
      <c r="S26" s="33">
        <v>54.46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840</v>
      </c>
      <c r="E27" s="32"/>
      <c r="F27" s="32"/>
      <c r="G27" s="32"/>
      <c r="H27" s="33">
        <v>30.79</v>
      </c>
      <c r="I27" s="33">
        <v>30.79</v>
      </c>
      <c r="J27" s="33">
        <v>106.36</v>
      </c>
      <c r="K27" s="33">
        <v>30.8</v>
      </c>
      <c r="L27" s="33">
        <v>30.8</v>
      </c>
      <c r="M27" s="33">
        <v>30.8</v>
      </c>
      <c r="N27" s="33">
        <v>30.8</v>
      </c>
      <c r="O27" s="33">
        <v>30.8</v>
      </c>
      <c r="P27" s="33">
        <v>30.8</v>
      </c>
      <c r="Q27" s="33">
        <v>30.8</v>
      </c>
      <c r="R27" s="33">
        <v>30.8</v>
      </c>
      <c r="S27" s="33">
        <v>30.8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841</v>
      </c>
      <c r="E28" s="32"/>
      <c r="F28" s="32"/>
      <c r="G28" s="32"/>
      <c r="H28" s="33">
        <v>441.5</v>
      </c>
      <c r="I28" s="33">
        <v>412.83</v>
      </c>
      <c r="J28" s="33">
        <v>381.62</v>
      </c>
      <c r="K28" s="33">
        <v>396.95</v>
      </c>
      <c r="L28" s="33">
        <v>396.03</v>
      </c>
      <c r="M28" s="33">
        <v>387.48</v>
      </c>
      <c r="N28" s="33">
        <v>376.01</v>
      </c>
      <c r="O28" s="33">
        <v>356.5</v>
      </c>
      <c r="P28" s="33">
        <v>366.28</v>
      </c>
      <c r="Q28" s="33">
        <v>242.49</v>
      </c>
      <c r="R28" s="33">
        <v>228</v>
      </c>
      <c r="S28" s="33">
        <v>249.15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842</v>
      </c>
      <c r="E29" s="32"/>
      <c r="F29" s="32"/>
      <c r="G29" s="32"/>
      <c r="H29" s="33">
        <v>30.79</v>
      </c>
      <c r="I29" s="33">
        <v>30.79</v>
      </c>
      <c r="J29" s="33">
        <v>30.79</v>
      </c>
      <c r="K29" s="33">
        <v>30.8</v>
      </c>
      <c r="L29" s="33">
        <v>30.8</v>
      </c>
      <c r="M29" s="33">
        <v>30.8</v>
      </c>
      <c r="N29" s="33">
        <v>35.17</v>
      </c>
      <c r="O29" s="33">
        <v>44.36</v>
      </c>
      <c r="P29" s="33">
        <v>49.41</v>
      </c>
      <c r="Q29" s="33">
        <v>38.24</v>
      </c>
      <c r="R29" s="33">
        <v>30.8</v>
      </c>
      <c r="S29" s="33">
        <v>30.8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843</v>
      </c>
      <c r="E30" s="36">
        <f>0.00+0.00+0.00+0.00+0.00+0.00+0.00+0.00+0.00+0.00+0.00+0.00</f>
        <v>0</v>
      </c>
      <c r="F30" s="32"/>
      <c r="G30" s="32"/>
      <c r="H30" s="33">
        <v>530.78</v>
      </c>
      <c r="I30" s="33">
        <v>530.78</v>
      </c>
      <c r="J30" s="33">
        <v>530.72</v>
      </c>
      <c r="K30" s="33">
        <v>530.79</v>
      </c>
      <c r="L30" s="33">
        <v>530.79</v>
      </c>
      <c r="M30" s="33">
        <v>523.79</v>
      </c>
      <c r="N30" s="33">
        <v>523.79</v>
      </c>
      <c r="O30" s="33">
        <v>523.79</v>
      </c>
      <c r="P30" s="33">
        <v>523.85</v>
      </c>
      <c r="Q30" s="33">
        <v>523.85</v>
      </c>
      <c r="R30" s="33">
        <v>523.85</v>
      </c>
      <c r="S30" s="33">
        <v>523.85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844</v>
      </c>
      <c r="E31" s="32"/>
      <c r="F31" s="32"/>
      <c r="G31" s="32"/>
      <c r="H31" s="33">
        <v>35.42</v>
      </c>
      <c r="I31" s="33">
        <v>61.25</v>
      </c>
      <c r="J31" s="33">
        <v>55.66</v>
      </c>
      <c r="K31" s="33">
        <v>74.52</v>
      </c>
      <c r="L31" s="33">
        <v>30.8</v>
      </c>
      <c r="M31" s="33">
        <v>30.8</v>
      </c>
      <c r="N31" s="33">
        <v>30.8</v>
      </c>
      <c r="O31" s="33">
        <v>30.8</v>
      </c>
      <c r="P31" s="33">
        <v>30.8</v>
      </c>
      <c r="Q31" s="33">
        <v>30.8</v>
      </c>
      <c r="R31" s="33">
        <v>30.8</v>
      </c>
      <c r="S31" s="33">
        <v>30.8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845</v>
      </c>
      <c r="E32" s="32"/>
      <c r="F32" s="32"/>
      <c r="G32" s="32"/>
      <c r="H32" s="33">
        <v>30.79</v>
      </c>
      <c r="I32" s="33">
        <v>30.79</v>
      </c>
      <c r="J32" s="33">
        <v>81.73</v>
      </c>
      <c r="K32" s="33">
        <v>30.8</v>
      </c>
      <c r="L32" s="33">
        <v>30.8</v>
      </c>
      <c r="M32" s="33">
        <v>30.8</v>
      </c>
      <c r="N32" s="33">
        <v>30.8</v>
      </c>
      <c r="O32" s="33">
        <v>30.8</v>
      </c>
      <c r="P32" s="33">
        <v>30.8</v>
      </c>
      <c r="Q32" s="33">
        <v>30.8</v>
      </c>
      <c r="R32" s="33">
        <v>30.8</v>
      </c>
      <c r="S32" s="33">
        <v>30.8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846</v>
      </c>
      <c r="E33" s="32"/>
      <c r="F33" s="32"/>
      <c r="G33" s="32"/>
      <c r="H33" s="33">
        <v>30.79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847</v>
      </c>
      <c r="E34" s="32"/>
      <c r="F34" s="32"/>
      <c r="G34" s="32"/>
      <c r="H34" s="32"/>
      <c r="I34" s="33">
        <v>270.5</v>
      </c>
      <c r="J34" s="33">
        <v>177.5</v>
      </c>
      <c r="K34" s="33">
        <v>69.97</v>
      </c>
      <c r="L34" s="33">
        <v>30.8</v>
      </c>
      <c r="M34" s="33">
        <v>30.8</v>
      </c>
      <c r="N34" s="33">
        <v>30.8</v>
      </c>
      <c r="O34" s="33">
        <v>30.8</v>
      </c>
      <c r="P34" s="33">
        <v>30.8</v>
      </c>
      <c r="Q34" s="33">
        <v>30.8</v>
      </c>
      <c r="R34" s="33">
        <v>30.8</v>
      </c>
      <c r="S34" s="33">
        <v>30.8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848</v>
      </c>
      <c r="E35" s="32"/>
      <c r="F35" s="32"/>
      <c r="G35" s="32"/>
      <c r="H35" s="33">
        <v>30.79</v>
      </c>
      <c r="I35" s="33">
        <v>101.51</v>
      </c>
      <c r="J35" s="33">
        <v>47.56</v>
      </c>
      <c r="K35" s="33">
        <v>30.8</v>
      </c>
      <c r="L35" s="33">
        <v>30.8</v>
      </c>
      <c r="M35" s="33">
        <v>30.8</v>
      </c>
      <c r="N35" s="33">
        <v>30.8</v>
      </c>
      <c r="O35" s="33">
        <v>30.8</v>
      </c>
      <c r="P35" s="33">
        <v>30.8</v>
      </c>
      <c r="Q35" s="33">
        <v>30.8</v>
      </c>
      <c r="R35" s="33">
        <v>30.8</v>
      </c>
      <c r="S35" s="33">
        <v>30.8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849</v>
      </c>
      <c r="E36" s="32"/>
      <c r="F36" s="32"/>
      <c r="G36" s="32"/>
      <c r="H36" s="33">
        <v>61.88</v>
      </c>
      <c r="I36" s="33">
        <v>105.94</v>
      </c>
      <c r="J36" s="33">
        <v>100.15</v>
      </c>
      <c r="K36" s="33">
        <v>72.92</v>
      </c>
      <c r="L36" s="33">
        <v>30.8</v>
      </c>
      <c r="M36" s="33">
        <v>30.8</v>
      </c>
      <c r="N36" s="33">
        <v>30.8</v>
      </c>
      <c r="O36" s="33">
        <v>30.8</v>
      </c>
      <c r="P36" s="33">
        <v>30.8</v>
      </c>
      <c r="Q36" s="33">
        <v>30.8</v>
      </c>
      <c r="R36" s="33">
        <v>30.8</v>
      </c>
      <c r="S36" s="33">
        <v>30.8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850</v>
      </c>
      <c r="E37" s="32"/>
      <c r="F37" s="32"/>
      <c r="G37" s="32"/>
      <c r="H37" s="33">
        <v>313.08</v>
      </c>
      <c r="I37" s="33">
        <v>341.92</v>
      </c>
      <c r="J37" s="33">
        <v>285.05</v>
      </c>
      <c r="K37" s="33">
        <v>251.91</v>
      </c>
      <c r="L37" s="33">
        <v>312.4</v>
      </c>
      <c r="M37" s="33">
        <v>308.75</v>
      </c>
      <c r="N37" s="33">
        <v>105.74</v>
      </c>
      <c r="O37" s="33">
        <v>118.32</v>
      </c>
      <c r="P37" s="33">
        <v>127.16</v>
      </c>
      <c r="Q37" s="33">
        <v>108.08</v>
      </c>
      <c r="R37" s="33">
        <v>65.97</v>
      </c>
      <c r="S37" s="33">
        <v>44.66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851</v>
      </c>
      <c r="E38" s="32"/>
      <c r="F38" s="32"/>
      <c r="G38" s="32"/>
      <c r="H38" s="33">
        <v>30.79</v>
      </c>
      <c r="I38" s="33">
        <v>30.79</v>
      </c>
      <c r="J38" s="33">
        <v>30.79</v>
      </c>
      <c r="K38" s="33">
        <v>30.8</v>
      </c>
      <c r="L38" s="33">
        <v>30.8</v>
      </c>
      <c r="M38" s="33">
        <v>30.8</v>
      </c>
      <c r="N38" s="33">
        <v>30.8</v>
      </c>
      <c r="O38" s="33">
        <v>30.8</v>
      </c>
      <c r="P38" s="33">
        <v>30.8</v>
      </c>
      <c r="Q38" s="33">
        <v>30.8</v>
      </c>
      <c r="R38" s="33">
        <v>30.8</v>
      </c>
      <c r="S38" s="33">
        <v>30.8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852</v>
      </c>
      <c r="E39" s="32"/>
      <c r="F39" s="32"/>
      <c r="G39" s="32"/>
      <c r="H39" s="33">
        <v>30.79</v>
      </c>
      <c r="I39" s="33">
        <v>119.89</v>
      </c>
      <c r="J39" s="33">
        <v>94.28</v>
      </c>
      <c r="K39" s="33">
        <v>30.8</v>
      </c>
      <c r="L39" s="33">
        <v>30.8</v>
      </c>
      <c r="M39" s="33">
        <v>30.8</v>
      </c>
      <c r="N39" s="33">
        <v>30.8</v>
      </c>
      <c r="O39" s="33">
        <v>30.8</v>
      </c>
      <c r="P39" s="33">
        <v>30.8</v>
      </c>
      <c r="Q39" s="33">
        <v>30.8</v>
      </c>
      <c r="R39" s="33">
        <v>30.8</v>
      </c>
      <c r="S39" s="33">
        <v>83.39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853</v>
      </c>
      <c r="E40" s="32"/>
      <c r="F40" s="32"/>
      <c r="G40" s="32"/>
      <c r="H40" s="33">
        <v>30.79</v>
      </c>
      <c r="I40" s="33">
        <v>135.72</v>
      </c>
      <c r="J40" s="33">
        <v>129.9</v>
      </c>
      <c r="K40" s="33">
        <v>122.11</v>
      </c>
      <c r="L40" s="33">
        <v>49.63</v>
      </c>
      <c r="M40" s="33">
        <v>30.8</v>
      </c>
      <c r="N40" s="33">
        <v>30.8</v>
      </c>
      <c r="O40" s="33">
        <v>30.8</v>
      </c>
      <c r="P40" s="33">
        <v>30.8</v>
      </c>
      <c r="Q40" s="33">
        <v>30.8</v>
      </c>
      <c r="R40" s="33">
        <v>30.8</v>
      </c>
      <c r="S40" s="33">
        <v>30.8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854</v>
      </c>
      <c r="E41" s="32"/>
      <c r="F41" s="32"/>
      <c r="G41" s="32"/>
      <c r="H41" s="33">
        <v>30.79</v>
      </c>
      <c r="I41" s="33">
        <v>30.79</v>
      </c>
      <c r="J41" s="33">
        <v>58.62</v>
      </c>
      <c r="K41" s="33">
        <v>30.8</v>
      </c>
      <c r="L41" s="33">
        <v>30.8</v>
      </c>
      <c r="M41" s="33">
        <v>30.8</v>
      </c>
      <c r="N41" s="33">
        <v>30.8</v>
      </c>
      <c r="O41" s="33">
        <v>30.8</v>
      </c>
      <c r="P41" s="33">
        <v>30.8</v>
      </c>
      <c r="Q41" s="33">
        <v>30.8</v>
      </c>
      <c r="R41" s="33">
        <v>72.17</v>
      </c>
      <c r="S41" s="33">
        <v>30.8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855</v>
      </c>
      <c r="E42" s="32"/>
      <c r="F42" s="32"/>
      <c r="G42" s="32"/>
      <c r="H42" s="33">
        <v>100.19</v>
      </c>
      <c r="I42" s="33">
        <v>181.43</v>
      </c>
      <c r="J42" s="33">
        <v>158.97</v>
      </c>
      <c r="K42" s="33">
        <v>139.02</v>
      </c>
      <c r="L42" s="33">
        <v>95.54</v>
      </c>
      <c r="M42" s="33">
        <v>90.45</v>
      </c>
      <c r="N42" s="33">
        <v>81.58</v>
      </c>
      <c r="O42" s="33">
        <v>90.77</v>
      </c>
      <c r="P42" s="33">
        <v>86.44</v>
      </c>
      <c r="Q42" s="33">
        <v>83.3</v>
      </c>
      <c r="R42" s="33">
        <v>67.62</v>
      </c>
      <c r="S42" s="33">
        <v>63.98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856</v>
      </c>
      <c r="E43" s="32"/>
      <c r="F43" s="32"/>
      <c r="G43" s="32"/>
      <c r="H43" s="33">
        <v>30.79</v>
      </c>
      <c r="I43" s="33">
        <v>30.79</v>
      </c>
      <c r="J43" s="33">
        <v>83.06</v>
      </c>
      <c r="K43" s="33">
        <v>30.8</v>
      </c>
      <c r="L43" s="33">
        <v>30.8</v>
      </c>
      <c r="M43" s="33">
        <v>30.8</v>
      </c>
      <c r="N43" s="33">
        <v>30.8</v>
      </c>
      <c r="O43" s="33">
        <v>30.8</v>
      </c>
      <c r="P43" s="33">
        <v>30.8</v>
      </c>
      <c r="Q43" s="33">
        <v>30.8</v>
      </c>
      <c r="R43" s="33">
        <v>30.8</v>
      </c>
      <c r="S43" s="33">
        <v>30.8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857</v>
      </c>
      <c r="E44" s="32"/>
      <c r="F44" s="32"/>
      <c r="G44" s="32"/>
      <c r="H44" s="33">
        <v>30.79</v>
      </c>
      <c r="I44" s="33">
        <v>84.71</v>
      </c>
      <c r="J44" s="33">
        <v>78.35</v>
      </c>
      <c r="K44" s="33">
        <v>30.8</v>
      </c>
      <c r="L44" s="33">
        <v>30.8</v>
      </c>
      <c r="M44" s="33">
        <v>30.8</v>
      </c>
      <c r="N44" s="33">
        <v>30.8</v>
      </c>
      <c r="O44" s="33">
        <v>30.8</v>
      </c>
      <c r="P44" s="33">
        <v>30.8</v>
      </c>
      <c r="Q44" s="33">
        <v>30.8</v>
      </c>
      <c r="R44" s="33">
        <v>30.8</v>
      </c>
      <c r="S44" s="33">
        <v>30.8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858</v>
      </c>
      <c r="E45" s="32"/>
      <c r="F45" s="32"/>
      <c r="G45" s="32"/>
      <c r="H45" s="33">
        <v>30.79</v>
      </c>
      <c r="I45" s="33">
        <v>30.79</v>
      </c>
      <c r="J45" s="33">
        <v>30.79</v>
      </c>
      <c r="K45" s="33">
        <v>30.8</v>
      </c>
      <c r="L45" s="33">
        <v>30.8</v>
      </c>
      <c r="M45" s="33">
        <v>30.8</v>
      </c>
      <c r="N45" s="33">
        <v>30.8</v>
      </c>
      <c r="O45" s="33">
        <v>30.8</v>
      </c>
      <c r="P45" s="33">
        <v>30.8</v>
      </c>
      <c r="Q45" s="33">
        <v>30.8</v>
      </c>
      <c r="R45" s="33">
        <v>76.99</v>
      </c>
      <c r="S45" s="33">
        <v>63.3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859</v>
      </c>
      <c r="E46" s="32"/>
      <c r="F46" s="32"/>
      <c r="G46" s="32"/>
      <c r="H46" s="33">
        <v>30.79</v>
      </c>
      <c r="I46" s="33">
        <v>59.97</v>
      </c>
      <c r="J46" s="33">
        <v>62.13</v>
      </c>
      <c r="K46" s="33">
        <v>48.14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860</v>
      </c>
      <c r="E47" s="32"/>
      <c r="F47" s="32"/>
      <c r="G47" s="32"/>
      <c r="H47" s="33">
        <v>148.27</v>
      </c>
      <c r="I47" s="33">
        <v>162.5</v>
      </c>
      <c r="J47" s="33">
        <v>122.55</v>
      </c>
      <c r="K47" s="33">
        <v>66.3</v>
      </c>
      <c r="L47" s="33">
        <v>30.8</v>
      </c>
      <c r="M47" s="33">
        <v>30.8</v>
      </c>
      <c r="N47" s="33">
        <v>30.8</v>
      </c>
      <c r="O47" s="33">
        <v>30.8</v>
      </c>
      <c r="P47" s="33">
        <v>30.8</v>
      </c>
      <c r="Q47" s="33">
        <v>30.8</v>
      </c>
      <c r="R47" s="33">
        <v>30.8</v>
      </c>
      <c r="S47" s="33">
        <v>30.8</v>
      </c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861</v>
      </c>
      <c r="E48" s="32"/>
      <c r="F48" s="32"/>
      <c r="G48" s="32"/>
      <c r="H48" s="33">
        <v>30.79</v>
      </c>
      <c r="I48" s="33">
        <v>30.79</v>
      </c>
      <c r="J48" s="33">
        <v>59.62</v>
      </c>
      <c r="K48" s="33">
        <v>30.8</v>
      </c>
      <c r="L48" s="33">
        <v>30.8</v>
      </c>
      <c r="M48" s="33">
        <v>30.8</v>
      </c>
      <c r="N48" s="33">
        <v>30.8</v>
      </c>
      <c r="O48" s="33">
        <v>30.8</v>
      </c>
      <c r="P48" s="33">
        <v>30.8</v>
      </c>
      <c r="Q48" s="33">
        <v>30.8</v>
      </c>
      <c r="R48" s="33">
        <v>69.35</v>
      </c>
      <c r="S48" s="33">
        <v>47.09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862</v>
      </c>
      <c r="E49" s="32"/>
      <c r="F49" s="32"/>
      <c r="G49" s="32"/>
      <c r="H49" s="33">
        <v>30.79</v>
      </c>
      <c r="I49" s="33">
        <v>162.83</v>
      </c>
      <c r="J49" s="33">
        <v>134.78</v>
      </c>
      <c r="K49" s="33">
        <v>99.56</v>
      </c>
      <c r="L49" s="33">
        <v>30.8</v>
      </c>
      <c r="M49" s="33">
        <v>30.8</v>
      </c>
      <c r="N49" s="33">
        <v>30.8</v>
      </c>
      <c r="O49" s="33">
        <v>30.8</v>
      </c>
      <c r="P49" s="33">
        <v>30.8</v>
      </c>
      <c r="Q49" s="33">
        <v>30.8</v>
      </c>
      <c r="R49" s="33">
        <v>30.8</v>
      </c>
      <c r="S49" s="33">
        <v>30.8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863</v>
      </c>
      <c r="E50" s="32"/>
      <c r="F50" s="32"/>
      <c r="G50" s="32"/>
      <c r="H50" s="33">
        <v>104.21</v>
      </c>
      <c r="I50" s="33">
        <v>118.29</v>
      </c>
      <c r="J50" s="33">
        <v>106.79</v>
      </c>
      <c r="K50" s="33">
        <v>109.74</v>
      </c>
      <c r="L50" s="33">
        <v>121.1</v>
      </c>
      <c r="M50" s="33">
        <v>30.8</v>
      </c>
      <c r="N50" s="33">
        <v>30.8</v>
      </c>
      <c r="O50" s="33">
        <v>30.8</v>
      </c>
      <c r="P50" s="33">
        <v>30.8</v>
      </c>
      <c r="Q50" s="33">
        <v>125.05</v>
      </c>
      <c r="R50" s="33">
        <v>30.8</v>
      </c>
      <c r="S50" s="33">
        <v>95.91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864</v>
      </c>
      <c r="E51" s="32"/>
      <c r="F51" s="32"/>
      <c r="G51" s="32"/>
      <c r="H51" s="33">
        <v>43.18</v>
      </c>
      <c r="I51" s="33">
        <v>115.13</v>
      </c>
      <c r="J51" s="33">
        <v>105.61</v>
      </c>
      <c r="K51" s="33">
        <v>113.42</v>
      </c>
      <c r="L51" s="33">
        <v>30.8</v>
      </c>
      <c r="M51" s="33">
        <v>30.8</v>
      </c>
      <c r="N51" s="33">
        <v>30.8</v>
      </c>
      <c r="O51" s="33">
        <v>30.8</v>
      </c>
      <c r="P51" s="33">
        <v>30.8</v>
      </c>
      <c r="Q51" s="33">
        <v>30.8</v>
      </c>
      <c r="R51" s="33">
        <v>30.8</v>
      </c>
      <c r="S51" s="33">
        <v>30.8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865</v>
      </c>
      <c r="E52" s="32"/>
      <c r="F52" s="32"/>
      <c r="G52" s="32"/>
      <c r="H52" s="33">
        <v>30.79</v>
      </c>
      <c r="I52" s="33">
        <v>52.7</v>
      </c>
      <c r="J52" s="32"/>
      <c r="K52" s="32"/>
      <c r="L52" s="33">
        <v>42.8</v>
      </c>
      <c r="M52" s="33">
        <v>30.8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866</v>
      </c>
      <c r="E53" s="32"/>
      <c r="F53" s="32"/>
      <c r="G53" s="32"/>
      <c r="H53" s="32"/>
      <c r="I53" s="33">
        <v>93.03</v>
      </c>
      <c r="J53" s="33">
        <v>87.58</v>
      </c>
      <c r="K53" s="33">
        <v>106.17</v>
      </c>
      <c r="L53" s="33">
        <v>118.79</v>
      </c>
      <c r="M53" s="33">
        <v>113.52</v>
      </c>
      <c r="N53" s="33">
        <v>124.44</v>
      </c>
      <c r="O53" s="33">
        <v>117.59</v>
      </c>
      <c r="P53" s="33">
        <v>118.54</v>
      </c>
      <c r="Q53" s="33">
        <v>118.62</v>
      </c>
      <c r="R53" s="33">
        <v>102.47</v>
      </c>
      <c r="S53" s="33">
        <v>48.02</v>
      </c>
      <c r="T53" s="33">
        <v>97.01</v>
      </c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867</v>
      </c>
      <c r="E54" s="32"/>
      <c r="F54" s="32"/>
      <c r="G54" s="32"/>
      <c r="H54" s="33">
        <v>124</v>
      </c>
      <c r="I54" s="33">
        <v>138.1</v>
      </c>
      <c r="J54" s="33">
        <v>105.17</v>
      </c>
      <c r="K54" s="33">
        <v>92.22</v>
      </c>
      <c r="L54" s="33">
        <v>80.13</v>
      </c>
      <c r="M54" s="33">
        <v>112.24</v>
      </c>
      <c r="N54" s="33">
        <v>101.79</v>
      </c>
      <c r="O54" s="33">
        <v>100.36</v>
      </c>
      <c r="P54" s="33">
        <v>122.89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868</v>
      </c>
      <c r="E55" s="32"/>
      <c r="F55" s="32"/>
      <c r="G55" s="32"/>
      <c r="H55" s="33">
        <v>76.63</v>
      </c>
      <c r="I55" s="33">
        <v>81.86</v>
      </c>
      <c r="J55" s="33">
        <v>66.13</v>
      </c>
      <c r="K55" s="33">
        <v>30.8</v>
      </c>
      <c r="L55" s="33">
        <v>30.8</v>
      </c>
      <c r="M55" s="33">
        <v>30.8</v>
      </c>
      <c r="N55" s="33">
        <v>30.8</v>
      </c>
      <c r="O55" s="33">
        <v>30.8</v>
      </c>
      <c r="P55" s="33">
        <v>30.8</v>
      </c>
      <c r="Q55" s="33">
        <v>30.8</v>
      </c>
      <c r="R55" s="33">
        <v>30.8</v>
      </c>
      <c r="S55" s="33">
        <v>30.8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869</v>
      </c>
      <c r="E56" s="32"/>
      <c r="F56" s="32"/>
      <c r="G56" s="32"/>
      <c r="H56" s="32"/>
      <c r="I56" s="32"/>
      <c r="J56" s="32"/>
      <c r="K56" s="33">
        <v>19.19</v>
      </c>
      <c r="L56" s="33">
        <v>30.8</v>
      </c>
      <c r="M56" s="33">
        <v>30.8</v>
      </c>
      <c r="N56" s="33">
        <v>30.8</v>
      </c>
      <c r="O56" s="33">
        <v>30.8</v>
      </c>
      <c r="P56" s="33">
        <v>30.8</v>
      </c>
      <c r="Q56" s="33">
        <v>30.8</v>
      </c>
      <c r="R56" s="33">
        <v>30.8</v>
      </c>
      <c r="S56" s="33">
        <v>30.8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870</v>
      </c>
      <c r="E57" s="32"/>
      <c r="F57" s="32"/>
      <c r="G57" s="32"/>
      <c r="H57" s="32"/>
      <c r="I57" s="32"/>
      <c r="J57" s="32"/>
      <c r="K57" s="32"/>
      <c r="L57" s="32"/>
      <c r="M57" s="32"/>
      <c r="N57" s="33">
        <v>110.1</v>
      </c>
      <c r="O57" s="33">
        <v>55.38</v>
      </c>
      <c r="P57" s="33">
        <v>41.09</v>
      </c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871</v>
      </c>
      <c r="E58" s="32"/>
      <c r="F58" s="32"/>
      <c r="G58" s="32"/>
      <c r="H58" s="32"/>
      <c r="I58" s="32"/>
      <c r="J58" s="32"/>
      <c r="K58" s="32"/>
      <c r="L58" s="32"/>
      <c r="M58" s="32"/>
      <c r="N58" s="33">
        <v>135.15</v>
      </c>
      <c r="O58" s="33">
        <v>93.71</v>
      </c>
      <c r="P58" s="33">
        <v>95.93</v>
      </c>
      <c r="Q58" s="33">
        <v>59.97</v>
      </c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872</v>
      </c>
      <c r="E59" s="32"/>
      <c r="F59" s="32"/>
      <c r="G59" s="32"/>
      <c r="H59" s="32"/>
      <c r="I59" s="32"/>
      <c r="J59" s="32"/>
      <c r="K59" s="32"/>
      <c r="L59" s="32"/>
      <c r="M59" s="32"/>
      <c r="N59" s="33">
        <v>127.79</v>
      </c>
      <c r="O59" s="33">
        <v>114.24</v>
      </c>
      <c r="P59" s="33">
        <v>100.74</v>
      </c>
      <c r="Q59" s="33">
        <v>78.68</v>
      </c>
      <c r="R59" s="33">
        <v>50.41</v>
      </c>
      <c r="S59" s="33">
        <v>31.69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873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3">
        <v>42.8</v>
      </c>
      <c r="P60" s="33">
        <v>30.8</v>
      </c>
      <c r="Q60" s="33">
        <v>30.8</v>
      </c>
      <c r="R60" s="33">
        <v>30.8</v>
      </c>
      <c r="S60" s="33">
        <v>30.8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874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3">
        <v>42.8</v>
      </c>
      <c r="P61" s="33">
        <v>30.8</v>
      </c>
      <c r="Q61" s="33">
        <v>30.8</v>
      </c>
      <c r="R61" s="33">
        <v>30.8</v>
      </c>
      <c r="S61" s="33">
        <v>30.8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875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3">
        <v>42.8</v>
      </c>
      <c r="P62" s="33">
        <v>30.8</v>
      </c>
      <c r="Q62" s="33">
        <v>30.8</v>
      </c>
      <c r="R62" s="33">
        <v>30.8</v>
      </c>
      <c r="S62" s="33">
        <v>30.8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876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3">
        <v>42.8</v>
      </c>
      <c r="P63" s="33">
        <v>30.8</v>
      </c>
      <c r="Q63" s="33">
        <v>30.8</v>
      </c>
      <c r="R63" s="36">
        <f>30.80+9.24</f>
        <v>40.04</v>
      </c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877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3">
        <v>42.8</v>
      </c>
      <c r="P64" s="33">
        <v>30.8</v>
      </c>
      <c r="Q64" s="33">
        <v>30.8</v>
      </c>
      <c r="R64" s="33">
        <v>30.8</v>
      </c>
      <c r="S64" s="33">
        <v>30.8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878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3">
        <v>42.8</v>
      </c>
      <c r="P65" s="33">
        <v>30.8</v>
      </c>
      <c r="Q65" s="33">
        <v>30.8</v>
      </c>
      <c r="R65" s="33">
        <v>30.8</v>
      </c>
      <c r="S65" s="33">
        <v>30.8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879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3">
        <v>42.8</v>
      </c>
      <c r="P66" s="33">
        <v>30.8</v>
      </c>
      <c r="Q66" s="33">
        <v>30.8</v>
      </c>
      <c r="R66" s="33">
        <v>30.8</v>
      </c>
      <c r="S66" s="33">
        <v>33.52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880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3">
        <v>42.8</v>
      </c>
      <c r="R67" s="33">
        <v>30.8</v>
      </c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881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3">
        <v>42.8</v>
      </c>
      <c r="R68" s="33">
        <v>32.03</v>
      </c>
      <c r="S68" s="33">
        <v>131.73</v>
      </c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882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3">
        <v>42.8</v>
      </c>
      <c r="R69" s="33">
        <v>30.8</v>
      </c>
      <c r="S69" s="33">
        <v>30.8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883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3">
        <v>42.8</v>
      </c>
      <c r="R70" s="33">
        <v>30.8</v>
      </c>
      <c r="S70" s="33">
        <v>37.32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884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3">
        <v>34.58</v>
      </c>
      <c r="R71" s="33">
        <v>30.8</v>
      </c>
      <c r="S71" s="33">
        <v>30.8</v>
      </c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7"/>
      <c r="C72" s="38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40"/>
    </row>
    <row r="73" ht="12.75" customHeight="1" spans="2:37" x14ac:dyDescent="0.25">
      <c r="B73" s="20" t="s">
        <v>85</v>
      </c>
      <c r="C73" s="21"/>
      <c r="D73" s="21"/>
      <c r="E73" s="22">
        <f>SUM(E13:E71)</f>
      </c>
      <c r="F73" s="22">
        <f>SUM(F13:F71)</f>
      </c>
      <c r="G73" s="22">
        <f>SUM(G13:G71)</f>
      </c>
      <c r="H73" s="22">
        <f>SUM(H13:H71)</f>
      </c>
      <c r="I73" s="22">
        <f>SUM(I13:I71)</f>
      </c>
      <c r="J73" s="22">
        <f>SUM(J13:J71)</f>
      </c>
      <c r="K73" s="22">
        <f>SUM(K13:K71)</f>
      </c>
      <c r="L73" s="22">
        <f>SUM(L13:L71)</f>
      </c>
      <c r="M73" s="22">
        <f>SUM(M13:M71)</f>
      </c>
      <c r="N73" s="22">
        <f>SUM(N13:N71)</f>
      </c>
      <c r="O73" s="22">
        <f>SUM(O13:O71)</f>
      </c>
      <c r="P73" s="22">
        <f>SUM(P13:P71)</f>
      </c>
      <c r="Q73" s="22">
        <f>SUM(Q13:Q71)</f>
      </c>
      <c r="R73" s="22">
        <f>SUM(R13:R71)</f>
      </c>
      <c r="S73" s="22">
        <f>SUM(S13:S71)</f>
      </c>
      <c r="T73" s="22">
        <f>SUM(T13:T71)</f>
      </c>
      <c r="U73" s="22">
        <f>SUM(U13:U71)</f>
      </c>
      <c r="V73" s="22">
        <f>SUM(V13:V71)</f>
      </c>
      <c r="W73" s="22">
        <f>SUM(W13:W71)</f>
      </c>
      <c r="X73" s="22">
        <f>SUM(X13:X71)</f>
      </c>
      <c r="Y73" s="22">
        <f>SUM(Y13:Y71)</f>
      </c>
      <c r="Z73" s="22">
        <f>SUM(Z13:Z71)</f>
      </c>
      <c r="AA73" s="22">
        <f>SUM(AA13:AA71)</f>
      </c>
      <c r="AB73" s="22">
        <f>SUM(AB13:AB71)</f>
      </c>
      <c r="AC73" s="22">
        <f>SUM(AC13:AC71)</f>
      </c>
      <c r="AD73" s="22">
        <f>SUM(AD13:AD71)</f>
      </c>
      <c r="AE73" s="22">
        <f>SUM(AE13:AE71)</f>
      </c>
      <c r="AF73" s="22">
        <f>SUM(AF13:AF71)</f>
      </c>
      <c r="AG73" s="22">
        <f>SUM(AG13:AG71)</f>
      </c>
      <c r="AH73" s="22">
        <f>SUM(AH13:AH71)</f>
      </c>
      <c r="AI73" s="22">
        <f>SUM(AI13:AI71)</f>
      </c>
      <c r="AJ73" s="22">
        <f>SUM(AJ13:AJ71)</f>
      </c>
      <c r="AK73" s="23"/>
    </row>
    <row r="75" ht="12.75" customHeight="1" spans="2:37" x14ac:dyDescent="0.25">
      <c r="B75" s="26" t="s">
        <v>43</v>
      </c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9"/>
    </row>
    <row r="76" ht="12.75" customHeight="1" spans="2:37" x14ac:dyDescent="0.25">
      <c r="B76" s="30" t="s">
        <v>43</v>
      </c>
      <c r="C76" s="31" t="s">
        <v>3</v>
      </c>
      <c r="D76" s="32" t="s">
        <v>885</v>
      </c>
      <c r="E76" s="32"/>
      <c r="F76" s="32"/>
      <c r="G76" s="32"/>
      <c r="H76" s="36">
        <f>5264.67+1939.34</f>
        <v>7204.01</v>
      </c>
      <c r="I76" s="36">
        <f>5452.55+2031.46</f>
        <v>7484.01</v>
      </c>
      <c r="J76" s="36">
        <f>5653.85+2130.16</f>
        <v>7784.01</v>
      </c>
      <c r="K76" s="36">
        <f>5049.95+1834.06</f>
        <v>6884.01</v>
      </c>
      <c r="L76" s="36">
        <f>4043.45+1364.96</f>
        <v>5408.41</v>
      </c>
      <c r="M76" s="36">
        <f>3278.51+1128.98</f>
        <v>4407.49</v>
      </c>
      <c r="N76" s="36">
        <f>3432.84+1176.59</f>
        <v>4609.43</v>
      </c>
      <c r="O76" s="36">
        <f>2849.07+996.50</f>
        <v>3845.57</v>
      </c>
      <c r="P76" s="36">
        <f>2748.42+965.45</f>
        <v>3713.87</v>
      </c>
      <c r="Q76" s="36">
        <f>2538.35+887.34</f>
        <v>3425.69</v>
      </c>
      <c r="R76" s="36">
        <f>2878.41+990.24</f>
        <v>3868.6499999999996</v>
      </c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4">
        <f>SUM(E76:AI76)</f>
      </c>
      <c r="AK76" s="35"/>
    </row>
    <row r="77" ht="12.75" customHeight="1" spans="2:37" x14ac:dyDescent="0.25">
      <c r="B77" s="37"/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40"/>
    </row>
    <row r="78" ht="12.75" customHeight="1" spans="2:37" x14ac:dyDescent="0.25">
      <c r="B78" s="20" t="s">
        <v>89</v>
      </c>
      <c r="C78" s="21"/>
      <c r="D78" s="21"/>
      <c r="E78" s="22">
        <f>SUM(E76:E76)</f>
      </c>
      <c r="F78" s="22">
        <f>SUM(F76:F76)</f>
      </c>
      <c r="G78" s="22">
        <f>SUM(G76:G76)</f>
      </c>
      <c r="H78" s="22">
        <f>SUM(H76:H76)</f>
      </c>
      <c r="I78" s="22">
        <f>SUM(I76:I76)</f>
      </c>
      <c r="J78" s="22">
        <f>SUM(J76:J76)</f>
      </c>
      <c r="K78" s="22">
        <f>SUM(K76:K76)</f>
      </c>
      <c r="L78" s="22">
        <f>SUM(L76:L76)</f>
      </c>
      <c r="M78" s="22">
        <f>SUM(M76:M76)</f>
      </c>
      <c r="N78" s="22">
        <f>SUM(N76:N76)</f>
      </c>
      <c r="O78" s="22">
        <f>SUM(O76:O76)</f>
      </c>
      <c r="P78" s="22">
        <f>SUM(P76:P76)</f>
      </c>
      <c r="Q78" s="22">
        <f>SUM(Q76:Q76)</f>
      </c>
      <c r="R78" s="22">
        <f>SUM(R76:R76)</f>
      </c>
      <c r="S78" s="22">
        <f>SUM(S76:S76)</f>
      </c>
      <c r="T78" s="22">
        <f>SUM(T76:T76)</f>
      </c>
      <c r="U78" s="22">
        <f>SUM(U76:U76)</f>
      </c>
      <c r="V78" s="22">
        <f>SUM(V76:V76)</f>
      </c>
      <c r="W78" s="22">
        <f>SUM(W76:W76)</f>
      </c>
      <c r="X78" s="22">
        <f>SUM(X76:X76)</f>
      </c>
      <c r="Y78" s="22">
        <f>SUM(Y76:Y76)</f>
      </c>
      <c r="Z78" s="22">
        <f>SUM(Z76:Z76)</f>
      </c>
      <c r="AA78" s="22">
        <f>SUM(AA76:AA76)</f>
      </c>
      <c r="AB78" s="22">
        <f>SUM(AB76:AB76)</f>
      </c>
      <c r="AC78" s="22">
        <f>SUM(AC76:AC76)</f>
      </c>
      <c r="AD78" s="22">
        <f>SUM(AD76:AD76)</f>
      </c>
      <c r="AE78" s="22">
        <f>SUM(AE76:AE76)</f>
      </c>
      <c r="AF78" s="22">
        <f>SUM(AF76:AF76)</f>
      </c>
      <c r="AG78" s="22">
        <f>SUM(AG76:AG76)</f>
      </c>
      <c r="AH78" s="22">
        <f>SUM(AH76:AH76)</f>
      </c>
      <c r="AI78" s="22">
        <f>SUM(AI76:AI76)</f>
      </c>
      <c r="AJ78" s="22">
        <f>SUM(AJ76:AJ76)</f>
      </c>
      <c r="AK78" s="23"/>
    </row>
    <row r="80" ht="12.75" customHeight="1" spans="2:37" x14ac:dyDescent="0.25">
      <c r="B80" s="26" t="s">
        <v>44</v>
      </c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9"/>
    </row>
    <row r="81" ht="12.75" customHeight="1" spans="2:37" x14ac:dyDescent="0.25">
      <c r="B81" s="37"/>
      <c r="C81" s="38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40"/>
    </row>
    <row r="82" ht="12.75" customHeight="1" spans="2:37" x14ac:dyDescent="0.25">
      <c r="B82" s="20" t="s">
        <v>90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3"/>
    </row>
    <row r="85" ht="12.75" customHeight="1" spans="2:37" x14ac:dyDescent="0.25">
      <c r="B85" s="11" t="s">
        <v>40</v>
      </c>
      <c r="C85" s="12"/>
      <c r="D85" s="13"/>
      <c r="E85" s="14" t="s">
        <v>7</v>
      </c>
      <c r="F85" s="14" t="s">
        <v>8</v>
      </c>
      <c r="G85" s="14" t="s">
        <v>9</v>
      </c>
      <c r="H85" s="14" t="s">
        <v>10</v>
      </c>
      <c r="I85" s="14" t="s">
        <v>11</v>
      </c>
      <c r="J85" s="14" t="s">
        <v>12</v>
      </c>
      <c r="K85" s="14" t="s">
        <v>13</v>
      </c>
      <c r="L85" s="14" t="s">
        <v>14</v>
      </c>
      <c r="M85" s="14" t="s">
        <v>15</v>
      </c>
      <c r="N85" s="14" t="s">
        <v>16</v>
      </c>
      <c r="O85" s="14" t="s">
        <v>17</v>
      </c>
      <c r="P85" s="14" t="s">
        <v>18</v>
      </c>
      <c r="Q85" s="14" t="s">
        <v>19</v>
      </c>
      <c r="R85" s="14" t="s">
        <v>20</v>
      </c>
      <c r="S85" s="14" t="s">
        <v>21</v>
      </c>
      <c r="T85" s="14" t="s">
        <v>22</v>
      </c>
      <c r="U85" s="14" t="s">
        <v>23</v>
      </c>
      <c r="V85" s="14" t="s">
        <v>24</v>
      </c>
      <c r="W85" s="14" t="s">
        <v>25</v>
      </c>
      <c r="X85" s="14" t="s">
        <v>26</v>
      </c>
      <c r="Y85" s="14" t="s">
        <v>27</v>
      </c>
      <c r="Z85" s="14" t="s">
        <v>28</v>
      </c>
      <c r="AA85" s="14" t="s">
        <v>29</v>
      </c>
      <c r="AB85" s="14" t="s">
        <v>30</v>
      </c>
      <c r="AC85" s="14" t="s">
        <v>31</v>
      </c>
      <c r="AD85" s="14" t="s">
        <v>32</v>
      </c>
      <c r="AE85" s="14" t="s">
        <v>33</v>
      </c>
      <c r="AF85" s="14" t="s">
        <v>34</v>
      </c>
      <c r="AG85" s="14" t="s">
        <v>35</v>
      </c>
      <c r="AH85" s="14" t="s">
        <v>36</v>
      </c>
      <c r="AI85" s="14" t="s">
        <v>37</v>
      </c>
      <c r="AJ85" s="14" t="s">
        <v>38</v>
      </c>
      <c r="AK85" s="15"/>
    </row>
    <row r="86" ht="12.75" customHeight="1" spans="2:37" x14ac:dyDescent="0.25">
      <c r="B86" s="16" t="s">
        <v>41</v>
      </c>
      <c r="C86" s="17"/>
      <c r="D86" s="17"/>
      <c r="E86" s="18">
        <f>E10</f>
      </c>
      <c r="F86" s="18">
        <f>F10</f>
      </c>
      <c r="G86" s="18">
        <f>G10</f>
      </c>
      <c r="H86" s="18">
        <f>H10</f>
      </c>
      <c r="I86" s="18">
        <f>I10</f>
      </c>
      <c r="J86" s="18">
        <f>J10</f>
      </c>
      <c r="K86" s="18">
        <f>K10</f>
      </c>
      <c r="L86" s="18">
        <f>L10</f>
      </c>
      <c r="M86" s="18">
        <f>M10</f>
      </c>
      <c r="N86" s="18">
        <f>N10</f>
      </c>
      <c r="O86" s="18">
        <f>O10</f>
      </c>
      <c r="P86" s="18">
        <f>P10</f>
      </c>
      <c r="Q86" s="18">
        <f>Q10</f>
      </c>
      <c r="R86" s="18">
        <f>R10</f>
      </c>
      <c r="S86" s="18">
        <f>S10</f>
      </c>
      <c r="T86" s="18">
        <f>T10</f>
      </c>
      <c r="U86" s="18">
        <f>U10</f>
      </c>
      <c r="V86" s="18">
        <f>V10</f>
      </c>
      <c r="W86" s="18">
        <f>W10</f>
      </c>
      <c r="X86" s="18">
        <f>X10</f>
      </c>
      <c r="Y86" s="18">
        <f>Y10</f>
      </c>
      <c r="Z86" s="18">
        <f>Z10</f>
      </c>
      <c r="AA86" s="18">
        <f>AA10</f>
      </c>
      <c r="AB86" s="18">
        <f>AB10</f>
      </c>
      <c r="AC86" s="18">
        <f>AC10</f>
      </c>
      <c r="AD86" s="18">
        <f>AD10</f>
      </c>
      <c r="AE86" s="18">
        <f>AE10</f>
      </c>
      <c r="AF86" s="18">
        <f>AF10</f>
      </c>
      <c r="AG86" s="18">
        <f>AG10</f>
      </c>
      <c r="AH86" s="18">
        <f>AH10</f>
      </c>
      <c r="AI86" s="18">
        <f>AI10</f>
      </c>
      <c r="AJ86" s="18">
        <f>AJ10</f>
      </c>
      <c r="AK86" s="19"/>
    </row>
    <row r="87" ht="12.75" customHeight="1" spans="2:37" x14ac:dyDescent="0.25">
      <c r="B87" s="16" t="s">
        <v>42</v>
      </c>
      <c r="C87" s="17"/>
      <c r="D87" s="17"/>
      <c r="E87" s="18">
        <f>E73</f>
      </c>
      <c r="F87" s="18">
        <f>F73</f>
      </c>
      <c r="G87" s="18">
        <f>G73</f>
      </c>
      <c r="H87" s="18">
        <f>H73</f>
      </c>
      <c r="I87" s="18">
        <f>I73</f>
      </c>
      <c r="J87" s="18">
        <f>J73</f>
      </c>
      <c r="K87" s="18">
        <f>K73</f>
      </c>
      <c r="L87" s="18">
        <f>L73</f>
      </c>
      <c r="M87" s="18">
        <f>M73</f>
      </c>
      <c r="N87" s="18">
        <f>N73</f>
      </c>
      <c r="O87" s="18">
        <f>O73</f>
      </c>
      <c r="P87" s="18">
        <f>P73</f>
      </c>
      <c r="Q87" s="18">
        <f>Q73</f>
      </c>
      <c r="R87" s="18">
        <f>R73</f>
      </c>
      <c r="S87" s="18">
        <f>S73</f>
      </c>
      <c r="T87" s="18">
        <f>T73</f>
      </c>
      <c r="U87" s="18">
        <f>U73</f>
      </c>
      <c r="V87" s="18">
        <f>V73</f>
      </c>
      <c r="W87" s="18">
        <f>W73</f>
      </c>
      <c r="X87" s="18">
        <f>X73</f>
      </c>
      <c r="Y87" s="18">
        <f>Y73</f>
      </c>
      <c r="Z87" s="18">
        <f>Z73</f>
      </c>
      <c r="AA87" s="18">
        <f>AA73</f>
      </c>
      <c r="AB87" s="18">
        <f>AB73</f>
      </c>
      <c r="AC87" s="18">
        <f>AC73</f>
      </c>
      <c r="AD87" s="18">
        <f>AD73</f>
      </c>
      <c r="AE87" s="18">
        <f>AE73</f>
      </c>
      <c r="AF87" s="18">
        <f>AF73</f>
      </c>
      <c r="AG87" s="18">
        <f>AG73</f>
      </c>
      <c r="AH87" s="18">
        <f>AH73</f>
      </c>
      <c r="AI87" s="18">
        <f>AI73</f>
      </c>
      <c r="AJ87" s="18">
        <f>AJ73</f>
      </c>
      <c r="AK87" s="19"/>
    </row>
    <row r="88" ht="12.75" customHeight="1" spans="2:37" x14ac:dyDescent="0.25">
      <c r="B88" s="16" t="s">
        <v>43</v>
      </c>
      <c r="C88" s="17"/>
      <c r="D88" s="17"/>
      <c r="E88" s="18">
        <f>E78</f>
      </c>
      <c r="F88" s="18">
        <f>F78</f>
      </c>
      <c r="G88" s="18">
        <f>G78</f>
      </c>
      <c r="H88" s="18">
        <f>H78</f>
      </c>
      <c r="I88" s="18">
        <f>I78</f>
      </c>
      <c r="J88" s="18">
        <f>J78</f>
      </c>
      <c r="K88" s="18">
        <f>K78</f>
      </c>
      <c r="L88" s="18">
        <f>L78</f>
      </c>
      <c r="M88" s="18">
        <f>M78</f>
      </c>
      <c r="N88" s="18">
        <f>N78</f>
      </c>
      <c r="O88" s="18">
        <f>O78</f>
      </c>
      <c r="P88" s="18">
        <f>P78</f>
      </c>
      <c r="Q88" s="18">
        <f>Q78</f>
      </c>
      <c r="R88" s="18">
        <f>R78</f>
      </c>
      <c r="S88" s="18">
        <f>S78</f>
      </c>
      <c r="T88" s="18">
        <f>T78</f>
      </c>
      <c r="U88" s="18">
        <f>U78</f>
      </c>
      <c r="V88" s="18">
        <f>V78</f>
      </c>
      <c r="W88" s="18">
        <f>W78</f>
      </c>
      <c r="X88" s="18">
        <f>X78</f>
      </c>
      <c r="Y88" s="18">
        <f>Y78</f>
      </c>
      <c r="Z88" s="18">
        <f>Z78</f>
      </c>
      <c r="AA88" s="18">
        <f>AA78</f>
      </c>
      <c r="AB88" s="18">
        <f>AB78</f>
      </c>
      <c r="AC88" s="18">
        <f>AC78</f>
      </c>
      <c r="AD88" s="18">
        <f>AD78</f>
      </c>
      <c r="AE88" s="18">
        <f>AE78</f>
      </c>
      <c r="AF88" s="18">
        <f>AF78</f>
      </c>
      <c r="AG88" s="18">
        <f>AG78</f>
      </c>
      <c r="AH88" s="18">
        <f>AH78</f>
      </c>
      <c r="AI88" s="18">
        <f>AI78</f>
      </c>
      <c r="AJ88" s="18">
        <f>AJ78</f>
      </c>
      <c r="AK88" s="19"/>
    </row>
    <row r="89" ht="12.75" customHeight="1" spans="2:37" x14ac:dyDescent="0.25">
      <c r="B89" s="16" t="s">
        <v>44</v>
      </c>
      <c r="C89" s="17"/>
      <c r="D89" s="17"/>
      <c r="E89" s="18">
        <f>E82</f>
      </c>
      <c r="F89" s="18">
        <f>F82</f>
      </c>
      <c r="G89" s="18">
        <f>G82</f>
      </c>
      <c r="H89" s="18">
        <f>H82</f>
      </c>
      <c r="I89" s="18">
        <f>I82</f>
      </c>
      <c r="J89" s="18">
        <f>J82</f>
      </c>
      <c r="K89" s="18">
        <f>K82</f>
      </c>
      <c r="L89" s="18">
        <f>L82</f>
      </c>
      <c r="M89" s="18">
        <f>M82</f>
      </c>
      <c r="N89" s="18">
        <f>N82</f>
      </c>
      <c r="O89" s="18">
        <f>O82</f>
      </c>
      <c r="P89" s="18">
        <f>P82</f>
      </c>
      <c r="Q89" s="18">
        <f>Q82</f>
      </c>
      <c r="R89" s="18">
        <f>R82</f>
      </c>
      <c r="S89" s="18">
        <f>S82</f>
      </c>
      <c r="T89" s="18">
        <f>T82</f>
      </c>
      <c r="U89" s="18">
        <f>U82</f>
      </c>
      <c r="V89" s="18">
        <f>V82</f>
      </c>
      <c r="W89" s="18">
        <f>W82</f>
      </c>
      <c r="X89" s="18">
        <f>X82</f>
      </c>
      <c r="Y89" s="18">
        <f>Y82</f>
      </c>
      <c r="Z89" s="18">
        <f>Z82</f>
      </c>
      <c r="AA89" s="18">
        <f>AA82</f>
      </c>
      <c r="AB89" s="18">
        <f>AB82</f>
      </c>
      <c r="AC89" s="18">
        <f>AC82</f>
      </c>
      <c r="AD89" s="18">
        <f>AD82</f>
      </c>
      <c r="AE89" s="18">
        <f>AE82</f>
      </c>
      <c r="AF89" s="18">
        <f>AF82</f>
      </c>
      <c r="AG89" s="18">
        <f>AG82</f>
      </c>
      <c r="AH89" s="18">
        <f>AH82</f>
      </c>
      <c r="AI89" s="18">
        <f>AI82</f>
      </c>
      <c r="AJ89" s="18">
        <f>AJ82</f>
      </c>
      <c r="AK89" s="19"/>
    </row>
    <row r="90" ht="12.75" customHeight="1" spans="2:37" x14ac:dyDescent="0.25">
      <c r="B90" s="20" t="s">
        <v>45</v>
      </c>
      <c r="C90" s="21"/>
      <c r="D90" s="21"/>
      <c r="E90" s="22">
        <f>E86+E87+E88+E89</f>
      </c>
      <c r="F90" s="22">
        <f>F86+F87+F88+F89</f>
      </c>
      <c r="G90" s="22">
        <f>G86+G87+G88+G89</f>
      </c>
      <c r="H90" s="22">
        <f>H86+H87+H88+H89</f>
      </c>
      <c r="I90" s="22">
        <f>I86+I87+I88+I89</f>
      </c>
      <c r="J90" s="22">
        <f>J86+J87+J88+J89</f>
      </c>
      <c r="K90" s="22">
        <f>K86+K87+K88+K89</f>
      </c>
      <c r="L90" s="22">
        <f>L86+L87+L88+L89</f>
      </c>
      <c r="M90" s="22">
        <f>M86+M87+M88+M89</f>
      </c>
      <c r="N90" s="22">
        <f>N86+N87+N88+N89</f>
      </c>
      <c r="O90" s="22">
        <f>O86+O87+O88+O89</f>
      </c>
      <c r="P90" s="22">
        <f>P86+P87+P88+P89</f>
      </c>
      <c r="Q90" s="22">
        <f>Q86+Q87+Q88+Q89</f>
      </c>
      <c r="R90" s="22">
        <f>R86+R87+R88+R89</f>
      </c>
      <c r="S90" s="22">
        <f>S86+S87+S88+S89</f>
      </c>
      <c r="T90" s="22">
        <f>T86+T87+T88+T89</f>
      </c>
      <c r="U90" s="22">
        <f>U86+U87+U88+U89</f>
      </c>
      <c r="V90" s="22">
        <f>V86+V87+V88+V89</f>
      </c>
      <c r="W90" s="22">
        <f>W86+W87+W88+W89</f>
      </c>
      <c r="X90" s="22">
        <f>X86+X87+X88+X89</f>
      </c>
      <c r="Y90" s="22">
        <f>Y86+Y87+Y88+Y89</f>
      </c>
      <c r="Z90" s="22">
        <f>Z86+Z87+Z88+Z89</f>
      </c>
      <c r="AA90" s="22">
        <f>AA86+AA87+AA88+AA89</f>
      </c>
      <c r="AB90" s="22">
        <f>AB86+AB87+AB88+AB89</f>
      </c>
      <c r="AC90" s="22">
        <f>AC86+AC87+AC88+AC89</f>
      </c>
      <c r="AD90" s="22">
        <f>AD86+AD87+AD88+AD89</f>
      </c>
      <c r="AE90" s="22">
        <f>AE86+AE87+AE88+AE89</f>
      </c>
      <c r="AF90" s="22">
        <f>AF86+AF87+AF88+AF89</f>
      </c>
      <c r="AG90" s="22">
        <f>AG86+AG87+AG88+AG89</f>
      </c>
      <c r="AH90" s="22">
        <f>AH86+AH87+AH88+AH89</f>
      </c>
      <c r="AI90" s="22">
        <f>AI86+AI87+AI88+AI89</f>
      </c>
      <c r="AJ90" s="22">
        <f>AJ86+AJ87+AJ88+AJ89</f>
      </c>
      <c r="AK90" s="23"/>
    </row>
    <row r="92" ht="12.75" customHeight="1" spans="2:37" x14ac:dyDescent="0.25">
      <c r="B92" s="11" t="s">
        <v>46</v>
      </c>
      <c r="C92" s="12"/>
      <c r="D92" s="13"/>
      <c r="E92" s="14" t="s">
        <v>7</v>
      </c>
      <c r="F92" s="14" t="s">
        <v>8</v>
      </c>
      <c r="G92" s="14" t="s">
        <v>9</v>
      </c>
      <c r="H92" s="14" t="s">
        <v>10</v>
      </c>
      <c r="I92" s="14" t="s">
        <v>11</v>
      </c>
      <c r="J92" s="14" t="s">
        <v>12</v>
      </c>
      <c r="K92" s="14" t="s">
        <v>13</v>
      </c>
      <c r="L92" s="14" t="s">
        <v>14</v>
      </c>
      <c r="M92" s="14" t="s">
        <v>15</v>
      </c>
      <c r="N92" s="14" t="s">
        <v>16</v>
      </c>
      <c r="O92" s="14" t="s">
        <v>17</v>
      </c>
      <c r="P92" s="14" t="s">
        <v>18</v>
      </c>
      <c r="Q92" s="14" t="s">
        <v>19</v>
      </c>
      <c r="R92" s="14" t="s">
        <v>20</v>
      </c>
      <c r="S92" s="14" t="s">
        <v>21</v>
      </c>
      <c r="T92" s="14" t="s">
        <v>22</v>
      </c>
      <c r="U92" s="14" t="s">
        <v>23</v>
      </c>
      <c r="V92" s="14" t="s">
        <v>24</v>
      </c>
      <c r="W92" s="14" t="s">
        <v>25</v>
      </c>
      <c r="X92" s="14" t="s">
        <v>26</v>
      </c>
      <c r="Y92" s="14" t="s">
        <v>27</v>
      </c>
      <c r="Z92" s="14" t="s">
        <v>28</v>
      </c>
      <c r="AA92" s="14" t="s">
        <v>29</v>
      </c>
      <c r="AB92" s="14" t="s">
        <v>30</v>
      </c>
      <c r="AC92" s="14" t="s">
        <v>31</v>
      </c>
      <c r="AD92" s="14" t="s">
        <v>32</v>
      </c>
      <c r="AE92" s="14" t="s">
        <v>33</v>
      </c>
      <c r="AF92" s="14" t="s">
        <v>34</v>
      </c>
      <c r="AG92" s="14" t="s">
        <v>35</v>
      </c>
      <c r="AH92" s="14" t="s">
        <v>36</v>
      </c>
      <c r="AI92" s="14" t="s">
        <v>37</v>
      </c>
      <c r="AJ92" s="14" t="s">
        <v>38</v>
      </c>
      <c r="AK92" s="15"/>
    </row>
    <row r="93" ht="12.75" customHeight="1" spans="2:37" x14ac:dyDescent="0.25">
      <c r="B93" s="16" t="s">
        <v>41</v>
      </c>
      <c r="C93" s="17"/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9"/>
    </row>
    <row r="94" ht="12.75" customHeight="1" spans="2:37" x14ac:dyDescent="0.25">
      <c r="B94" s="16" t="s">
        <v>42</v>
      </c>
      <c r="C94" s="17"/>
      <c r="D94" s="1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9"/>
    </row>
    <row r="95" ht="12.75" customHeight="1" spans="2:37" x14ac:dyDescent="0.25">
      <c r="B95" s="16" t="s">
        <v>43</v>
      </c>
      <c r="C95" s="17"/>
      <c r="D95" s="1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9"/>
    </row>
    <row r="96" ht="12.75" customHeight="1" spans="2:37" x14ac:dyDescent="0.25">
      <c r="B96" s="16" t="s">
        <v>44</v>
      </c>
      <c r="C96" s="17"/>
      <c r="D96" s="1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9"/>
    </row>
    <row r="97" ht="12.75" customHeight="1" spans="2:37" x14ac:dyDescent="0.25">
      <c r="B97" s="20" t="s">
        <v>45</v>
      </c>
      <c r="C97" s="21"/>
      <c r="D97" s="21"/>
      <c r="E97" s="22">
        <f>E93+E94+E95+E96</f>
      </c>
      <c r="F97" s="22">
        <f>F93+F94+F95+F96</f>
      </c>
      <c r="G97" s="22">
        <f>G93+G94+G95+G96</f>
      </c>
      <c r="H97" s="22">
        <f>H93+H94+H95+H96</f>
      </c>
      <c r="I97" s="22">
        <f>I93+I94+I95+I96</f>
      </c>
      <c r="J97" s="22">
        <f>J93+J94+J95+J96</f>
      </c>
      <c r="K97" s="22">
        <f>K93+K94+K95+K96</f>
      </c>
      <c r="L97" s="22">
        <f>L93+L94+L95+L96</f>
      </c>
      <c r="M97" s="22">
        <f>M93+M94+M95+M96</f>
      </c>
      <c r="N97" s="22">
        <f>N93+N94+N95+N96</f>
      </c>
      <c r="O97" s="22">
        <f>O93+O94+O95+O96</f>
      </c>
      <c r="P97" s="22">
        <f>P93+P94+P95+P96</f>
      </c>
      <c r="Q97" s="22">
        <f>Q93+Q94+Q95+Q96</f>
      </c>
      <c r="R97" s="22">
        <f>R93+R94+R95+R96</f>
      </c>
      <c r="S97" s="22">
        <f>S93+S94+S95+S96</f>
      </c>
      <c r="T97" s="22">
        <f>T93+T94+T95+T96</f>
      </c>
      <c r="U97" s="22">
        <f>U93+U94+U95+U96</f>
      </c>
      <c r="V97" s="22">
        <f>V93+V94+V95+V96</f>
      </c>
      <c r="W97" s="22">
        <f>W93+W94+W95+W96</f>
      </c>
      <c r="X97" s="22">
        <f>X93+X94+X95+X96</f>
      </c>
      <c r="Y97" s="22">
        <f>Y93+Y94+Y95+Y96</f>
      </c>
      <c r="Z97" s="22">
        <f>Z93+Z94+Z95+Z96</f>
      </c>
      <c r="AA97" s="22">
        <f>AA93+AA94+AA95+AA96</f>
      </c>
      <c r="AB97" s="22">
        <f>AB93+AB94+AB95+AB96</f>
      </c>
      <c r="AC97" s="22">
        <f>AC93+AC94+AC95+AC96</f>
      </c>
      <c r="AD97" s="22">
        <f>AD93+AD94+AD95+AD96</f>
      </c>
      <c r="AE97" s="22">
        <f>AE93+AE94+AE95+AE96</f>
      </c>
      <c r="AF97" s="22">
        <f>AF93+AF94+AF95+AF96</f>
      </c>
      <c r="AG97" s="22">
        <f>AG93+AG94+AG95+AG96</f>
      </c>
      <c r="AH97" s="22">
        <f>AH93+AH94+AH95+AH96</f>
      </c>
      <c r="AI97" s="22">
        <f>AI93+AI94+AI95+AI96</f>
      </c>
      <c r="AJ97" s="22">
        <f>AJ93+AJ94+AJ95+AJ96</f>
      </c>
      <c r="AK97" s="23"/>
    </row>
    <row r="99" ht="12.75" customHeight="1" spans="2:37" x14ac:dyDescent="0.25">
      <c r="B99" s="11" t="s">
        <v>47</v>
      </c>
      <c r="C99" s="12"/>
      <c r="D99" s="13"/>
      <c r="E99" s="14" t="s">
        <v>7</v>
      </c>
      <c r="F99" s="14" t="s">
        <v>8</v>
      </c>
      <c r="G99" s="14" t="s">
        <v>9</v>
      </c>
      <c r="H99" s="14" t="s">
        <v>10</v>
      </c>
      <c r="I99" s="14" t="s">
        <v>11</v>
      </c>
      <c r="J99" s="14" t="s">
        <v>12</v>
      </c>
      <c r="K99" s="14" t="s">
        <v>13</v>
      </c>
      <c r="L99" s="14" t="s">
        <v>14</v>
      </c>
      <c r="M99" s="14" t="s">
        <v>15</v>
      </c>
      <c r="N99" s="14" t="s">
        <v>16</v>
      </c>
      <c r="O99" s="14" t="s">
        <v>17</v>
      </c>
      <c r="P99" s="14" t="s">
        <v>18</v>
      </c>
      <c r="Q99" s="14" t="s">
        <v>19</v>
      </c>
      <c r="R99" s="14" t="s">
        <v>20</v>
      </c>
      <c r="S99" s="14" t="s">
        <v>21</v>
      </c>
      <c r="T99" s="14" t="s">
        <v>22</v>
      </c>
      <c r="U99" s="14" t="s">
        <v>23</v>
      </c>
      <c r="V99" s="14" t="s">
        <v>24</v>
      </c>
      <c r="W99" s="14" t="s">
        <v>25</v>
      </c>
      <c r="X99" s="14" t="s">
        <v>26</v>
      </c>
      <c r="Y99" s="14" t="s">
        <v>27</v>
      </c>
      <c r="Z99" s="14" t="s">
        <v>28</v>
      </c>
      <c r="AA99" s="14" t="s">
        <v>29</v>
      </c>
      <c r="AB99" s="14" t="s">
        <v>30</v>
      </c>
      <c r="AC99" s="14" t="s">
        <v>31</v>
      </c>
      <c r="AD99" s="14" t="s">
        <v>32</v>
      </c>
      <c r="AE99" s="14" t="s">
        <v>33</v>
      </c>
      <c r="AF99" s="14" t="s">
        <v>34</v>
      </c>
      <c r="AG99" s="14" t="s">
        <v>35</v>
      </c>
      <c r="AH99" s="14" t="s">
        <v>36</v>
      </c>
      <c r="AI99" s="14" t="s">
        <v>37</v>
      </c>
      <c r="AJ99" s="14" t="s">
        <v>38</v>
      </c>
      <c r="AK99" s="15"/>
    </row>
    <row r="100" ht="12.75" customHeight="1" spans="2:37" x14ac:dyDescent="0.25">
      <c r="B100" s="16" t="s">
        <v>41</v>
      </c>
      <c r="C100" s="17"/>
      <c r="D100" s="17"/>
      <c r="E100" s="24">
        <f>E93-E86</f>
      </c>
      <c r="F100" s="24">
        <f>F93-F86</f>
      </c>
      <c r="G100" s="24">
        <f>G93-G86</f>
      </c>
      <c r="H100" s="24">
        <f>H93-H86</f>
      </c>
      <c r="I100" s="24">
        <f>I93-I86</f>
      </c>
      <c r="J100" s="24">
        <f>J93-J86</f>
      </c>
      <c r="K100" s="24">
        <f>K93-K86</f>
      </c>
      <c r="L100" s="24">
        <f>L93-L86</f>
      </c>
      <c r="M100" s="24">
        <f>M93-M86</f>
      </c>
      <c r="N100" s="24">
        <f>N93-N86</f>
      </c>
      <c r="O100" s="24">
        <f>O93-O86</f>
      </c>
      <c r="P100" s="24">
        <f>P93-P86</f>
      </c>
      <c r="Q100" s="24">
        <f>Q93-Q86</f>
      </c>
      <c r="R100" s="24">
        <f>R93-R86</f>
      </c>
      <c r="S100" s="24">
        <f>S93-S86</f>
      </c>
      <c r="T100" s="24">
        <f>T93-T86</f>
      </c>
      <c r="U100" s="24">
        <f>U93-U86</f>
      </c>
      <c r="V100" s="24">
        <f>V93-V86</f>
      </c>
      <c r="W100" s="24">
        <f>W93-W86</f>
      </c>
      <c r="X100" s="24">
        <f>X93-X86</f>
      </c>
      <c r="Y100" s="24">
        <f>Y93-Y86</f>
      </c>
      <c r="Z100" s="24">
        <f>Z93-Z86</f>
      </c>
      <c r="AA100" s="24">
        <f>AA93-AA86</f>
      </c>
      <c r="AB100" s="24">
        <f>AB93-AB86</f>
      </c>
      <c r="AC100" s="24">
        <f>AC93-AC86</f>
      </c>
      <c r="AD100" s="24">
        <f>AD93-AD86</f>
      </c>
      <c r="AE100" s="24">
        <f>AE93-AE86</f>
      </c>
      <c r="AF100" s="24">
        <f>AF93-AF86</f>
      </c>
      <c r="AG100" s="24">
        <f>AG93-AG86</f>
      </c>
      <c r="AH100" s="24">
        <f>AH93-AH86</f>
      </c>
      <c r="AI100" s="24">
        <f>AI93-AI86</f>
      </c>
      <c r="AJ100" s="24">
        <f>AJ93-AJ86</f>
      </c>
      <c r="AK100" s="19"/>
    </row>
    <row r="101" ht="12.75" customHeight="1" spans="2:37" x14ac:dyDescent="0.25">
      <c r="B101" s="16" t="s">
        <v>42</v>
      </c>
      <c r="C101" s="17"/>
      <c r="D101" s="17"/>
      <c r="E101" s="24">
        <f>E94-E87</f>
      </c>
      <c r="F101" s="24">
        <f>F94-F87</f>
      </c>
      <c r="G101" s="24">
        <f>G94-G87</f>
      </c>
      <c r="H101" s="24">
        <f>H94-H87</f>
      </c>
      <c r="I101" s="24">
        <f>I94-I87</f>
      </c>
      <c r="J101" s="24">
        <f>J94-J87</f>
      </c>
      <c r="K101" s="24">
        <f>K94-K87</f>
      </c>
      <c r="L101" s="24">
        <f>L94-L87</f>
      </c>
      <c r="M101" s="24">
        <f>M94-M87</f>
      </c>
      <c r="N101" s="24">
        <f>N94-N87</f>
      </c>
      <c r="O101" s="24">
        <f>O94-O87</f>
      </c>
      <c r="P101" s="24">
        <f>P94-P87</f>
      </c>
      <c r="Q101" s="24">
        <f>Q94-Q87</f>
      </c>
      <c r="R101" s="24">
        <f>R94-R87</f>
      </c>
      <c r="S101" s="24">
        <f>S94-S87</f>
      </c>
      <c r="T101" s="24">
        <f>T94-T87</f>
      </c>
      <c r="U101" s="24">
        <f>U94-U87</f>
      </c>
      <c r="V101" s="24">
        <f>V94-V87</f>
      </c>
      <c r="W101" s="24">
        <f>W94-W87</f>
      </c>
      <c r="X101" s="24">
        <f>X94-X87</f>
      </c>
      <c r="Y101" s="24">
        <f>Y94-Y87</f>
      </c>
      <c r="Z101" s="24">
        <f>Z94-Z87</f>
      </c>
      <c r="AA101" s="24">
        <f>AA94-AA87</f>
      </c>
      <c r="AB101" s="24">
        <f>AB94-AB87</f>
      </c>
      <c r="AC101" s="24">
        <f>AC94-AC87</f>
      </c>
      <c r="AD101" s="24">
        <f>AD94-AD87</f>
      </c>
      <c r="AE101" s="24">
        <f>AE94-AE87</f>
      </c>
      <c r="AF101" s="24">
        <f>AF94-AF87</f>
      </c>
      <c r="AG101" s="24">
        <f>AG94-AG87</f>
      </c>
      <c r="AH101" s="24">
        <f>AH94-AH87</f>
      </c>
      <c r="AI101" s="24">
        <f>AI94-AI87</f>
      </c>
      <c r="AJ101" s="24">
        <f>AJ94-AJ87</f>
      </c>
      <c r="AK101" s="19"/>
    </row>
    <row r="102" ht="12.75" customHeight="1" spans="2:37" x14ac:dyDescent="0.25">
      <c r="B102" s="16" t="s">
        <v>43</v>
      </c>
      <c r="C102" s="17"/>
      <c r="D102" s="17"/>
      <c r="E102" s="24">
        <f>E95-E88</f>
      </c>
      <c r="F102" s="24">
        <f>F95-F88</f>
      </c>
      <c r="G102" s="24">
        <f>G95-G88</f>
      </c>
      <c r="H102" s="24">
        <f>H95-H88</f>
      </c>
      <c r="I102" s="24">
        <f>I95-I88</f>
      </c>
      <c r="J102" s="24">
        <f>J95-J88</f>
      </c>
      <c r="K102" s="24">
        <f>K95-K88</f>
      </c>
      <c r="L102" s="24">
        <f>L95-L88</f>
      </c>
      <c r="M102" s="24">
        <f>M95-M88</f>
      </c>
      <c r="N102" s="24">
        <f>N95-N88</f>
      </c>
      <c r="O102" s="24">
        <f>O95-O88</f>
      </c>
      <c r="P102" s="24">
        <f>P95-P88</f>
      </c>
      <c r="Q102" s="24">
        <f>Q95-Q88</f>
      </c>
      <c r="R102" s="24">
        <f>R95-R88</f>
      </c>
      <c r="S102" s="24">
        <f>S95-S88</f>
      </c>
      <c r="T102" s="24">
        <f>T95-T88</f>
      </c>
      <c r="U102" s="24">
        <f>U95-U88</f>
      </c>
      <c r="V102" s="24">
        <f>V95-V88</f>
      </c>
      <c r="W102" s="24">
        <f>W95-W88</f>
      </c>
      <c r="X102" s="24">
        <f>X95-X88</f>
      </c>
      <c r="Y102" s="24">
        <f>Y95-Y88</f>
      </c>
      <c r="Z102" s="24">
        <f>Z95-Z88</f>
      </c>
      <c r="AA102" s="24">
        <f>AA95-AA88</f>
      </c>
      <c r="AB102" s="24">
        <f>AB95-AB88</f>
      </c>
      <c r="AC102" s="24">
        <f>AC95-AC88</f>
      </c>
      <c r="AD102" s="24">
        <f>AD95-AD88</f>
      </c>
      <c r="AE102" s="24">
        <f>AE95-AE88</f>
      </c>
      <c r="AF102" s="24">
        <f>AF95-AF88</f>
      </c>
      <c r="AG102" s="24">
        <f>AG95-AG88</f>
      </c>
      <c r="AH102" s="24">
        <f>AH95-AH88</f>
      </c>
      <c r="AI102" s="24">
        <f>AI95-AI88</f>
      </c>
      <c r="AJ102" s="24">
        <f>AJ95-AJ88</f>
      </c>
      <c r="AK102" s="19"/>
    </row>
    <row r="103" ht="12.75" customHeight="1" spans="2:37" x14ac:dyDescent="0.25">
      <c r="B103" s="16" t="s">
        <v>44</v>
      </c>
      <c r="C103" s="17"/>
      <c r="D103" s="17"/>
      <c r="E103" s="24">
        <f>E96-E89</f>
      </c>
      <c r="F103" s="24">
        <f>F96-F89</f>
      </c>
      <c r="G103" s="24">
        <f>G96-G89</f>
      </c>
      <c r="H103" s="24">
        <f>H96-H89</f>
      </c>
      <c r="I103" s="24">
        <f>I96-I89</f>
      </c>
      <c r="J103" s="24">
        <f>J96-J89</f>
      </c>
      <c r="K103" s="24">
        <f>K96-K89</f>
      </c>
      <c r="L103" s="24">
        <f>L96-L89</f>
      </c>
      <c r="M103" s="24">
        <f>M96-M89</f>
      </c>
      <c r="N103" s="24">
        <f>N96-N89</f>
      </c>
      <c r="O103" s="24">
        <f>O96-O89</f>
      </c>
      <c r="P103" s="24">
        <f>P96-P89</f>
      </c>
      <c r="Q103" s="24">
        <f>Q96-Q89</f>
      </c>
      <c r="R103" s="24">
        <f>R96-R89</f>
      </c>
      <c r="S103" s="24">
        <f>S96-S89</f>
      </c>
      <c r="T103" s="24">
        <f>T96-T89</f>
      </c>
      <c r="U103" s="24">
        <f>U96-U89</f>
      </c>
      <c r="V103" s="24">
        <f>V96-V89</f>
      </c>
      <c r="W103" s="24">
        <f>W96-W89</f>
      </c>
      <c r="X103" s="24">
        <f>X96-X89</f>
      </c>
      <c r="Y103" s="24">
        <f>Y96-Y89</f>
      </c>
      <c r="Z103" s="24">
        <f>Z96-Z89</f>
      </c>
      <c r="AA103" s="24">
        <f>AA96-AA89</f>
      </c>
      <c r="AB103" s="24">
        <f>AB96-AB89</f>
      </c>
      <c r="AC103" s="24">
        <f>AC96-AC89</f>
      </c>
      <c r="AD103" s="24">
        <f>AD96-AD89</f>
      </c>
      <c r="AE103" s="24">
        <f>AE96-AE89</f>
      </c>
      <c r="AF103" s="24">
        <f>AF96-AF89</f>
      </c>
      <c r="AG103" s="24">
        <f>AG96-AG89</f>
      </c>
      <c r="AH103" s="24">
        <f>AH96-AH89</f>
      </c>
      <c r="AI103" s="24">
        <f>AI96-AI89</f>
      </c>
      <c r="AJ103" s="24">
        <f>AJ96-AJ89</f>
      </c>
      <c r="AK103" s="19"/>
    </row>
    <row r="104" ht="12.75" customHeight="1" spans="2:37" x14ac:dyDescent="0.25">
      <c r="B104" s="20" t="s">
        <v>45</v>
      </c>
      <c r="C104" s="21"/>
      <c r="D104" s="21"/>
      <c r="E104" s="25">
        <f>E100+E101+E102+E103</f>
      </c>
      <c r="F104" s="25">
        <f>F100+F101+F102+F103</f>
      </c>
      <c r="G104" s="25">
        <f>G100+G101+G102+G103</f>
      </c>
      <c r="H104" s="25">
        <f>H100+H101+H102+H103</f>
      </c>
      <c r="I104" s="25">
        <f>I100+I101+I102+I103</f>
      </c>
      <c r="J104" s="25">
        <f>J100+J101+J102+J103</f>
      </c>
      <c r="K104" s="25">
        <f>K100+K101+K102+K103</f>
      </c>
      <c r="L104" s="25">
        <f>L100+L101+L102+L103</f>
      </c>
      <c r="M104" s="25">
        <f>M100+M101+M102+M103</f>
      </c>
      <c r="N104" s="25">
        <f>N100+N101+N102+N103</f>
      </c>
      <c r="O104" s="25">
        <f>O100+O101+O102+O103</f>
      </c>
      <c r="P104" s="25">
        <f>P100+P101+P102+P103</f>
      </c>
      <c r="Q104" s="25">
        <f>Q100+Q101+Q102+Q103</f>
      </c>
      <c r="R104" s="25">
        <f>R100+R101+R102+R103</f>
      </c>
      <c r="S104" s="25">
        <f>S100+S101+S102+S103</f>
      </c>
      <c r="T104" s="25">
        <f>T100+T101+T102+T103</f>
      </c>
      <c r="U104" s="25">
        <f>U100+U101+U102+U103</f>
      </c>
      <c r="V104" s="25">
        <f>V100+V101+V102+V103</f>
      </c>
      <c r="W104" s="25">
        <f>W100+W101+W102+W103</f>
      </c>
      <c r="X104" s="25">
        <f>X100+X101+X102+X103</f>
      </c>
      <c r="Y104" s="25">
        <f>Y100+Y101+Y102+Y103</f>
      </c>
      <c r="Z104" s="25">
        <f>Z100+Z101+Z102+Z103</f>
      </c>
      <c r="AA104" s="25">
        <f>AA100+AA101+AA102+AA103</f>
      </c>
      <c r="AB104" s="25">
        <f>AB100+AB101+AB102+AB103</f>
      </c>
      <c r="AC104" s="25">
        <f>AC100+AC101+AC102+AC103</f>
      </c>
      <c r="AD104" s="25">
        <f>AD100+AD101+AD102+AD103</f>
      </c>
      <c r="AE104" s="25">
        <f>AE100+AE101+AE102+AE103</f>
      </c>
      <c r="AF104" s="25">
        <f>AF100+AF101+AF102+AF103</f>
      </c>
      <c r="AG104" s="25">
        <f>AG100+AG101+AG102+AG103</f>
      </c>
      <c r="AH104" s="25">
        <f>AH100+AH101+AH102+AH103</f>
      </c>
      <c r="AI104" s="25">
        <f>AI100+AI101+AI102+AI103</f>
      </c>
      <c r="AJ104" s="25">
        <f>AJ100+AJ101+AJ102+AJ103</f>
      </c>
      <c r="AK10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0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825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886</v>
      </c>
      <c r="K8" s="44" t="s">
        <v>887</v>
      </c>
      <c r="L8" s="44" t="s">
        <v>888</v>
      </c>
      <c r="M8" s="44" t="s">
        <v>889</v>
      </c>
      <c r="N8" s="44" t="s">
        <v>890</v>
      </c>
      <c r="O8" s="44" t="s">
        <v>891</v>
      </c>
      <c r="P8" s="44" t="s">
        <v>892</v>
      </c>
      <c r="Q8" s="44" t="s">
        <v>893</v>
      </c>
      <c r="R8" s="44" t="s">
        <v>894</v>
      </c>
      <c r="S8" s="44" t="s">
        <v>895</v>
      </c>
      <c r="T8" s="44" t="s">
        <v>896</v>
      </c>
      <c r="U8" s="44" t="s">
        <v>897</v>
      </c>
      <c r="V8" s="44" t="s">
        <v>206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825</v>
      </c>
      <c r="D14" s="50" t="s">
        <v>42</v>
      </c>
      <c r="E14" s="32" t="s">
        <v>3</v>
      </c>
      <c r="F14" s="32" t="s">
        <v>826</v>
      </c>
      <c r="G14" s="32"/>
      <c r="H14" s="32"/>
      <c r="I14" s="32"/>
      <c r="J14" s="33">
        <v>33.51</v>
      </c>
      <c r="K14" s="33">
        <v>85.33</v>
      </c>
      <c r="L14" s="33">
        <v>74.81</v>
      </c>
      <c r="M14" s="33">
        <v>59.95</v>
      </c>
      <c r="N14" s="33">
        <v>30.8</v>
      </c>
      <c r="O14" s="33">
        <v>30.8</v>
      </c>
      <c r="P14" s="33">
        <v>30.8</v>
      </c>
      <c r="Q14" s="33">
        <v>30.8</v>
      </c>
      <c r="R14" s="33">
        <v>30.8</v>
      </c>
      <c r="S14" s="33">
        <v>30.8</v>
      </c>
      <c r="T14" s="33">
        <v>48.59</v>
      </c>
      <c r="U14" s="33">
        <v>86.44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825</v>
      </c>
      <c r="D15" s="50" t="s">
        <v>42</v>
      </c>
      <c r="E15" s="32" t="s">
        <v>3</v>
      </c>
      <c r="F15" s="32" t="s">
        <v>827</v>
      </c>
      <c r="G15" s="32"/>
      <c r="H15" s="32"/>
      <c r="I15" s="32"/>
      <c r="J15" s="33">
        <v>60.3</v>
      </c>
      <c r="K15" s="33">
        <v>88.04</v>
      </c>
      <c r="L15" s="33">
        <v>68.32</v>
      </c>
      <c r="M15" s="33">
        <v>37.99</v>
      </c>
      <c r="N15" s="33">
        <v>30.8</v>
      </c>
      <c r="O15" s="33">
        <v>30.8</v>
      </c>
      <c r="P15" s="33">
        <v>30.8</v>
      </c>
      <c r="Q15" s="33">
        <v>30.8</v>
      </c>
      <c r="R15" s="33">
        <v>30.8</v>
      </c>
      <c r="S15" s="33">
        <v>30.8</v>
      </c>
      <c r="T15" s="33">
        <v>30.8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825</v>
      </c>
      <c r="D16" s="50" t="s">
        <v>42</v>
      </c>
      <c r="E16" s="32" t="s">
        <v>3</v>
      </c>
      <c r="F16" s="32" t="s">
        <v>828</v>
      </c>
      <c r="G16" s="32"/>
      <c r="H16" s="32"/>
      <c r="I16" s="32"/>
      <c r="J16" s="33">
        <v>606.82</v>
      </c>
      <c r="K16" s="33">
        <v>527.39</v>
      </c>
      <c r="L16" s="33">
        <v>542.82</v>
      </c>
      <c r="M16" s="33">
        <v>533.84</v>
      </c>
      <c r="N16" s="33">
        <v>493.97</v>
      </c>
      <c r="O16" s="33">
        <v>644.51</v>
      </c>
      <c r="P16" s="33">
        <v>595.89</v>
      </c>
      <c r="Q16" s="33">
        <v>591.11</v>
      </c>
      <c r="R16" s="33">
        <v>616.48</v>
      </c>
      <c r="S16" s="33">
        <f>505.36+816.16</f>
        <v>1321.52</v>
      </c>
      <c r="T16" s="32"/>
      <c r="U16" s="33">
        <v>383.32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825</v>
      </c>
      <c r="D17" s="50" t="s">
        <v>42</v>
      </c>
      <c r="E17" s="32" t="s">
        <v>3</v>
      </c>
      <c r="F17" s="32" t="s">
        <v>829</v>
      </c>
      <c r="G17" s="32"/>
      <c r="H17" s="32"/>
      <c r="I17" s="32"/>
      <c r="J17" s="33">
        <v>40.97</v>
      </c>
      <c r="K17" s="33">
        <v>135.09</v>
      </c>
      <c r="L17" s="33">
        <v>103.09</v>
      </c>
      <c r="M17" s="33">
        <v>67.6</v>
      </c>
      <c r="N17" s="33">
        <v>30.8</v>
      </c>
      <c r="O17" s="33">
        <v>30.8</v>
      </c>
      <c r="P17" s="33">
        <v>30.8</v>
      </c>
      <c r="Q17" s="33">
        <v>30.8</v>
      </c>
      <c r="R17" s="33">
        <v>30.8</v>
      </c>
      <c r="S17" s="33">
        <v>30.8</v>
      </c>
      <c r="T17" s="33">
        <v>30.8</v>
      </c>
      <c r="U17" s="33">
        <v>30.8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825</v>
      </c>
      <c r="D18" s="50" t="s">
        <v>42</v>
      </c>
      <c r="E18" s="32" t="s">
        <v>3</v>
      </c>
      <c r="F18" s="32" t="s">
        <v>830</v>
      </c>
      <c r="G18" s="32"/>
      <c r="H18" s="32"/>
      <c r="I18" s="32"/>
      <c r="J18" s="33">
        <v>248.09</v>
      </c>
      <c r="K18" s="33">
        <v>184.8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825</v>
      </c>
      <c r="D19" s="50" t="s">
        <v>42</v>
      </c>
      <c r="E19" s="32" t="s">
        <v>3</v>
      </c>
      <c r="F19" s="32" t="s">
        <v>831</v>
      </c>
      <c r="G19" s="32"/>
      <c r="H19" s="32"/>
      <c r="I19" s="32"/>
      <c r="J19" s="33">
        <v>30.79</v>
      </c>
      <c r="K19" s="33">
        <v>30.79</v>
      </c>
      <c r="L19" s="33">
        <v>30.79</v>
      </c>
      <c r="M19" s="33">
        <v>30.8</v>
      </c>
      <c r="N19" s="33">
        <v>30.8</v>
      </c>
      <c r="O19" s="33">
        <v>30.8</v>
      </c>
      <c r="P19" s="33">
        <v>45.93</v>
      </c>
      <c r="Q19" s="33">
        <v>53.84</v>
      </c>
      <c r="R19" s="33">
        <v>49.99</v>
      </c>
      <c r="S19" s="33">
        <v>39.94</v>
      </c>
      <c r="T19" s="33">
        <v>34.15</v>
      </c>
      <c r="U19" s="33">
        <v>30.8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825</v>
      </c>
      <c r="D20" s="50" t="s">
        <v>42</v>
      </c>
      <c r="E20" s="32" t="s">
        <v>3</v>
      </c>
      <c r="F20" s="32" t="s">
        <v>832</v>
      </c>
      <c r="G20" s="32"/>
      <c r="H20" s="32"/>
      <c r="I20" s="32"/>
      <c r="J20" s="33">
        <v>126.06</v>
      </c>
      <c r="K20" s="33">
        <v>142.39</v>
      </c>
      <c r="L20" s="33">
        <v>97.78</v>
      </c>
      <c r="M20" s="33">
        <v>69.21</v>
      </c>
      <c r="N20" s="33">
        <v>51.24</v>
      </c>
      <c r="O20" s="33">
        <v>30.8</v>
      </c>
      <c r="P20" s="33">
        <v>30.8</v>
      </c>
      <c r="Q20" s="33">
        <v>30.8</v>
      </c>
      <c r="R20" s="33">
        <v>30.8</v>
      </c>
      <c r="S20" s="33">
        <v>30.8</v>
      </c>
      <c r="T20" s="33">
        <v>30.8</v>
      </c>
      <c r="U20" s="33">
        <v>62.35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825</v>
      </c>
      <c r="D21" s="50" t="s">
        <v>42</v>
      </c>
      <c r="E21" s="32" t="s">
        <v>3</v>
      </c>
      <c r="F21" s="32" t="s">
        <v>833</v>
      </c>
      <c r="G21" s="32"/>
      <c r="H21" s="32"/>
      <c r="I21" s="32"/>
      <c r="J21" s="33">
        <v>109.75</v>
      </c>
      <c r="K21" s="33">
        <v>163.63</v>
      </c>
      <c r="L21" s="33">
        <v>134.33</v>
      </c>
      <c r="M21" s="33">
        <v>147.93</v>
      </c>
      <c r="N21" s="33">
        <v>30.8</v>
      </c>
      <c r="O21" s="33">
        <v>30.8</v>
      </c>
      <c r="P21" s="33">
        <v>30.8</v>
      </c>
      <c r="Q21" s="33">
        <v>30.8</v>
      </c>
      <c r="R21" s="33">
        <v>30.8</v>
      </c>
      <c r="S21" s="33">
        <v>30.8</v>
      </c>
      <c r="T21" s="33">
        <v>30.8</v>
      </c>
      <c r="U21" s="33">
        <v>30.8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825</v>
      </c>
      <c r="D22" s="50" t="s">
        <v>42</v>
      </c>
      <c r="E22" s="32" t="s">
        <v>3</v>
      </c>
      <c r="F22" s="32" t="s">
        <v>834</v>
      </c>
      <c r="G22" s="32"/>
      <c r="H22" s="32"/>
      <c r="I22" s="32"/>
      <c r="J22" s="33">
        <v>262.53</v>
      </c>
      <c r="K22" s="33">
        <v>270.77</v>
      </c>
      <c r="L22" s="33">
        <v>243.94</v>
      </c>
      <c r="M22" s="33">
        <v>345.01</v>
      </c>
      <c r="N22" s="33">
        <v>309.26</v>
      </c>
      <c r="O22" s="33">
        <v>401.36</v>
      </c>
      <c r="P22" s="33">
        <v>252.77</v>
      </c>
      <c r="Q22" s="33">
        <v>184.06</v>
      </c>
      <c r="R22" s="33">
        <v>207.72</v>
      </c>
      <c r="S22" s="33">
        <f>170.66+284.53</f>
        <v>455.18999999999994</v>
      </c>
      <c r="T22" s="32"/>
      <c r="U22" s="33">
        <v>68.26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825</v>
      </c>
      <c r="D23" s="50" t="s">
        <v>42</v>
      </c>
      <c r="E23" s="32" t="s">
        <v>3</v>
      </c>
      <c r="F23" s="32" t="s">
        <v>835</v>
      </c>
      <c r="G23" s="32"/>
      <c r="H23" s="32"/>
      <c r="I23" s="32"/>
      <c r="J23" s="33">
        <v>109.12</v>
      </c>
      <c r="K23" s="33">
        <v>112.44</v>
      </c>
      <c r="L23" s="33">
        <v>30.79</v>
      </c>
      <c r="M23" s="33">
        <v>30.8</v>
      </c>
      <c r="N23" s="33">
        <v>30.8</v>
      </c>
      <c r="O23" s="33">
        <v>30.8</v>
      </c>
      <c r="P23" s="33">
        <v>30.8</v>
      </c>
      <c r="Q23" s="33">
        <v>30.8</v>
      </c>
      <c r="R23" s="33">
        <v>30.8</v>
      </c>
      <c r="S23" s="33">
        <v>30.8</v>
      </c>
      <c r="T23" s="33">
        <v>30.8</v>
      </c>
      <c r="U23" s="33">
        <v>30.8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825</v>
      </c>
      <c r="D24" s="50" t="s">
        <v>42</v>
      </c>
      <c r="E24" s="32" t="s">
        <v>3</v>
      </c>
      <c r="F24" s="32" t="s">
        <v>836</v>
      </c>
      <c r="G24" s="32"/>
      <c r="H24" s="32"/>
      <c r="I24" s="32"/>
      <c r="J24" s="33">
        <v>435.92</v>
      </c>
      <c r="K24" s="33">
        <v>378.21</v>
      </c>
      <c r="L24" s="33">
        <v>393.53</v>
      </c>
      <c r="M24" s="33">
        <v>349.79</v>
      </c>
      <c r="N24" s="33">
        <v>305.16</v>
      </c>
      <c r="O24" s="33">
        <v>315.07</v>
      </c>
      <c r="P24" s="33">
        <v>277.8</v>
      </c>
      <c r="Q24" s="33">
        <v>304.76</v>
      </c>
      <c r="R24" s="33">
        <v>297.32</v>
      </c>
      <c r="S24" s="33">
        <f>168.30+196.33</f>
        <v>364.63</v>
      </c>
      <c r="T24" s="32"/>
      <c r="U24" s="33">
        <v>70.78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825</v>
      </c>
      <c r="D25" s="50" t="s">
        <v>42</v>
      </c>
      <c r="E25" s="32" t="s">
        <v>3</v>
      </c>
      <c r="F25" s="32" t="s">
        <v>837</v>
      </c>
      <c r="G25" s="32"/>
      <c r="H25" s="32"/>
      <c r="I25" s="32"/>
      <c r="J25" s="33">
        <v>57.13</v>
      </c>
      <c r="K25" s="33">
        <v>127.5</v>
      </c>
      <c r="L25" s="33">
        <v>68.63</v>
      </c>
      <c r="M25" s="33">
        <v>91.63</v>
      </c>
      <c r="N25" s="33">
        <v>91.18</v>
      </c>
      <c r="O25" s="33">
        <v>30.8</v>
      </c>
      <c r="P25" s="33">
        <v>30.8</v>
      </c>
      <c r="Q25" s="33">
        <v>30.8</v>
      </c>
      <c r="R25" s="33">
        <v>30.8</v>
      </c>
      <c r="S25" s="33">
        <v>30.8</v>
      </c>
      <c r="T25" s="33">
        <v>30.8</v>
      </c>
      <c r="U25" s="33">
        <v>30.8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825</v>
      </c>
      <c r="D26" s="50" t="s">
        <v>42</v>
      </c>
      <c r="E26" s="32" t="s">
        <v>3</v>
      </c>
      <c r="F26" s="32" t="s">
        <v>838</v>
      </c>
      <c r="G26" s="32"/>
      <c r="H26" s="32"/>
      <c r="I26" s="32"/>
      <c r="J26" s="33">
        <v>30.79</v>
      </c>
      <c r="K26" s="33">
        <v>30.79</v>
      </c>
      <c r="L26" s="33">
        <v>30.79</v>
      </c>
      <c r="M26" s="33">
        <v>30.8</v>
      </c>
      <c r="N26" s="33">
        <v>30.8</v>
      </c>
      <c r="O26" s="33">
        <v>30.8</v>
      </c>
      <c r="P26" s="33">
        <v>30.8</v>
      </c>
      <c r="Q26" s="33">
        <v>30.8</v>
      </c>
      <c r="R26" s="33">
        <v>88.8</v>
      </c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825</v>
      </c>
      <c r="D27" s="50" t="s">
        <v>42</v>
      </c>
      <c r="E27" s="32" t="s">
        <v>3</v>
      </c>
      <c r="F27" s="32" t="s">
        <v>839</v>
      </c>
      <c r="G27" s="32"/>
      <c r="H27" s="32"/>
      <c r="I27" s="32"/>
      <c r="J27" s="33">
        <v>59.61</v>
      </c>
      <c r="K27" s="33">
        <v>56.33</v>
      </c>
      <c r="L27" s="33">
        <v>58.77</v>
      </c>
      <c r="M27" s="33">
        <v>67.84</v>
      </c>
      <c r="N27" s="33">
        <v>73.78</v>
      </c>
      <c r="O27" s="33">
        <v>88.55</v>
      </c>
      <c r="P27" s="33">
        <v>71.61</v>
      </c>
      <c r="Q27" s="33">
        <v>94.25</v>
      </c>
      <c r="R27" s="33">
        <v>82.04</v>
      </c>
      <c r="S27" s="33">
        <v>73.01</v>
      </c>
      <c r="T27" s="33">
        <v>52.28</v>
      </c>
      <c r="U27" s="33">
        <v>54.46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825</v>
      </c>
      <c r="D28" s="50" t="s">
        <v>42</v>
      </c>
      <c r="E28" s="32" t="s">
        <v>3</v>
      </c>
      <c r="F28" s="32" t="s">
        <v>840</v>
      </c>
      <c r="G28" s="32"/>
      <c r="H28" s="32"/>
      <c r="I28" s="32"/>
      <c r="J28" s="33">
        <v>30.79</v>
      </c>
      <c r="K28" s="33">
        <v>30.79</v>
      </c>
      <c r="L28" s="33">
        <v>106.36</v>
      </c>
      <c r="M28" s="33">
        <v>30.8</v>
      </c>
      <c r="N28" s="33">
        <v>30.8</v>
      </c>
      <c r="O28" s="33">
        <v>30.8</v>
      </c>
      <c r="P28" s="33">
        <v>30.8</v>
      </c>
      <c r="Q28" s="33">
        <v>30.8</v>
      </c>
      <c r="R28" s="33">
        <v>30.8</v>
      </c>
      <c r="S28" s="33">
        <v>30.8</v>
      </c>
      <c r="T28" s="33">
        <v>30.8</v>
      </c>
      <c r="U28" s="33">
        <v>30.8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825</v>
      </c>
      <c r="D29" s="50" t="s">
        <v>42</v>
      </c>
      <c r="E29" s="32" t="s">
        <v>3</v>
      </c>
      <c r="F29" s="32" t="s">
        <v>841</v>
      </c>
      <c r="G29" s="32"/>
      <c r="H29" s="32"/>
      <c r="I29" s="32"/>
      <c r="J29" s="33">
        <v>441.5</v>
      </c>
      <c r="K29" s="33">
        <v>412.83</v>
      </c>
      <c r="L29" s="33">
        <v>381.62</v>
      </c>
      <c r="M29" s="33">
        <v>396.95</v>
      </c>
      <c r="N29" s="33">
        <v>396.03</v>
      </c>
      <c r="O29" s="33">
        <v>387.48</v>
      </c>
      <c r="P29" s="33">
        <v>376.01</v>
      </c>
      <c r="Q29" s="33">
        <v>356.5</v>
      </c>
      <c r="R29" s="33">
        <v>366.28</v>
      </c>
      <c r="S29" s="33">
        <v>242.49</v>
      </c>
      <c r="T29" s="33">
        <v>228</v>
      </c>
      <c r="U29" s="33">
        <v>249.15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825</v>
      </c>
      <c r="D30" s="50" t="s">
        <v>42</v>
      </c>
      <c r="E30" s="32" t="s">
        <v>3</v>
      </c>
      <c r="F30" s="32" t="s">
        <v>842</v>
      </c>
      <c r="G30" s="32"/>
      <c r="H30" s="32"/>
      <c r="I30" s="32"/>
      <c r="J30" s="33">
        <v>30.79</v>
      </c>
      <c r="K30" s="33">
        <v>30.79</v>
      </c>
      <c r="L30" s="33">
        <v>30.79</v>
      </c>
      <c r="M30" s="33">
        <v>30.8</v>
      </c>
      <c r="N30" s="33">
        <v>30.8</v>
      </c>
      <c r="O30" s="33">
        <v>30.8</v>
      </c>
      <c r="P30" s="33">
        <v>35.17</v>
      </c>
      <c r="Q30" s="33">
        <v>44.36</v>
      </c>
      <c r="R30" s="33">
        <v>49.41</v>
      </c>
      <c r="S30" s="33">
        <v>38.24</v>
      </c>
      <c r="T30" s="33">
        <v>30.8</v>
      </c>
      <c r="U30" s="33">
        <v>30.8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825</v>
      </c>
      <c r="D31" s="50" t="s">
        <v>42</v>
      </c>
      <c r="E31" s="32" t="s">
        <v>3</v>
      </c>
      <c r="F31" s="32" t="s">
        <v>843</v>
      </c>
      <c r="G31" s="33">
        <f>0.00+0.00+0.00+0.00+0.00+0.00+0.00+0.00+0.00+0.00+0.00+0.00</f>
        <v>0</v>
      </c>
      <c r="H31" s="32"/>
      <c r="I31" s="32"/>
      <c r="J31" s="33">
        <v>530.78</v>
      </c>
      <c r="K31" s="33">
        <v>530.78</v>
      </c>
      <c r="L31" s="33">
        <v>530.72</v>
      </c>
      <c r="M31" s="33">
        <v>530.79</v>
      </c>
      <c r="N31" s="33">
        <v>530.79</v>
      </c>
      <c r="O31" s="33">
        <v>523.79</v>
      </c>
      <c r="P31" s="33">
        <v>523.79</v>
      </c>
      <c r="Q31" s="33">
        <v>523.79</v>
      </c>
      <c r="R31" s="33">
        <v>523.85</v>
      </c>
      <c r="S31" s="33">
        <v>523.85</v>
      </c>
      <c r="T31" s="33">
        <v>523.85</v>
      </c>
      <c r="U31" s="33">
        <v>523.85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825</v>
      </c>
      <c r="D32" s="50" t="s">
        <v>42</v>
      </c>
      <c r="E32" s="32" t="s">
        <v>3</v>
      </c>
      <c r="F32" s="32" t="s">
        <v>844</v>
      </c>
      <c r="G32" s="32"/>
      <c r="H32" s="32"/>
      <c r="I32" s="32"/>
      <c r="J32" s="33">
        <v>35.42</v>
      </c>
      <c r="K32" s="33">
        <v>61.25</v>
      </c>
      <c r="L32" s="33">
        <v>55.66</v>
      </c>
      <c r="M32" s="33">
        <v>74.52</v>
      </c>
      <c r="N32" s="33">
        <v>30.8</v>
      </c>
      <c r="O32" s="33">
        <v>30.8</v>
      </c>
      <c r="P32" s="33">
        <v>30.8</v>
      </c>
      <c r="Q32" s="33">
        <v>30.8</v>
      </c>
      <c r="R32" s="33">
        <v>30.8</v>
      </c>
      <c r="S32" s="33">
        <v>30.8</v>
      </c>
      <c r="T32" s="33">
        <v>30.8</v>
      </c>
      <c r="U32" s="33">
        <v>30.8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825</v>
      </c>
      <c r="D33" s="50" t="s">
        <v>42</v>
      </c>
      <c r="E33" s="32" t="s">
        <v>3</v>
      </c>
      <c r="F33" s="32" t="s">
        <v>845</v>
      </c>
      <c r="G33" s="32"/>
      <c r="H33" s="32"/>
      <c r="I33" s="32"/>
      <c r="J33" s="33">
        <v>30.79</v>
      </c>
      <c r="K33" s="33">
        <v>30.79</v>
      </c>
      <c r="L33" s="33">
        <v>81.73</v>
      </c>
      <c r="M33" s="33">
        <v>30.8</v>
      </c>
      <c r="N33" s="33">
        <v>30.8</v>
      </c>
      <c r="O33" s="33">
        <v>30.8</v>
      </c>
      <c r="P33" s="33">
        <v>30.8</v>
      </c>
      <c r="Q33" s="33">
        <v>30.8</v>
      </c>
      <c r="R33" s="33">
        <v>30.8</v>
      </c>
      <c r="S33" s="33">
        <v>30.8</v>
      </c>
      <c r="T33" s="33">
        <v>30.8</v>
      </c>
      <c r="U33" s="33">
        <v>30.8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825</v>
      </c>
      <c r="D34" s="50" t="s">
        <v>42</v>
      </c>
      <c r="E34" s="32" t="s">
        <v>3</v>
      </c>
      <c r="F34" s="32" t="s">
        <v>846</v>
      </c>
      <c r="G34" s="32"/>
      <c r="H34" s="32"/>
      <c r="I34" s="32"/>
      <c r="J34" s="33">
        <v>30.79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825</v>
      </c>
      <c r="D35" s="50" t="s">
        <v>42</v>
      </c>
      <c r="E35" s="32" t="s">
        <v>3</v>
      </c>
      <c r="F35" s="32" t="s">
        <v>847</v>
      </c>
      <c r="G35" s="32"/>
      <c r="H35" s="32"/>
      <c r="I35" s="32"/>
      <c r="J35" s="32"/>
      <c r="K35" s="33">
        <v>270.5</v>
      </c>
      <c r="L35" s="33">
        <v>177.5</v>
      </c>
      <c r="M35" s="33">
        <v>69.97</v>
      </c>
      <c r="N35" s="33">
        <v>30.8</v>
      </c>
      <c r="O35" s="33">
        <v>30.8</v>
      </c>
      <c r="P35" s="33">
        <v>30.8</v>
      </c>
      <c r="Q35" s="33">
        <v>30.8</v>
      </c>
      <c r="R35" s="33">
        <v>30.8</v>
      </c>
      <c r="S35" s="33">
        <v>30.8</v>
      </c>
      <c r="T35" s="33">
        <v>30.8</v>
      </c>
      <c r="U35" s="33">
        <v>30.8</v>
      </c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825</v>
      </c>
      <c r="D36" s="50" t="s">
        <v>42</v>
      </c>
      <c r="E36" s="32" t="s">
        <v>3</v>
      </c>
      <c r="F36" s="32" t="s">
        <v>848</v>
      </c>
      <c r="G36" s="32"/>
      <c r="H36" s="32"/>
      <c r="I36" s="32"/>
      <c r="J36" s="33">
        <v>30.79</v>
      </c>
      <c r="K36" s="33">
        <v>101.51</v>
      </c>
      <c r="L36" s="33">
        <v>47.56</v>
      </c>
      <c r="M36" s="33">
        <v>30.8</v>
      </c>
      <c r="N36" s="33">
        <v>30.8</v>
      </c>
      <c r="O36" s="33">
        <v>30.8</v>
      </c>
      <c r="P36" s="33">
        <v>30.8</v>
      </c>
      <c r="Q36" s="33">
        <v>30.8</v>
      </c>
      <c r="R36" s="33">
        <v>30.8</v>
      </c>
      <c r="S36" s="33">
        <v>30.8</v>
      </c>
      <c r="T36" s="33">
        <v>30.8</v>
      </c>
      <c r="U36" s="33">
        <v>30.8</v>
      </c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825</v>
      </c>
      <c r="D37" s="50" t="s">
        <v>42</v>
      </c>
      <c r="E37" s="32" t="s">
        <v>3</v>
      </c>
      <c r="F37" s="32" t="s">
        <v>849</v>
      </c>
      <c r="G37" s="32"/>
      <c r="H37" s="32"/>
      <c r="I37" s="32"/>
      <c r="J37" s="33">
        <v>61.88</v>
      </c>
      <c r="K37" s="33">
        <v>105.94</v>
      </c>
      <c r="L37" s="33">
        <v>100.15</v>
      </c>
      <c r="M37" s="33">
        <v>72.92</v>
      </c>
      <c r="N37" s="33">
        <v>30.8</v>
      </c>
      <c r="O37" s="33">
        <v>30.8</v>
      </c>
      <c r="P37" s="33">
        <v>30.8</v>
      </c>
      <c r="Q37" s="33">
        <v>30.8</v>
      </c>
      <c r="R37" s="33">
        <v>30.8</v>
      </c>
      <c r="S37" s="33">
        <v>30.8</v>
      </c>
      <c r="T37" s="33">
        <v>30.8</v>
      </c>
      <c r="U37" s="33">
        <v>30.8</v>
      </c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825</v>
      </c>
      <c r="D38" s="50" t="s">
        <v>42</v>
      </c>
      <c r="E38" s="32" t="s">
        <v>3</v>
      </c>
      <c r="F38" s="32" t="s">
        <v>850</v>
      </c>
      <c r="G38" s="32"/>
      <c r="H38" s="32"/>
      <c r="I38" s="32"/>
      <c r="J38" s="33">
        <v>313.08</v>
      </c>
      <c r="K38" s="33">
        <v>341.92</v>
      </c>
      <c r="L38" s="33">
        <v>285.05</v>
      </c>
      <c r="M38" s="33">
        <v>251.91</v>
      </c>
      <c r="N38" s="33">
        <v>312.4</v>
      </c>
      <c r="O38" s="33">
        <v>308.75</v>
      </c>
      <c r="P38" s="33">
        <v>105.74</v>
      </c>
      <c r="Q38" s="33">
        <v>118.32</v>
      </c>
      <c r="R38" s="33">
        <v>127.16</v>
      </c>
      <c r="S38" s="33">
        <v>108.08</v>
      </c>
      <c r="T38" s="33">
        <v>65.97</v>
      </c>
      <c r="U38" s="33">
        <v>44.66</v>
      </c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825</v>
      </c>
      <c r="D39" s="50" t="s">
        <v>42</v>
      </c>
      <c r="E39" s="32" t="s">
        <v>3</v>
      </c>
      <c r="F39" s="32" t="s">
        <v>851</v>
      </c>
      <c r="G39" s="32"/>
      <c r="H39" s="32"/>
      <c r="I39" s="32"/>
      <c r="J39" s="33">
        <v>30.79</v>
      </c>
      <c r="K39" s="33">
        <v>30.79</v>
      </c>
      <c r="L39" s="33">
        <v>30.79</v>
      </c>
      <c r="M39" s="33">
        <v>30.8</v>
      </c>
      <c r="N39" s="33">
        <v>30.8</v>
      </c>
      <c r="O39" s="33">
        <v>30.8</v>
      </c>
      <c r="P39" s="33">
        <v>30.8</v>
      </c>
      <c r="Q39" s="33">
        <v>30.8</v>
      </c>
      <c r="R39" s="33">
        <v>30.8</v>
      </c>
      <c r="S39" s="33">
        <v>30.8</v>
      </c>
      <c r="T39" s="33">
        <v>30.8</v>
      </c>
      <c r="U39" s="33">
        <v>30.8</v>
      </c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825</v>
      </c>
      <c r="D40" s="50" t="s">
        <v>42</v>
      </c>
      <c r="E40" s="32" t="s">
        <v>3</v>
      </c>
      <c r="F40" s="32" t="s">
        <v>852</v>
      </c>
      <c r="G40" s="32"/>
      <c r="H40" s="32"/>
      <c r="I40" s="32"/>
      <c r="J40" s="33">
        <v>30.79</v>
      </c>
      <c r="K40" s="33">
        <v>119.89</v>
      </c>
      <c r="L40" s="33">
        <v>94.28</v>
      </c>
      <c r="M40" s="33">
        <v>30.8</v>
      </c>
      <c r="N40" s="33">
        <v>30.8</v>
      </c>
      <c r="O40" s="33">
        <v>30.8</v>
      </c>
      <c r="P40" s="33">
        <v>30.8</v>
      </c>
      <c r="Q40" s="33">
        <v>30.8</v>
      </c>
      <c r="R40" s="33">
        <v>30.8</v>
      </c>
      <c r="S40" s="33">
        <v>30.8</v>
      </c>
      <c r="T40" s="33">
        <v>30.8</v>
      </c>
      <c r="U40" s="33">
        <v>83.39</v>
      </c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825</v>
      </c>
      <c r="D41" s="50" t="s">
        <v>42</v>
      </c>
      <c r="E41" s="32" t="s">
        <v>3</v>
      </c>
      <c r="F41" s="32" t="s">
        <v>853</v>
      </c>
      <c r="G41" s="32"/>
      <c r="H41" s="32"/>
      <c r="I41" s="32"/>
      <c r="J41" s="33">
        <v>30.79</v>
      </c>
      <c r="K41" s="33">
        <v>135.72</v>
      </c>
      <c r="L41" s="33">
        <v>129.9</v>
      </c>
      <c r="M41" s="33">
        <v>122.11</v>
      </c>
      <c r="N41" s="33">
        <v>49.63</v>
      </c>
      <c r="O41" s="33">
        <v>30.8</v>
      </c>
      <c r="P41" s="33">
        <v>30.8</v>
      </c>
      <c r="Q41" s="33">
        <v>30.8</v>
      </c>
      <c r="R41" s="33">
        <v>30.8</v>
      </c>
      <c r="S41" s="33">
        <v>30.8</v>
      </c>
      <c r="T41" s="33">
        <v>30.8</v>
      </c>
      <c r="U41" s="33">
        <v>30.8</v>
      </c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825</v>
      </c>
      <c r="D42" s="50" t="s">
        <v>42</v>
      </c>
      <c r="E42" s="32" t="s">
        <v>3</v>
      </c>
      <c r="F42" s="32" t="s">
        <v>854</v>
      </c>
      <c r="G42" s="32"/>
      <c r="H42" s="32"/>
      <c r="I42" s="32"/>
      <c r="J42" s="33">
        <v>30.79</v>
      </c>
      <c r="K42" s="33">
        <v>30.79</v>
      </c>
      <c r="L42" s="33">
        <v>58.62</v>
      </c>
      <c r="M42" s="33">
        <v>30.8</v>
      </c>
      <c r="N42" s="33">
        <v>30.8</v>
      </c>
      <c r="O42" s="33">
        <v>30.8</v>
      </c>
      <c r="P42" s="33">
        <v>30.8</v>
      </c>
      <c r="Q42" s="33">
        <v>30.8</v>
      </c>
      <c r="R42" s="33">
        <v>30.8</v>
      </c>
      <c r="S42" s="33">
        <v>30.8</v>
      </c>
      <c r="T42" s="33">
        <v>72.17</v>
      </c>
      <c r="U42" s="33">
        <v>30.8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825</v>
      </c>
      <c r="D43" s="50" t="s">
        <v>42</v>
      </c>
      <c r="E43" s="32" t="s">
        <v>3</v>
      </c>
      <c r="F43" s="32" t="s">
        <v>855</v>
      </c>
      <c r="G43" s="32"/>
      <c r="H43" s="32"/>
      <c r="I43" s="32"/>
      <c r="J43" s="33">
        <v>100.19</v>
      </c>
      <c r="K43" s="33">
        <v>181.43</v>
      </c>
      <c r="L43" s="33">
        <v>158.97</v>
      </c>
      <c r="M43" s="33">
        <v>139.02</v>
      </c>
      <c r="N43" s="33">
        <v>95.54</v>
      </c>
      <c r="O43" s="33">
        <v>90.45</v>
      </c>
      <c r="P43" s="33">
        <v>81.58</v>
      </c>
      <c r="Q43" s="33">
        <v>90.77</v>
      </c>
      <c r="R43" s="33">
        <v>86.44</v>
      </c>
      <c r="S43" s="33">
        <v>83.3</v>
      </c>
      <c r="T43" s="33">
        <v>67.62</v>
      </c>
      <c r="U43" s="33">
        <v>63.98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825</v>
      </c>
      <c r="D44" s="50" t="s">
        <v>42</v>
      </c>
      <c r="E44" s="32" t="s">
        <v>3</v>
      </c>
      <c r="F44" s="32" t="s">
        <v>856</v>
      </c>
      <c r="G44" s="32"/>
      <c r="H44" s="32"/>
      <c r="I44" s="32"/>
      <c r="J44" s="33">
        <v>30.79</v>
      </c>
      <c r="K44" s="33">
        <v>30.79</v>
      </c>
      <c r="L44" s="33">
        <v>83.06</v>
      </c>
      <c r="M44" s="33">
        <v>30.8</v>
      </c>
      <c r="N44" s="33">
        <v>30.8</v>
      </c>
      <c r="O44" s="33">
        <v>30.8</v>
      </c>
      <c r="P44" s="33">
        <v>30.8</v>
      </c>
      <c r="Q44" s="33">
        <v>30.8</v>
      </c>
      <c r="R44" s="33">
        <v>30.8</v>
      </c>
      <c r="S44" s="33">
        <v>30.8</v>
      </c>
      <c r="T44" s="33">
        <v>30.8</v>
      </c>
      <c r="U44" s="33">
        <v>30.8</v>
      </c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825</v>
      </c>
      <c r="D45" s="50" t="s">
        <v>42</v>
      </c>
      <c r="E45" s="32" t="s">
        <v>3</v>
      </c>
      <c r="F45" s="32" t="s">
        <v>857</v>
      </c>
      <c r="G45" s="32"/>
      <c r="H45" s="32"/>
      <c r="I45" s="32"/>
      <c r="J45" s="33">
        <v>30.79</v>
      </c>
      <c r="K45" s="33">
        <v>84.71</v>
      </c>
      <c r="L45" s="33">
        <v>78.35</v>
      </c>
      <c r="M45" s="33">
        <v>30.8</v>
      </c>
      <c r="N45" s="33">
        <v>30.8</v>
      </c>
      <c r="O45" s="33">
        <v>30.8</v>
      </c>
      <c r="P45" s="33">
        <v>30.8</v>
      </c>
      <c r="Q45" s="33">
        <v>30.8</v>
      </c>
      <c r="R45" s="33">
        <v>30.8</v>
      </c>
      <c r="S45" s="33">
        <v>30.8</v>
      </c>
      <c r="T45" s="33">
        <v>30.8</v>
      </c>
      <c r="U45" s="33">
        <v>30.8</v>
      </c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825</v>
      </c>
      <c r="D46" s="50" t="s">
        <v>42</v>
      </c>
      <c r="E46" s="32" t="s">
        <v>3</v>
      </c>
      <c r="F46" s="32" t="s">
        <v>858</v>
      </c>
      <c r="G46" s="32"/>
      <c r="H46" s="32"/>
      <c r="I46" s="32"/>
      <c r="J46" s="33">
        <v>30.79</v>
      </c>
      <c r="K46" s="33">
        <v>30.79</v>
      </c>
      <c r="L46" s="33">
        <v>30.79</v>
      </c>
      <c r="M46" s="33">
        <v>30.8</v>
      </c>
      <c r="N46" s="33">
        <v>30.8</v>
      </c>
      <c r="O46" s="33">
        <v>30.8</v>
      </c>
      <c r="P46" s="33">
        <v>30.8</v>
      </c>
      <c r="Q46" s="33">
        <v>30.8</v>
      </c>
      <c r="R46" s="33">
        <v>30.8</v>
      </c>
      <c r="S46" s="33">
        <v>30.8</v>
      </c>
      <c r="T46" s="33">
        <v>76.99</v>
      </c>
      <c r="U46" s="33">
        <v>63.3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825</v>
      </c>
      <c r="D47" s="50" t="s">
        <v>42</v>
      </c>
      <c r="E47" s="32" t="s">
        <v>3</v>
      </c>
      <c r="F47" s="32" t="s">
        <v>859</v>
      </c>
      <c r="G47" s="32"/>
      <c r="H47" s="32"/>
      <c r="I47" s="32"/>
      <c r="J47" s="33">
        <v>30.79</v>
      </c>
      <c r="K47" s="33">
        <v>59.97</v>
      </c>
      <c r="L47" s="33">
        <v>62.13</v>
      </c>
      <c r="M47" s="33">
        <v>48.14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825</v>
      </c>
      <c r="D48" s="50" t="s">
        <v>42</v>
      </c>
      <c r="E48" s="32" t="s">
        <v>3</v>
      </c>
      <c r="F48" s="32" t="s">
        <v>860</v>
      </c>
      <c r="G48" s="32"/>
      <c r="H48" s="32"/>
      <c r="I48" s="32"/>
      <c r="J48" s="33">
        <v>148.27</v>
      </c>
      <c r="K48" s="33">
        <v>162.5</v>
      </c>
      <c r="L48" s="33">
        <v>122.55</v>
      </c>
      <c r="M48" s="33">
        <v>66.3</v>
      </c>
      <c r="N48" s="33">
        <v>30.8</v>
      </c>
      <c r="O48" s="33">
        <v>30.8</v>
      </c>
      <c r="P48" s="33">
        <v>30.8</v>
      </c>
      <c r="Q48" s="33">
        <v>30.8</v>
      </c>
      <c r="R48" s="33">
        <v>30.8</v>
      </c>
      <c r="S48" s="33">
        <v>30.8</v>
      </c>
      <c r="T48" s="33">
        <v>30.8</v>
      </c>
      <c r="U48" s="33">
        <v>30.8</v>
      </c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825</v>
      </c>
      <c r="D49" s="50" t="s">
        <v>42</v>
      </c>
      <c r="E49" s="32" t="s">
        <v>3</v>
      </c>
      <c r="F49" s="32" t="s">
        <v>861</v>
      </c>
      <c r="G49" s="32"/>
      <c r="H49" s="32"/>
      <c r="I49" s="32"/>
      <c r="J49" s="33">
        <v>30.79</v>
      </c>
      <c r="K49" s="33">
        <v>30.79</v>
      </c>
      <c r="L49" s="33">
        <v>59.62</v>
      </c>
      <c r="M49" s="33">
        <v>30.8</v>
      </c>
      <c r="N49" s="33">
        <v>30.8</v>
      </c>
      <c r="O49" s="33">
        <v>30.8</v>
      </c>
      <c r="P49" s="33">
        <v>30.8</v>
      </c>
      <c r="Q49" s="33">
        <v>30.8</v>
      </c>
      <c r="R49" s="33">
        <v>30.8</v>
      </c>
      <c r="S49" s="33">
        <v>30.8</v>
      </c>
      <c r="T49" s="33">
        <v>69.35</v>
      </c>
      <c r="U49" s="33">
        <v>47.09</v>
      </c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825</v>
      </c>
      <c r="D50" s="50" t="s">
        <v>42</v>
      </c>
      <c r="E50" s="32" t="s">
        <v>3</v>
      </c>
      <c r="F50" s="32" t="s">
        <v>862</v>
      </c>
      <c r="G50" s="32"/>
      <c r="H50" s="32"/>
      <c r="I50" s="32"/>
      <c r="J50" s="33">
        <v>30.79</v>
      </c>
      <c r="K50" s="33">
        <v>162.83</v>
      </c>
      <c r="L50" s="33">
        <v>134.78</v>
      </c>
      <c r="M50" s="33">
        <v>99.56</v>
      </c>
      <c r="N50" s="33">
        <v>30.8</v>
      </c>
      <c r="O50" s="33">
        <v>30.8</v>
      </c>
      <c r="P50" s="33">
        <v>30.8</v>
      </c>
      <c r="Q50" s="33">
        <v>30.8</v>
      </c>
      <c r="R50" s="33">
        <v>30.8</v>
      </c>
      <c r="S50" s="33">
        <v>30.8</v>
      </c>
      <c r="T50" s="33">
        <v>30.8</v>
      </c>
      <c r="U50" s="33">
        <v>30.8</v>
      </c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825</v>
      </c>
      <c r="D51" s="50" t="s">
        <v>42</v>
      </c>
      <c r="E51" s="32" t="s">
        <v>3</v>
      </c>
      <c r="F51" s="32" t="s">
        <v>863</v>
      </c>
      <c r="G51" s="32"/>
      <c r="H51" s="32"/>
      <c r="I51" s="32"/>
      <c r="J51" s="33">
        <v>104.21</v>
      </c>
      <c r="K51" s="33">
        <v>118.29</v>
      </c>
      <c r="L51" s="33">
        <v>106.79</v>
      </c>
      <c r="M51" s="33">
        <v>109.74</v>
      </c>
      <c r="N51" s="33">
        <v>121.1</v>
      </c>
      <c r="O51" s="33">
        <v>30.8</v>
      </c>
      <c r="P51" s="33">
        <v>30.8</v>
      </c>
      <c r="Q51" s="33">
        <v>30.8</v>
      </c>
      <c r="R51" s="33">
        <v>30.8</v>
      </c>
      <c r="S51" s="33">
        <v>125.05</v>
      </c>
      <c r="T51" s="33">
        <v>30.8</v>
      </c>
      <c r="U51" s="33">
        <v>95.91</v>
      </c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825</v>
      </c>
      <c r="D52" s="50" t="s">
        <v>42</v>
      </c>
      <c r="E52" s="32" t="s">
        <v>3</v>
      </c>
      <c r="F52" s="32" t="s">
        <v>864</v>
      </c>
      <c r="G52" s="32"/>
      <c r="H52" s="32"/>
      <c r="I52" s="32"/>
      <c r="J52" s="33">
        <v>43.18</v>
      </c>
      <c r="K52" s="33">
        <v>115.13</v>
      </c>
      <c r="L52" s="33">
        <v>105.61</v>
      </c>
      <c r="M52" s="33">
        <v>113.42</v>
      </c>
      <c r="N52" s="33">
        <v>30.8</v>
      </c>
      <c r="O52" s="33">
        <v>30.8</v>
      </c>
      <c r="P52" s="33">
        <v>30.8</v>
      </c>
      <c r="Q52" s="33">
        <v>30.8</v>
      </c>
      <c r="R52" s="33">
        <v>30.8</v>
      </c>
      <c r="S52" s="33">
        <v>30.8</v>
      </c>
      <c r="T52" s="33">
        <v>30.8</v>
      </c>
      <c r="U52" s="33">
        <v>30.8</v>
      </c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825</v>
      </c>
      <c r="D53" s="50" t="s">
        <v>42</v>
      </c>
      <c r="E53" s="32" t="s">
        <v>3</v>
      </c>
      <c r="F53" s="32" t="s">
        <v>865</v>
      </c>
      <c r="G53" s="32"/>
      <c r="H53" s="32"/>
      <c r="I53" s="32"/>
      <c r="J53" s="33">
        <v>30.79</v>
      </c>
      <c r="K53" s="33">
        <v>52.7</v>
      </c>
      <c r="L53" s="32"/>
      <c r="M53" s="32"/>
      <c r="N53" s="33">
        <v>42.8</v>
      </c>
      <c r="O53" s="33">
        <v>30.8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825</v>
      </c>
      <c r="D54" s="50" t="s">
        <v>42</v>
      </c>
      <c r="E54" s="32" t="s">
        <v>3</v>
      </c>
      <c r="F54" s="32" t="s">
        <v>866</v>
      </c>
      <c r="G54" s="32"/>
      <c r="H54" s="32"/>
      <c r="I54" s="32"/>
      <c r="J54" s="32"/>
      <c r="K54" s="33">
        <v>93.03</v>
      </c>
      <c r="L54" s="33">
        <v>87.58</v>
      </c>
      <c r="M54" s="33">
        <v>106.17</v>
      </c>
      <c r="N54" s="33">
        <v>118.79</v>
      </c>
      <c r="O54" s="33">
        <v>113.52</v>
      </c>
      <c r="P54" s="33">
        <v>124.44</v>
      </c>
      <c r="Q54" s="33">
        <v>117.59</v>
      </c>
      <c r="R54" s="33">
        <v>118.54</v>
      </c>
      <c r="S54" s="33">
        <v>118.62</v>
      </c>
      <c r="T54" s="33">
        <v>102.47</v>
      </c>
      <c r="U54" s="33">
        <v>48.02</v>
      </c>
      <c r="V54" s="33">
        <v>97.01</v>
      </c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825</v>
      </c>
      <c r="D55" s="50" t="s">
        <v>42</v>
      </c>
      <c r="E55" s="32" t="s">
        <v>3</v>
      </c>
      <c r="F55" s="32" t="s">
        <v>867</v>
      </c>
      <c r="G55" s="32"/>
      <c r="H55" s="32"/>
      <c r="I55" s="32"/>
      <c r="J55" s="33">
        <v>124</v>
      </c>
      <c r="K55" s="33">
        <v>138.1</v>
      </c>
      <c r="L55" s="33">
        <v>105.17</v>
      </c>
      <c r="M55" s="33">
        <v>92.22</v>
      </c>
      <c r="N55" s="33">
        <v>80.13</v>
      </c>
      <c r="O55" s="33">
        <v>112.24</v>
      </c>
      <c r="P55" s="33">
        <v>101.79</v>
      </c>
      <c r="Q55" s="33">
        <v>100.36</v>
      </c>
      <c r="R55" s="33">
        <v>122.89</v>
      </c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825</v>
      </c>
      <c r="D56" s="50" t="s">
        <v>42</v>
      </c>
      <c r="E56" s="32" t="s">
        <v>3</v>
      </c>
      <c r="F56" s="32" t="s">
        <v>868</v>
      </c>
      <c r="G56" s="32"/>
      <c r="H56" s="32"/>
      <c r="I56" s="32"/>
      <c r="J56" s="33">
        <v>76.63</v>
      </c>
      <c r="K56" s="33">
        <v>81.86</v>
      </c>
      <c r="L56" s="33">
        <v>66.13</v>
      </c>
      <c r="M56" s="33">
        <v>30.8</v>
      </c>
      <c r="N56" s="33">
        <v>30.8</v>
      </c>
      <c r="O56" s="33">
        <v>30.8</v>
      </c>
      <c r="P56" s="33">
        <v>30.8</v>
      </c>
      <c r="Q56" s="33">
        <v>30.8</v>
      </c>
      <c r="R56" s="33">
        <v>30.8</v>
      </c>
      <c r="S56" s="33">
        <v>30.8</v>
      </c>
      <c r="T56" s="33">
        <v>30.8</v>
      </c>
      <c r="U56" s="33">
        <v>30.8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825</v>
      </c>
      <c r="D57" s="50" t="s">
        <v>42</v>
      </c>
      <c r="E57" s="32" t="s">
        <v>3</v>
      </c>
      <c r="F57" s="32" t="s">
        <v>869</v>
      </c>
      <c r="G57" s="32"/>
      <c r="H57" s="32"/>
      <c r="I57" s="32"/>
      <c r="J57" s="32"/>
      <c r="K57" s="32"/>
      <c r="L57" s="32"/>
      <c r="M57" s="33">
        <v>19.19</v>
      </c>
      <c r="N57" s="33">
        <v>30.8</v>
      </c>
      <c r="O57" s="33">
        <v>30.8</v>
      </c>
      <c r="P57" s="33">
        <v>30.8</v>
      </c>
      <c r="Q57" s="33">
        <v>30.8</v>
      </c>
      <c r="R57" s="33">
        <v>30.8</v>
      </c>
      <c r="S57" s="33">
        <v>30.8</v>
      </c>
      <c r="T57" s="33">
        <v>30.8</v>
      </c>
      <c r="U57" s="33">
        <v>30.8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825</v>
      </c>
      <c r="D58" s="50" t="s">
        <v>42</v>
      </c>
      <c r="E58" s="32" t="s">
        <v>3</v>
      </c>
      <c r="F58" s="32" t="s">
        <v>870</v>
      </c>
      <c r="G58" s="32"/>
      <c r="H58" s="32"/>
      <c r="I58" s="32"/>
      <c r="J58" s="32"/>
      <c r="K58" s="32"/>
      <c r="L58" s="32"/>
      <c r="M58" s="32"/>
      <c r="N58" s="32"/>
      <c r="O58" s="32"/>
      <c r="P58" s="33">
        <v>110.1</v>
      </c>
      <c r="Q58" s="33">
        <v>55.38</v>
      </c>
      <c r="R58" s="33">
        <v>41.09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825</v>
      </c>
      <c r="D59" s="50" t="s">
        <v>42</v>
      </c>
      <c r="E59" s="32" t="s">
        <v>3</v>
      </c>
      <c r="F59" s="32" t="s">
        <v>871</v>
      </c>
      <c r="G59" s="32"/>
      <c r="H59" s="32"/>
      <c r="I59" s="32"/>
      <c r="J59" s="32"/>
      <c r="K59" s="32"/>
      <c r="L59" s="32"/>
      <c r="M59" s="32"/>
      <c r="N59" s="32"/>
      <c r="O59" s="32"/>
      <c r="P59" s="33">
        <v>135.15</v>
      </c>
      <c r="Q59" s="33">
        <v>93.71</v>
      </c>
      <c r="R59" s="33">
        <v>95.93</v>
      </c>
      <c r="S59" s="33">
        <v>59.97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825</v>
      </c>
      <c r="D60" s="50" t="s">
        <v>42</v>
      </c>
      <c r="E60" s="32" t="s">
        <v>3</v>
      </c>
      <c r="F60" s="32" t="s">
        <v>872</v>
      </c>
      <c r="G60" s="32"/>
      <c r="H60" s="32"/>
      <c r="I60" s="32"/>
      <c r="J60" s="32"/>
      <c r="K60" s="32"/>
      <c r="L60" s="32"/>
      <c r="M60" s="32"/>
      <c r="N60" s="32"/>
      <c r="O60" s="32"/>
      <c r="P60" s="33">
        <v>127.79</v>
      </c>
      <c r="Q60" s="33">
        <v>114.24</v>
      </c>
      <c r="R60" s="33">
        <v>100.74</v>
      </c>
      <c r="S60" s="33">
        <v>78.68</v>
      </c>
      <c r="T60" s="33">
        <v>50.41</v>
      </c>
      <c r="U60" s="33">
        <v>31.69</v>
      </c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825</v>
      </c>
      <c r="D61" s="50" t="s">
        <v>42</v>
      </c>
      <c r="E61" s="32" t="s">
        <v>3</v>
      </c>
      <c r="F61" s="32" t="s">
        <v>873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3">
        <v>42.8</v>
      </c>
      <c r="R61" s="33">
        <v>30.8</v>
      </c>
      <c r="S61" s="33">
        <v>30.8</v>
      </c>
      <c r="T61" s="33">
        <v>30.8</v>
      </c>
      <c r="U61" s="33">
        <v>30.8</v>
      </c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825</v>
      </c>
      <c r="D62" s="50" t="s">
        <v>42</v>
      </c>
      <c r="E62" s="32" t="s">
        <v>3</v>
      </c>
      <c r="F62" s="32" t="s">
        <v>874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3">
        <v>42.8</v>
      </c>
      <c r="R62" s="33">
        <v>30.8</v>
      </c>
      <c r="S62" s="33">
        <v>30.8</v>
      </c>
      <c r="T62" s="33">
        <v>30.8</v>
      </c>
      <c r="U62" s="33">
        <v>30.8</v>
      </c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825</v>
      </c>
      <c r="D63" s="50" t="s">
        <v>42</v>
      </c>
      <c r="E63" s="32" t="s">
        <v>3</v>
      </c>
      <c r="F63" s="32" t="s">
        <v>875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3">
        <v>42.8</v>
      </c>
      <c r="R63" s="33">
        <v>30.8</v>
      </c>
      <c r="S63" s="33">
        <v>30.8</v>
      </c>
      <c r="T63" s="33">
        <v>30.8</v>
      </c>
      <c r="U63" s="33">
        <v>30.8</v>
      </c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825</v>
      </c>
      <c r="D64" s="50" t="s">
        <v>42</v>
      </c>
      <c r="E64" s="32" t="s">
        <v>3</v>
      </c>
      <c r="F64" s="32" t="s">
        <v>876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3">
        <v>42.8</v>
      </c>
      <c r="R64" s="33">
        <v>30.8</v>
      </c>
      <c r="S64" s="33">
        <v>30.8</v>
      </c>
      <c r="T64" s="33">
        <f>30.80+9.24</f>
        <v>40.04</v>
      </c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825</v>
      </c>
      <c r="D65" s="50" t="s">
        <v>42</v>
      </c>
      <c r="E65" s="32" t="s">
        <v>3</v>
      </c>
      <c r="F65" s="32" t="s">
        <v>877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3">
        <v>42.8</v>
      </c>
      <c r="R65" s="33">
        <v>30.8</v>
      </c>
      <c r="S65" s="33">
        <v>30.8</v>
      </c>
      <c r="T65" s="33">
        <v>30.8</v>
      </c>
      <c r="U65" s="33">
        <v>30.8</v>
      </c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825</v>
      </c>
      <c r="D66" s="50" t="s">
        <v>42</v>
      </c>
      <c r="E66" s="32" t="s">
        <v>3</v>
      </c>
      <c r="F66" s="32" t="s">
        <v>878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>
        <v>42.8</v>
      </c>
      <c r="R66" s="33">
        <v>30.8</v>
      </c>
      <c r="S66" s="33">
        <v>30.8</v>
      </c>
      <c r="T66" s="33">
        <v>30.8</v>
      </c>
      <c r="U66" s="33">
        <v>30.8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825</v>
      </c>
      <c r="D67" s="50" t="s">
        <v>42</v>
      </c>
      <c r="E67" s="32" t="s">
        <v>3</v>
      </c>
      <c r="F67" s="32" t="s">
        <v>879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3">
        <v>42.8</v>
      </c>
      <c r="R67" s="33">
        <v>30.8</v>
      </c>
      <c r="S67" s="33">
        <v>30.8</v>
      </c>
      <c r="T67" s="33">
        <v>30.8</v>
      </c>
      <c r="U67" s="33">
        <v>33.52</v>
      </c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825</v>
      </c>
      <c r="D68" s="50" t="s">
        <v>42</v>
      </c>
      <c r="E68" s="32" t="s">
        <v>3</v>
      </c>
      <c r="F68" s="32" t="s">
        <v>880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3">
        <v>42.8</v>
      </c>
      <c r="T68" s="33">
        <v>30.8</v>
      </c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825</v>
      </c>
      <c r="D69" s="50" t="s">
        <v>42</v>
      </c>
      <c r="E69" s="32" t="s">
        <v>3</v>
      </c>
      <c r="F69" s="32" t="s">
        <v>881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3">
        <v>42.8</v>
      </c>
      <c r="T69" s="33">
        <v>32.03</v>
      </c>
      <c r="U69" s="33">
        <v>131.73</v>
      </c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825</v>
      </c>
      <c r="D70" s="50" t="s">
        <v>42</v>
      </c>
      <c r="E70" s="32" t="s">
        <v>3</v>
      </c>
      <c r="F70" s="32" t="s">
        <v>882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3">
        <v>42.8</v>
      </c>
      <c r="T70" s="33">
        <v>30.8</v>
      </c>
      <c r="U70" s="33">
        <v>30.8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825</v>
      </c>
      <c r="D71" s="50" t="s">
        <v>42</v>
      </c>
      <c r="E71" s="32" t="s">
        <v>3</v>
      </c>
      <c r="F71" s="32" t="s">
        <v>883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3">
        <v>42.8</v>
      </c>
      <c r="T71" s="33">
        <v>30.8</v>
      </c>
      <c r="U71" s="33">
        <v>37.32</v>
      </c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825</v>
      </c>
      <c r="D72" s="50" t="s">
        <v>42</v>
      </c>
      <c r="E72" s="32" t="s">
        <v>3</v>
      </c>
      <c r="F72" s="32" t="s">
        <v>884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3">
        <v>34.58</v>
      </c>
      <c r="T72" s="33">
        <v>30.8</v>
      </c>
      <c r="U72" s="33">
        <v>30.8</v>
      </c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51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40"/>
    </row>
    <row r="74" ht="13.5" customHeight="1" spans="2:39" x14ac:dyDescent="0.25">
      <c r="B74" s="20"/>
      <c r="C74" s="21"/>
      <c r="D74" s="21" t="s">
        <v>85</v>
      </c>
      <c r="E74" s="21"/>
      <c r="F74" s="21"/>
      <c r="G74" s="22">
        <f>SUM(G14:G72)</f>
      </c>
      <c r="H74" s="22">
        <f>SUM(H14:H72)</f>
      </c>
      <c r="I74" s="22">
        <f>SUM(I14:I72)</f>
      </c>
      <c r="J74" s="22">
        <f>SUM(J14:J72)</f>
      </c>
      <c r="K74" s="22">
        <f>SUM(K14:K72)</f>
      </c>
      <c r="L74" s="22">
        <f>SUM(L14:L72)</f>
      </c>
      <c r="M74" s="22">
        <f>SUM(M14:M72)</f>
      </c>
      <c r="N74" s="22">
        <f>SUM(N14:N72)</f>
      </c>
      <c r="O74" s="22">
        <f>SUM(O14:O72)</f>
      </c>
      <c r="P74" s="22">
        <f>SUM(P14:P72)</f>
      </c>
      <c r="Q74" s="22">
        <f>SUM(Q14:Q72)</f>
      </c>
      <c r="R74" s="22">
        <f>SUM(R14:R72)</f>
      </c>
      <c r="S74" s="22">
        <f>SUM(S14:S72)</f>
      </c>
      <c r="T74" s="22">
        <f>SUM(T14:T72)</f>
      </c>
      <c r="U74" s="22">
        <f>SUM(U14:U72)</f>
      </c>
      <c r="V74" s="22">
        <f>SUM(V14:V72)</f>
      </c>
      <c r="W74" s="22">
        <f>SUM(W14:W72)</f>
      </c>
      <c r="X74" s="22">
        <f>SUM(X14:X72)</f>
      </c>
      <c r="Y74" s="22">
        <f>SUM(Y14:Y72)</f>
      </c>
      <c r="Z74" s="22">
        <f>SUM(Z14:Z72)</f>
      </c>
      <c r="AA74" s="22">
        <f>SUM(AA14:AA72)</f>
      </c>
      <c r="AB74" s="22">
        <f>SUM(AB14:AB72)</f>
      </c>
      <c r="AC74" s="22">
        <f>SUM(AC14:AC72)</f>
      </c>
      <c r="AD74" s="22">
        <f>SUM(AD14:AD72)</f>
      </c>
      <c r="AE74" s="22">
        <f>SUM(AE14:AE72)</f>
      </c>
      <c r="AF74" s="22">
        <f>SUM(AF14:AF72)</f>
      </c>
      <c r="AG74" s="22">
        <f>SUM(AG14:AG72)</f>
      </c>
      <c r="AH74" s="22">
        <f>SUM(AH14:AH72)</f>
      </c>
      <c r="AI74" s="22">
        <f>SUM(AI14:AI72)</f>
      </c>
      <c r="AJ74" s="22">
        <f>SUM(AJ14:AJ72)</f>
      </c>
      <c r="AK74" s="22">
        <f>SUM(AK14:AK72)</f>
      </c>
      <c r="AL74" s="22">
        <f>SUM(AL14:AL72)</f>
      </c>
      <c r="AM74" s="23"/>
    </row>
    <row r="76" ht="13.5" customHeight="1" spans="2:39" x14ac:dyDescent="0.25">
      <c r="B76" s="46"/>
      <c r="C76" s="28"/>
      <c r="D76" s="47" t="s">
        <v>43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9"/>
    </row>
    <row r="77" ht="13.5" customHeight="1" spans="2:39" x14ac:dyDescent="0.25">
      <c r="B77" s="48" t="s">
        <v>3</v>
      </c>
      <c r="C77" s="49" t="s">
        <v>825</v>
      </c>
      <c r="D77" s="50" t="s">
        <v>43</v>
      </c>
      <c r="E77" s="32" t="s">
        <v>3</v>
      </c>
      <c r="F77" s="32" t="s">
        <v>885</v>
      </c>
      <c r="G77" s="32"/>
      <c r="H77" s="32"/>
      <c r="I77" s="32"/>
      <c r="J77" s="33">
        <f>5264.67+1939.34</f>
        <v>7204.01</v>
      </c>
      <c r="K77" s="33">
        <f>5452.55+2031.46</f>
        <v>7484.01</v>
      </c>
      <c r="L77" s="33">
        <f>5653.85+2130.16</f>
        <v>7784.01</v>
      </c>
      <c r="M77" s="33">
        <f>5049.95+1834.06</f>
        <v>6884.01</v>
      </c>
      <c r="N77" s="33">
        <f>4043.45+1364.96</f>
        <v>5408.41</v>
      </c>
      <c r="O77" s="33">
        <f>3278.51+1128.98</f>
        <v>4407.49</v>
      </c>
      <c r="P77" s="33">
        <f>3432.84+1176.59</f>
        <v>4609.43</v>
      </c>
      <c r="Q77" s="33">
        <f>2849.07+996.50</f>
        <v>3845.57</v>
      </c>
      <c r="R77" s="33">
        <f>2748.42+965.45</f>
        <v>3713.87</v>
      </c>
      <c r="S77" s="33">
        <f>2538.35+887.34</f>
        <v>3425.69</v>
      </c>
      <c r="T77" s="33">
        <f>2878.41+990.24</f>
        <v>3868.6499999999996</v>
      </c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4">
        <f>SUM(G77:AK77)</f>
      </c>
      <c r="AM77" s="35"/>
    </row>
    <row r="78" ht="13.5" customHeight="1" spans="2:39" x14ac:dyDescent="0.25">
      <c r="B78" s="51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40"/>
    </row>
    <row r="79" ht="13.5" customHeight="1" spans="2:39" x14ac:dyDescent="0.25">
      <c r="B79" s="20"/>
      <c r="C79" s="21"/>
      <c r="D79" s="21" t="s">
        <v>89</v>
      </c>
      <c r="E79" s="21"/>
      <c r="F79" s="21"/>
      <c r="G79" s="22">
        <f>SUM(G77:G77)</f>
      </c>
      <c r="H79" s="22">
        <f>SUM(H77:H77)</f>
      </c>
      <c r="I79" s="22">
        <f>SUM(I77:I77)</f>
      </c>
      <c r="J79" s="22">
        <f>SUM(J77:J77)</f>
      </c>
      <c r="K79" s="22">
        <f>SUM(K77:K77)</f>
      </c>
      <c r="L79" s="22">
        <f>SUM(L77:L77)</f>
      </c>
      <c r="M79" s="22">
        <f>SUM(M77:M77)</f>
      </c>
      <c r="N79" s="22">
        <f>SUM(N77:N77)</f>
      </c>
      <c r="O79" s="22">
        <f>SUM(O77:O77)</f>
      </c>
      <c r="P79" s="22">
        <f>SUM(P77:P77)</f>
      </c>
      <c r="Q79" s="22">
        <f>SUM(Q77:Q77)</f>
      </c>
      <c r="R79" s="22">
        <f>SUM(R77:R77)</f>
      </c>
      <c r="S79" s="22">
        <f>SUM(S77:S77)</f>
      </c>
      <c r="T79" s="22">
        <f>SUM(T77:T77)</f>
      </c>
      <c r="U79" s="22">
        <f>SUM(U77:U77)</f>
      </c>
      <c r="V79" s="22">
        <f>SUM(V77:V77)</f>
      </c>
      <c r="W79" s="22">
        <f>SUM(W77:W77)</f>
      </c>
      <c r="X79" s="22">
        <f>SUM(X77:X77)</f>
      </c>
      <c r="Y79" s="22">
        <f>SUM(Y77:Y77)</f>
      </c>
      <c r="Z79" s="22">
        <f>SUM(Z77:Z77)</f>
      </c>
      <c r="AA79" s="22">
        <f>SUM(AA77:AA77)</f>
      </c>
      <c r="AB79" s="22">
        <f>SUM(AB77:AB77)</f>
      </c>
      <c r="AC79" s="22">
        <f>SUM(AC77:AC77)</f>
      </c>
      <c r="AD79" s="22">
        <f>SUM(AD77:AD77)</f>
      </c>
      <c r="AE79" s="22">
        <f>SUM(AE77:AE77)</f>
      </c>
      <c r="AF79" s="22">
        <f>SUM(AF77:AF77)</f>
      </c>
      <c r="AG79" s="22">
        <f>SUM(AG77:AG77)</f>
      </c>
      <c r="AH79" s="22">
        <f>SUM(AH77:AH77)</f>
      </c>
      <c r="AI79" s="22">
        <f>SUM(AI77:AI77)</f>
      </c>
      <c r="AJ79" s="22">
        <f>SUM(AJ77:AJ77)</f>
      </c>
      <c r="AK79" s="22">
        <f>SUM(AK77:AK77)</f>
      </c>
      <c r="AL79" s="22">
        <f>SUM(AL77:AL77)</f>
      </c>
      <c r="AM79" s="23"/>
    </row>
    <row r="81" ht="13.5" customHeight="1" spans="2:39" x14ac:dyDescent="0.25">
      <c r="B81" s="46"/>
      <c r="C81" s="28"/>
      <c r="D81" s="47" t="s">
        <v>44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9"/>
    </row>
    <row r="82" ht="13.5" customHeight="1" spans="2:39" x14ac:dyDescent="0.25">
      <c r="B82" s="51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40"/>
    </row>
    <row r="83" ht="13.5" customHeight="1" spans="2:39" x14ac:dyDescent="0.25">
      <c r="B83" s="20"/>
      <c r="C83" s="21"/>
      <c r="D83" s="21" t="s">
        <v>90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3"/>
    </row>
    <row r="86" ht="12.75" customHeight="1" spans="2:39" x14ac:dyDescent="0.25">
      <c r="B86" s="11" t="s">
        <v>40</v>
      </c>
      <c r="C86" s="12"/>
      <c r="D86" s="12"/>
      <c r="E86" s="12"/>
      <c r="F86" s="12"/>
      <c r="G86" s="52" t="s">
        <v>7</v>
      </c>
      <c r="H86" s="52" t="s">
        <v>8</v>
      </c>
      <c r="I86" s="52" t="s">
        <v>9</v>
      </c>
      <c r="J86" s="52" t="s">
        <v>10</v>
      </c>
      <c r="K86" s="52" t="s">
        <v>11</v>
      </c>
      <c r="L86" s="52" t="s">
        <v>12</v>
      </c>
      <c r="M86" s="52" t="s">
        <v>13</v>
      </c>
      <c r="N86" s="52" t="s">
        <v>14</v>
      </c>
      <c r="O86" s="52" t="s">
        <v>15</v>
      </c>
      <c r="P86" s="52" t="s">
        <v>16</v>
      </c>
      <c r="Q86" s="52" t="s">
        <v>17</v>
      </c>
      <c r="R86" s="52" t="s">
        <v>18</v>
      </c>
      <c r="S86" s="52" t="s">
        <v>19</v>
      </c>
      <c r="T86" s="52" t="s">
        <v>20</v>
      </c>
      <c r="U86" s="52" t="s">
        <v>21</v>
      </c>
      <c r="V86" s="52" t="s">
        <v>22</v>
      </c>
      <c r="W86" s="52" t="s">
        <v>23</v>
      </c>
      <c r="X86" s="52" t="s">
        <v>24</v>
      </c>
      <c r="Y86" s="52" t="s">
        <v>25</v>
      </c>
      <c r="Z86" s="52" t="s">
        <v>26</v>
      </c>
      <c r="AA86" s="52" t="s">
        <v>27</v>
      </c>
      <c r="AB86" s="52" t="s">
        <v>28</v>
      </c>
      <c r="AC86" s="52" t="s">
        <v>29</v>
      </c>
      <c r="AD86" s="52" t="s">
        <v>30</v>
      </c>
      <c r="AE86" s="52" t="s">
        <v>31</v>
      </c>
      <c r="AF86" s="52" t="s">
        <v>32</v>
      </c>
      <c r="AG86" s="52" t="s">
        <v>33</v>
      </c>
      <c r="AH86" s="52" t="s">
        <v>34</v>
      </c>
      <c r="AI86" s="52" t="s">
        <v>35</v>
      </c>
      <c r="AJ86" s="52" t="s">
        <v>36</v>
      </c>
      <c r="AK86" s="52" t="s">
        <v>37</v>
      </c>
      <c r="AL86" s="52" t="s">
        <v>38</v>
      </c>
      <c r="AM86" s="15"/>
    </row>
    <row r="87" ht="12.75" customHeight="1" spans="2:39" x14ac:dyDescent="0.25">
      <c r="B87" s="16"/>
      <c r="C87" s="17"/>
      <c r="D87" s="17" t="s">
        <v>41</v>
      </c>
      <c r="E87" s="17"/>
      <c r="F87" s="17"/>
      <c r="G87" s="18">
        <f>G11</f>
      </c>
      <c r="H87" s="18">
        <f>H11</f>
      </c>
      <c r="I87" s="18">
        <f>I11</f>
      </c>
      <c r="J87" s="18">
        <f>J11</f>
      </c>
      <c r="K87" s="18">
        <f>K11</f>
      </c>
      <c r="L87" s="18">
        <f>L11</f>
      </c>
      <c r="M87" s="18">
        <f>M11</f>
      </c>
      <c r="N87" s="18">
        <f>N11</f>
      </c>
      <c r="O87" s="18">
        <f>O11</f>
      </c>
      <c r="P87" s="18">
        <f>P11</f>
      </c>
      <c r="Q87" s="18">
        <f>Q11</f>
      </c>
      <c r="R87" s="18">
        <f>R11</f>
      </c>
      <c r="S87" s="18">
        <f>S11</f>
      </c>
      <c r="T87" s="18">
        <f>T11</f>
      </c>
      <c r="U87" s="18">
        <f>U11</f>
      </c>
      <c r="V87" s="18">
        <f>V11</f>
      </c>
      <c r="W87" s="18">
        <f>W11</f>
      </c>
      <c r="X87" s="18">
        <f>X11</f>
      </c>
      <c r="Y87" s="18">
        <f>Y11</f>
      </c>
      <c r="Z87" s="18">
        <f>Z11</f>
      </c>
      <c r="AA87" s="18">
        <f>AA11</f>
      </c>
      <c r="AB87" s="18">
        <f>AB11</f>
      </c>
      <c r="AC87" s="18">
        <f>AC11</f>
      </c>
      <c r="AD87" s="18">
        <f>AD11</f>
      </c>
      <c r="AE87" s="18">
        <f>AE11</f>
      </c>
      <c r="AF87" s="18">
        <f>AF11</f>
      </c>
      <c r="AG87" s="18">
        <f>AG11</f>
      </c>
      <c r="AH87" s="18">
        <f>AH11</f>
      </c>
      <c r="AI87" s="18">
        <f>AI11</f>
      </c>
      <c r="AJ87" s="18">
        <f>AJ11</f>
      </c>
      <c r="AK87" s="18">
        <f>AK11</f>
      </c>
      <c r="AL87" s="18">
        <f>AL11</f>
      </c>
      <c r="AM87" s="19"/>
    </row>
    <row r="88" ht="12.75" customHeight="1" spans="2:39" x14ac:dyDescent="0.25">
      <c r="B88" s="16"/>
      <c r="C88" s="17"/>
      <c r="D88" s="17" t="s">
        <v>42</v>
      </c>
      <c r="E88" s="17"/>
      <c r="F88" s="17"/>
      <c r="G88" s="18">
        <f>G74</f>
      </c>
      <c r="H88" s="18">
        <f>H74</f>
      </c>
      <c r="I88" s="18">
        <f>I74</f>
      </c>
      <c r="J88" s="18">
        <f>J74</f>
      </c>
      <c r="K88" s="18">
        <f>K74</f>
      </c>
      <c r="L88" s="18">
        <f>L74</f>
      </c>
      <c r="M88" s="18">
        <f>M74</f>
      </c>
      <c r="N88" s="18">
        <f>N74</f>
      </c>
      <c r="O88" s="18">
        <f>O74</f>
      </c>
      <c r="P88" s="18">
        <f>P74</f>
      </c>
      <c r="Q88" s="18">
        <f>Q74</f>
      </c>
      <c r="R88" s="18">
        <f>R74</f>
      </c>
      <c r="S88" s="18">
        <f>S74</f>
      </c>
      <c r="T88" s="18">
        <f>T74</f>
      </c>
      <c r="U88" s="18">
        <f>U74</f>
      </c>
      <c r="V88" s="18">
        <f>V74</f>
      </c>
      <c r="W88" s="18">
        <f>W74</f>
      </c>
      <c r="X88" s="18">
        <f>X74</f>
      </c>
      <c r="Y88" s="18">
        <f>Y74</f>
      </c>
      <c r="Z88" s="18">
        <f>Z74</f>
      </c>
      <c r="AA88" s="18">
        <f>AA74</f>
      </c>
      <c r="AB88" s="18">
        <f>AB74</f>
      </c>
      <c r="AC88" s="18">
        <f>AC74</f>
      </c>
      <c r="AD88" s="18">
        <f>AD74</f>
      </c>
      <c r="AE88" s="18">
        <f>AE74</f>
      </c>
      <c r="AF88" s="18">
        <f>AF74</f>
      </c>
      <c r="AG88" s="18">
        <f>AG74</f>
      </c>
      <c r="AH88" s="18">
        <f>AH74</f>
      </c>
      <c r="AI88" s="18">
        <f>AI74</f>
      </c>
      <c r="AJ88" s="18">
        <f>AJ74</f>
      </c>
      <c r="AK88" s="18">
        <f>AK74</f>
      </c>
      <c r="AL88" s="18">
        <f>AL74</f>
      </c>
      <c r="AM88" s="19"/>
    </row>
    <row r="89" ht="12.75" customHeight="1" spans="2:39" x14ac:dyDescent="0.25">
      <c r="B89" s="16"/>
      <c r="C89" s="17"/>
      <c r="D89" s="17" t="s">
        <v>43</v>
      </c>
      <c r="E89" s="17"/>
      <c r="F89" s="17"/>
      <c r="G89" s="18">
        <f>G79</f>
      </c>
      <c r="H89" s="18">
        <f>H79</f>
      </c>
      <c r="I89" s="18">
        <f>I79</f>
      </c>
      <c r="J89" s="18">
        <f>J79</f>
      </c>
      <c r="K89" s="18">
        <f>K79</f>
      </c>
      <c r="L89" s="18">
        <f>L79</f>
      </c>
      <c r="M89" s="18">
        <f>M79</f>
      </c>
      <c r="N89" s="18">
        <f>N79</f>
      </c>
      <c r="O89" s="18">
        <f>O79</f>
      </c>
      <c r="P89" s="18">
        <f>P79</f>
      </c>
      <c r="Q89" s="18">
        <f>Q79</f>
      </c>
      <c r="R89" s="18">
        <f>R79</f>
      </c>
      <c r="S89" s="18">
        <f>S79</f>
      </c>
      <c r="T89" s="18">
        <f>T79</f>
      </c>
      <c r="U89" s="18">
        <f>U79</f>
      </c>
      <c r="V89" s="18">
        <f>V79</f>
      </c>
      <c r="W89" s="18">
        <f>W79</f>
      </c>
      <c r="X89" s="18">
        <f>X79</f>
      </c>
      <c r="Y89" s="18">
        <f>Y79</f>
      </c>
      <c r="Z89" s="18">
        <f>Z79</f>
      </c>
      <c r="AA89" s="18">
        <f>AA79</f>
      </c>
      <c r="AB89" s="18">
        <f>AB79</f>
      </c>
      <c r="AC89" s="18">
        <f>AC79</f>
      </c>
      <c r="AD89" s="18">
        <f>AD79</f>
      </c>
      <c r="AE89" s="18">
        <f>AE79</f>
      </c>
      <c r="AF89" s="18">
        <f>AF79</f>
      </c>
      <c r="AG89" s="18">
        <f>AG79</f>
      </c>
      <c r="AH89" s="18">
        <f>AH79</f>
      </c>
      <c r="AI89" s="18">
        <f>AI79</f>
      </c>
      <c r="AJ89" s="18">
        <f>AJ79</f>
      </c>
      <c r="AK89" s="18">
        <f>AK79</f>
      </c>
      <c r="AL89" s="18">
        <f>AL79</f>
      </c>
      <c r="AM89" s="19"/>
    </row>
    <row r="90" ht="12.75" customHeight="1" spans="2:39" x14ac:dyDescent="0.25">
      <c r="B90" s="16"/>
      <c r="C90" s="17"/>
      <c r="D90" s="17" t="s">
        <v>44</v>
      </c>
      <c r="E90" s="17"/>
      <c r="F90" s="17"/>
      <c r="G90" s="18">
        <f>G83</f>
      </c>
      <c r="H90" s="18">
        <f>H83</f>
      </c>
      <c r="I90" s="18">
        <f>I83</f>
      </c>
      <c r="J90" s="18">
        <f>J83</f>
      </c>
      <c r="K90" s="18">
        <f>K83</f>
      </c>
      <c r="L90" s="18">
        <f>L83</f>
      </c>
      <c r="M90" s="18">
        <f>M83</f>
      </c>
      <c r="N90" s="18">
        <f>N83</f>
      </c>
      <c r="O90" s="18">
        <f>O83</f>
      </c>
      <c r="P90" s="18">
        <f>P83</f>
      </c>
      <c r="Q90" s="18">
        <f>Q83</f>
      </c>
      <c r="R90" s="18">
        <f>R83</f>
      </c>
      <c r="S90" s="18">
        <f>S83</f>
      </c>
      <c r="T90" s="18">
        <f>T83</f>
      </c>
      <c r="U90" s="18">
        <f>U83</f>
      </c>
      <c r="V90" s="18">
        <f>V83</f>
      </c>
      <c r="W90" s="18">
        <f>W83</f>
      </c>
      <c r="X90" s="18">
        <f>X83</f>
      </c>
      <c r="Y90" s="18">
        <f>Y83</f>
      </c>
      <c r="Z90" s="18">
        <f>Z83</f>
      </c>
      <c r="AA90" s="18">
        <f>AA83</f>
      </c>
      <c r="AB90" s="18">
        <f>AB83</f>
      </c>
      <c r="AC90" s="18">
        <f>AC83</f>
      </c>
      <c r="AD90" s="18">
        <f>AD83</f>
      </c>
      <c r="AE90" s="18">
        <f>AE83</f>
      </c>
      <c r="AF90" s="18">
        <f>AF83</f>
      </c>
      <c r="AG90" s="18">
        <f>AG83</f>
      </c>
      <c r="AH90" s="18">
        <f>AH83</f>
      </c>
      <c r="AI90" s="18">
        <f>AI83</f>
      </c>
      <c r="AJ90" s="18">
        <f>AJ83</f>
      </c>
      <c r="AK90" s="18">
        <f>AK83</f>
      </c>
      <c r="AL90" s="18">
        <f>AL83</f>
      </c>
      <c r="AM90" s="19"/>
    </row>
    <row r="91" ht="12.75" customHeight="1" spans="2:39" x14ac:dyDescent="0.25">
      <c r="B91" s="20"/>
      <c r="C91" s="21"/>
      <c r="D91" s="21" t="s">
        <v>45</v>
      </c>
      <c r="E91" s="21"/>
      <c r="F91" s="21"/>
      <c r="G91" s="22">
        <f>G87+G88+G89+G90</f>
      </c>
      <c r="H91" s="22">
        <f>H87+H88+H89+H90</f>
      </c>
      <c r="I91" s="22">
        <f>I87+I88+I89+I90</f>
      </c>
      <c r="J91" s="22">
        <f>J87+J88+J89+J90</f>
      </c>
      <c r="K91" s="22">
        <f>K87+K88+K89+K90</f>
      </c>
      <c r="L91" s="22">
        <f>L87+L88+L89+L90</f>
      </c>
      <c r="M91" s="22">
        <f>M87+M88+M89+M90</f>
      </c>
      <c r="N91" s="22">
        <f>N87+N88+N89+N90</f>
      </c>
      <c r="O91" s="22">
        <f>O87+O88+O89+O90</f>
      </c>
      <c r="P91" s="22">
        <f>P87+P88+P89+P90</f>
      </c>
      <c r="Q91" s="22">
        <f>Q87+Q88+Q89+Q90</f>
      </c>
      <c r="R91" s="22">
        <f>R87+R88+R89+R90</f>
      </c>
      <c r="S91" s="22">
        <f>S87+S88+S89+S90</f>
      </c>
      <c r="T91" s="22">
        <f>T87+T88+T89+T90</f>
      </c>
      <c r="U91" s="22">
        <f>U87+U88+U89+U90</f>
      </c>
      <c r="V91" s="22">
        <f>V87+V88+V89+V90</f>
      </c>
      <c r="W91" s="22">
        <f>W87+W88+W89+W90</f>
      </c>
      <c r="X91" s="22">
        <f>X87+X88+X89+X90</f>
      </c>
      <c r="Y91" s="22">
        <f>Y87+Y88+Y89+Y90</f>
      </c>
      <c r="Z91" s="22">
        <f>Z87+Z88+Z89+Z90</f>
      </c>
      <c r="AA91" s="22">
        <f>AA87+AA88+AA89+AA90</f>
      </c>
      <c r="AB91" s="22">
        <f>AB87+AB88+AB89+AB90</f>
      </c>
      <c r="AC91" s="22">
        <f>AC87+AC88+AC89+AC90</f>
      </c>
      <c r="AD91" s="22">
        <f>AD87+AD88+AD89+AD90</f>
      </c>
      <c r="AE91" s="22">
        <f>AE87+AE88+AE89+AE90</f>
      </c>
      <c r="AF91" s="22">
        <f>AF87+AF88+AF89+AF90</f>
      </c>
      <c r="AG91" s="22">
        <f>AG87+AG88+AG89+AG90</f>
      </c>
      <c r="AH91" s="22">
        <f>AH87+AH88+AH89+AH90</f>
      </c>
      <c r="AI91" s="22">
        <f>AI87+AI88+AI89+AI90</f>
      </c>
      <c r="AJ91" s="22">
        <f>AJ87+AJ88+AJ89+AJ90</f>
      </c>
      <c r="AK91" s="22">
        <f>AK87+AK88+AK89+AK90</f>
      </c>
      <c r="AL91" s="22">
        <f>AL87+AL88+AL89+AL90</f>
      </c>
      <c r="AM91" s="23"/>
    </row>
    <row r="93" ht="12.75" customHeight="1" spans="2:39" x14ac:dyDescent="0.25">
      <c r="B93" s="11" t="s">
        <v>46</v>
      </c>
      <c r="C93" s="12"/>
      <c r="D93" s="12"/>
      <c r="E93" s="12"/>
      <c r="F93" s="12"/>
      <c r="G93" s="52" t="s">
        <v>7</v>
      </c>
      <c r="H93" s="52" t="s">
        <v>8</v>
      </c>
      <c r="I93" s="52" t="s">
        <v>9</v>
      </c>
      <c r="J93" s="52" t="s">
        <v>10</v>
      </c>
      <c r="K93" s="52" t="s">
        <v>11</v>
      </c>
      <c r="L93" s="52" t="s">
        <v>12</v>
      </c>
      <c r="M93" s="52" t="s">
        <v>13</v>
      </c>
      <c r="N93" s="52" t="s">
        <v>14</v>
      </c>
      <c r="O93" s="52" t="s">
        <v>15</v>
      </c>
      <c r="P93" s="52" t="s">
        <v>16</v>
      </c>
      <c r="Q93" s="52" t="s">
        <v>17</v>
      </c>
      <c r="R93" s="52" t="s">
        <v>18</v>
      </c>
      <c r="S93" s="52" t="s">
        <v>19</v>
      </c>
      <c r="T93" s="52" t="s">
        <v>20</v>
      </c>
      <c r="U93" s="52" t="s">
        <v>21</v>
      </c>
      <c r="V93" s="52" t="s">
        <v>22</v>
      </c>
      <c r="W93" s="52" t="s">
        <v>23</v>
      </c>
      <c r="X93" s="52" t="s">
        <v>24</v>
      </c>
      <c r="Y93" s="52" t="s">
        <v>25</v>
      </c>
      <c r="Z93" s="52" t="s">
        <v>26</v>
      </c>
      <c r="AA93" s="52" t="s">
        <v>27</v>
      </c>
      <c r="AB93" s="52" t="s">
        <v>28</v>
      </c>
      <c r="AC93" s="52" t="s">
        <v>29</v>
      </c>
      <c r="AD93" s="52" t="s">
        <v>30</v>
      </c>
      <c r="AE93" s="52" t="s">
        <v>31</v>
      </c>
      <c r="AF93" s="52" t="s">
        <v>32</v>
      </c>
      <c r="AG93" s="52" t="s">
        <v>33</v>
      </c>
      <c r="AH93" s="52" t="s">
        <v>34</v>
      </c>
      <c r="AI93" s="52" t="s">
        <v>35</v>
      </c>
      <c r="AJ93" s="52" t="s">
        <v>36</v>
      </c>
      <c r="AK93" s="52" t="s">
        <v>37</v>
      </c>
      <c r="AL93" s="52" t="s">
        <v>38</v>
      </c>
      <c r="AM93" s="15"/>
    </row>
    <row r="94" ht="12.75" customHeight="1" spans="2:39" x14ac:dyDescent="0.25">
      <c r="B94" s="16"/>
      <c r="C94" s="17"/>
      <c r="D94" s="17" t="s">
        <v>41</v>
      </c>
      <c r="E94" s="17"/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9"/>
    </row>
    <row r="95" ht="12.75" customHeight="1" spans="2:39" x14ac:dyDescent="0.25">
      <c r="B95" s="16"/>
      <c r="C95" s="17"/>
      <c r="D95" s="17" t="s">
        <v>42</v>
      </c>
      <c r="E95" s="17"/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9"/>
    </row>
    <row r="96" ht="12.75" customHeight="1" spans="2:39" x14ac:dyDescent="0.25">
      <c r="B96" s="16"/>
      <c r="C96" s="17"/>
      <c r="D96" s="17" t="s">
        <v>43</v>
      </c>
      <c r="E96" s="17"/>
      <c r="F96" s="1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9"/>
    </row>
    <row r="97" ht="12.75" customHeight="1" spans="2:39" x14ac:dyDescent="0.25">
      <c r="B97" s="16"/>
      <c r="C97" s="17"/>
      <c r="D97" s="17" t="s">
        <v>44</v>
      </c>
      <c r="E97" s="17"/>
      <c r="F97" s="1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9"/>
    </row>
    <row r="98" ht="12.75" customHeight="1" spans="2:39" x14ac:dyDescent="0.25">
      <c r="B98" s="20"/>
      <c r="C98" s="21"/>
      <c r="D98" s="21" t="s">
        <v>45</v>
      </c>
      <c r="E98" s="21"/>
      <c r="F98" s="21"/>
      <c r="G98" s="22">
        <f>G94+G95+G96+G97</f>
      </c>
      <c r="H98" s="22">
        <f>H94+H95+H96+H97</f>
      </c>
      <c r="I98" s="22">
        <f>I94+I95+I96+I97</f>
      </c>
      <c r="J98" s="22">
        <f>J94+J95+J96+J97</f>
      </c>
      <c r="K98" s="22">
        <f>K94+K95+K96+K97</f>
      </c>
      <c r="L98" s="22">
        <f>L94+L95+L96+L97</f>
      </c>
      <c r="M98" s="22">
        <f>M94+M95+M96+M97</f>
      </c>
      <c r="N98" s="22">
        <f>N94+N95+N96+N97</f>
      </c>
      <c r="O98" s="22">
        <f>O94+O95+O96+O97</f>
      </c>
      <c r="P98" s="22">
        <f>P94+P95+P96+P97</f>
      </c>
      <c r="Q98" s="22">
        <f>Q94+Q95+Q96+Q97</f>
      </c>
      <c r="R98" s="22">
        <f>R94+R95+R96+R97</f>
      </c>
      <c r="S98" s="22">
        <f>S94+S95+S96+S97</f>
      </c>
      <c r="T98" s="22">
        <f>T94+T95+T96+T97</f>
      </c>
      <c r="U98" s="22">
        <f>U94+U95+U96+U97</f>
      </c>
      <c r="V98" s="22">
        <f>V94+V95+V96+V97</f>
      </c>
      <c r="W98" s="22">
        <f>W94+W95+W96+W97</f>
      </c>
      <c r="X98" s="22">
        <f>X94+X95+X96+X97</f>
      </c>
      <c r="Y98" s="22">
        <f>Y94+Y95+Y96+Y97</f>
      </c>
      <c r="Z98" s="22">
        <f>Z94+Z95+Z96+Z97</f>
      </c>
      <c r="AA98" s="22">
        <f>AA94+AA95+AA96+AA97</f>
      </c>
      <c r="AB98" s="22">
        <f>AB94+AB95+AB96+AB97</f>
      </c>
      <c r="AC98" s="22">
        <f>AC94+AC95+AC96+AC97</f>
      </c>
      <c r="AD98" s="22">
        <f>AD94+AD95+AD96+AD97</f>
      </c>
      <c r="AE98" s="22">
        <f>AE94+AE95+AE96+AE97</f>
      </c>
      <c r="AF98" s="22">
        <f>AF94+AF95+AF96+AF97</f>
      </c>
      <c r="AG98" s="22">
        <f>AG94+AG95+AG96+AG97</f>
      </c>
      <c r="AH98" s="22">
        <f>AH94+AH95+AH96+AH97</f>
      </c>
      <c r="AI98" s="22">
        <f>AI94+AI95+AI96+AI97</f>
      </c>
      <c r="AJ98" s="22">
        <f>AJ94+AJ95+AJ96+AJ97</f>
      </c>
      <c r="AK98" s="22">
        <f>AK94+AK95+AK96+AK97</f>
      </c>
      <c r="AL98" s="22">
        <f>AL94+AL95+AL96+AL97</f>
      </c>
      <c r="AM98" s="23"/>
    </row>
    <row r="100" ht="12.75" customHeight="1" spans="2:39" x14ac:dyDescent="0.25">
      <c r="B100" s="11" t="s">
        <v>47</v>
      </c>
      <c r="C100" s="12"/>
      <c r="D100" s="12"/>
      <c r="E100" s="12"/>
      <c r="F100" s="12"/>
      <c r="G100" s="52" t="s">
        <v>7</v>
      </c>
      <c r="H100" s="52" t="s">
        <v>8</v>
      </c>
      <c r="I100" s="52" t="s">
        <v>9</v>
      </c>
      <c r="J100" s="52" t="s">
        <v>10</v>
      </c>
      <c r="K100" s="52" t="s">
        <v>11</v>
      </c>
      <c r="L100" s="52" t="s">
        <v>12</v>
      </c>
      <c r="M100" s="52" t="s">
        <v>13</v>
      </c>
      <c r="N100" s="52" t="s">
        <v>14</v>
      </c>
      <c r="O100" s="52" t="s">
        <v>15</v>
      </c>
      <c r="P100" s="52" t="s">
        <v>16</v>
      </c>
      <c r="Q100" s="52" t="s">
        <v>17</v>
      </c>
      <c r="R100" s="52" t="s">
        <v>18</v>
      </c>
      <c r="S100" s="52" t="s">
        <v>19</v>
      </c>
      <c r="T100" s="52" t="s">
        <v>20</v>
      </c>
      <c r="U100" s="52" t="s">
        <v>21</v>
      </c>
      <c r="V100" s="52" t="s">
        <v>22</v>
      </c>
      <c r="W100" s="52" t="s">
        <v>23</v>
      </c>
      <c r="X100" s="52" t="s">
        <v>24</v>
      </c>
      <c r="Y100" s="52" t="s">
        <v>25</v>
      </c>
      <c r="Z100" s="52" t="s">
        <v>26</v>
      </c>
      <c r="AA100" s="52" t="s">
        <v>27</v>
      </c>
      <c r="AB100" s="52" t="s">
        <v>28</v>
      </c>
      <c r="AC100" s="52" t="s">
        <v>29</v>
      </c>
      <c r="AD100" s="52" t="s">
        <v>30</v>
      </c>
      <c r="AE100" s="52" t="s">
        <v>31</v>
      </c>
      <c r="AF100" s="52" t="s">
        <v>32</v>
      </c>
      <c r="AG100" s="52" t="s">
        <v>33</v>
      </c>
      <c r="AH100" s="52" t="s">
        <v>34</v>
      </c>
      <c r="AI100" s="52" t="s">
        <v>35</v>
      </c>
      <c r="AJ100" s="52" t="s">
        <v>36</v>
      </c>
      <c r="AK100" s="52" t="s">
        <v>37</v>
      </c>
      <c r="AL100" s="52" t="s">
        <v>38</v>
      </c>
      <c r="AM100" s="15"/>
    </row>
    <row r="101" ht="12.75" customHeight="1" spans="2:39" x14ac:dyDescent="0.25">
      <c r="B101" s="16"/>
      <c r="C101" s="17"/>
      <c r="D101" s="17" t="s">
        <v>41</v>
      </c>
      <c r="E101" s="17"/>
      <c r="F101" s="17"/>
      <c r="G101" s="24">
        <f>G94-G87</f>
      </c>
      <c r="H101" s="24">
        <f>H94-H87</f>
      </c>
      <c r="I101" s="24">
        <f>I94-I87</f>
      </c>
      <c r="J101" s="24">
        <f>J94-J87</f>
      </c>
      <c r="K101" s="24">
        <f>K94-K87</f>
      </c>
      <c r="L101" s="24">
        <f>L94-L87</f>
      </c>
      <c r="M101" s="24">
        <f>M94-M87</f>
      </c>
      <c r="N101" s="24">
        <f>N94-N87</f>
      </c>
      <c r="O101" s="24">
        <f>O94-O87</f>
      </c>
      <c r="P101" s="24">
        <f>P94-P87</f>
      </c>
      <c r="Q101" s="24">
        <f>Q94-Q87</f>
      </c>
      <c r="R101" s="24">
        <f>R94-R87</f>
      </c>
      <c r="S101" s="24">
        <f>S94-S87</f>
      </c>
      <c r="T101" s="24">
        <f>T94-T87</f>
      </c>
      <c r="U101" s="24">
        <f>U94-U87</f>
      </c>
      <c r="V101" s="24">
        <f>V94-V87</f>
      </c>
      <c r="W101" s="24">
        <f>W94-W87</f>
      </c>
      <c r="X101" s="24">
        <f>X94-X87</f>
      </c>
      <c r="Y101" s="24">
        <f>Y94-Y87</f>
      </c>
      <c r="Z101" s="24">
        <f>Z94-Z87</f>
      </c>
      <c r="AA101" s="24">
        <f>AA94-AA87</f>
      </c>
      <c r="AB101" s="24">
        <f>AB94-AB87</f>
      </c>
      <c r="AC101" s="24">
        <f>AC94-AC87</f>
      </c>
      <c r="AD101" s="24">
        <f>AD94-AD87</f>
      </c>
      <c r="AE101" s="24">
        <f>AE94-AE87</f>
      </c>
      <c r="AF101" s="24">
        <f>AF94-AF87</f>
      </c>
      <c r="AG101" s="24">
        <f>AG94-AG87</f>
      </c>
      <c r="AH101" s="24">
        <f>AH94-AH87</f>
      </c>
      <c r="AI101" s="24">
        <f>AI94-AI87</f>
      </c>
      <c r="AJ101" s="24">
        <f>AJ94-AJ87</f>
      </c>
      <c r="AK101" s="24">
        <f>AK94-AK87</f>
      </c>
      <c r="AL101" s="24">
        <f>AL94-AL87</f>
      </c>
      <c r="AM101" s="19"/>
    </row>
    <row r="102" ht="12.75" customHeight="1" spans="2:39" x14ac:dyDescent="0.25">
      <c r="B102" s="16"/>
      <c r="C102" s="17"/>
      <c r="D102" s="17" t="s">
        <v>42</v>
      </c>
      <c r="E102" s="17"/>
      <c r="F102" s="17"/>
      <c r="G102" s="24">
        <f>G95-G88</f>
      </c>
      <c r="H102" s="24">
        <f>H95-H88</f>
      </c>
      <c r="I102" s="24">
        <f>I95-I88</f>
      </c>
      <c r="J102" s="24">
        <f>J95-J88</f>
      </c>
      <c r="K102" s="24">
        <f>K95-K88</f>
      </c>
      <c r="L102" s="24">
        <f>L95-L88</f>
      </c>
      <c r="M102" s="24">
        <f>M95-M88</f>
      </c>
      <c r="N102" s="24">
        <f>N95-N88</f>
      </c>
      <c r="O102" s="24">
        <f>O95-O88</f>
      </c>
      <c r="P102" s="24">
        <f>P95-P88</f>
      </c>
      <c r="Q102" s="24">
        <f>Q95-Q88</f>
      </c>
      <c r="R102" s="24">
        <f>R95-R88</f>
      </c>
      <c r="S102" s="24">
        <f>S95-S88</f>
      </c>
      <c r="T102" s="24">
        <f>T95-T88</f>
      </c>
      <c r="U102" s="24">
        <f>U95-U88</f>
      </c>
      <c r="V102" s="24">
        <f>V95-V88</f>
      </c>
      <c r="W102" s="24">
        <f>W95-W88</f>
      </c>
      <c r="X102" s="24">
        <f>X95-X88</f>
      </c>
      <c r="Y102" s="24">
        <f>Y95-Y88</f>
      </c>
      <c r="Z102" s="24">
        <f>Z95-Z88</f>
      </c>
      <c r="AA102" s="24">
        <f>AA95-AA88</f>
      </c>
      <c r="AB102" s="24">
        <f>AB95-AB88</f>
      </c>
      <c r="AC102" s="24">
        <f>AC95-AC88</f>
      </c>
      <c r="AD102" s="24">
        <f>AD95-AD88</f>
      </c>
      <c r="AE102" s="24">
        <f>AE95-AE88</f>
      </c>
      <c r="AF102" s="24">
        <f>AF95-AF88</f>
      </c>
      <c r="AG102" s="24">
        <f>AG95-AG88</f>
      </c>
      <c r="AH102" s="24">
        <f>AH95-AH88</f>
      </c>
      <c r="AI102" s="24">
        <f>AI95-AI88</f>
      </c>
      <c r="AJ102" s="24">
        <f>AJ95-AJ88</f>
      </c>
      <c r="AK102" s="24">
        <f>AK95-AK88</f>
      </c>
      <c r="AL102" s="24">
        <f>AL95-AL88</f>
      </c>
      <c r="AM102" s="19"/>
    </row>
    <row r="103" ht="12.75" customHeight="1" spans="2:39" x14ac:dyDescent="0.25">
      <c r="B103" s="16"/>
      <c r="C103" s="17"/>
      <c r="D103" s="17" t="s">
        <v>43</v>
      </c>
      <c r="E103" s="17"/>
      <c r="F103" s="17"/>
      <c r="G103" s="24">
        <f>G96-G89</f>
      </c>
      <c r="H103" s="24">
        <f>H96-H89</f>
      </c>
      <c r="I103" s="24">
        <f>I96-I89</f>
      </c>
      <c r="J103" s="24">
        <f>J96-J89</f>
      </c>
      <c r="K103" s="24">
        <f>K96-K89</f>
      </c>
      <c r="L103" s="24">
        <f>L96-L89</f>
      </c>
      <c r="M103" s="24">
        <f>M96-M89</f>
      </c>
      <c r="N103" s="24">
        <f>N96-N89</f>
      </c>
      <c r="O103" s="24">
        <f>O96-O89</f>
      </c>
      <c r="P103" s="24">
        <f>P96-P89</f>
      </c>
      <c r="Q103" s="24">
        <f>Q96-Q89</f>
      </c>
      <c r="R103" s="24">
        <f>R96-R89</f>
      </c>
      <c r="S103" s="24">
        <f>S96-S89</f>
      </c>
      <c r="T103" s="24">
        <f>T96-T89</f>
      </c>
      <c r="U103" s="24">
        <f>U96-U89</f>
      </c>
      <c r="V103" s="24">
        <f>V96-V89</f>
      </c>
      <c r="W103" s="24">
        <f>W96-W89</f>
      </c>
      <c r="X103" s="24">
        <f>X96-X89</f>
      </c>
      <c r="Y103" s="24">
        <f>Y96-Y89</f>
      </c>
      <c r="Z103" s="24">
        <f>Z96-Z89</f>
      </c>
      <c r="AA103" s="24">
        <f>AA96-AA89</f>
      </c>
      <c r="AB103" s="24">
        <f>AB96-AB89</f>
      </c>
      <c r="AC103" s="24">
        <f>AC96-AC89</f>
      </c>
      <c r="AD103" s="24">
        <f>AD96-AD89</f>
      </c>
      <c r="AE103" s="24">
        <f>AE96-AE89</f>
      </c>
      <c r="AF103" s="24">
        <f>AF96-AF89</f>
      </c>
      <c r="AG103" s="24">
        <f>AG96-AG89</f>
      </c>
      <c r="AH103" s="24">
        <f>AH96-AH89</f>
      </c>
      <c r="AI103" s="24">
        <f>AI96-AI89</f>
      </c>
      <c r="AJ103" s="24">
        <f>AJ96-AJ89</f>
      </c>
      <c r="AK103" s="24">
        <f>AK96-AK89</f>
      </c>
      <c r="AL103" s="24">
        <f>AL96-AL89</f>
      </c>
      <c r="AM103" s="19"/>
    </row>
    <row r="104" ht="12.75" customHeight="1" spans="2:39" x14ac:dyDescent="0.25">
      <c r="B104" s="16"/>
      <c r="C104" s="17"/>
      <c r="D104" s="17" t="s">
        <v>44</v>
      </c>
      <c r="E104" s="17"/>
      <c r="F104" s="17"/>
      <c r="G104" s="24">
        <f>G97-G90</f>
      </c>
      <c r="H104" s="24">
        <f>H97-H90</f>
      </c>
      <c r="I104" s="24">
        <f>I97-I90</f>
      </c>
      <c r="J104" s="24">
        <f>J97-J90</f>
      </c>
      <c r="K104" s="24">
        <f>K97-K90</f>
      </c>
      <c r="L104" s="24">
        <f>L97-L90</f>
      </c>
      <c r="M104" s="24">
        <f>M97-M90</f>
      </c>
      <c r="N104" s="24">
        <f>N97-N90</f>
      </c>
      <c r="O104" s="24">
        <f>O97-O90</f>
      </c>
      <c r="P104" s="24">
        <f>P97-P90</f>
      </c>
      <c r="Q104" s="24">
        <f>Q97-Q90</f>
      </c>
      <c r="R104" s="24">
        <f>R97-R90</f>
      </c>
      <c r="S104" s="24">
        <f>S97-S90</f>
      </c>
      <c r="T104" s="24">
        <f>T97-T90</f>
      </c>
      <c r="U104" s="24">
        <f>U97-U90</f>
      </c>
      <c r="V104" s="24">
        <f>V97-V90</f>
      </c>
      <c r="W104" s="24">
        <f>W97-W90</f>
      </c>
      <c r="X104" s="24">
        <f>X97-X90</f>
      </c>
      <c r="Y104" s="24">
        <f>Y97-Y90</f>
      </c>
      <c r="Z104" s="24">
        <f>Z97-Z90</f>
      </c>
      <c r="AA104" s="24">
        <f>AA97-AA90</f>
      </c>
      <c r="AB104" s="24">
        <f>AB97-AB90</f>
      </c>
      <c r="AC104" s="24">
        <f>AC97-AC90</f>
      </c>
      <c r="AD104" s="24">
        <f>AD97-AD90</f>
      </c>
      <c r="AE104" s="24">
        <f>AE97-AE90</f>
      </c>
      <c r="AF104" s="24">
        <f>AF97-AF90</f>
      </c>
      <c r="AG104" s="24">
        <f>AG97-AG90</f>
      </c>
      <c r="AH104" s="24">
        <f>AH97-AH90</f>
      </c>
      <c r="AI104" s="24">
        <f>AI97-AI90</f>
      </c>
      <c r="AJ104" s="24">
        <f>AJ97-AJ90</f>
      </c>
      <c r="AK104" s="24">
        <f>AK97-AK90</f>
      </c>
      <c r="AL104" s="24">
        <f>AL97-AL90</f>
      </c>
      <c r="AM104" s="19"/>
    </row>
    <row r="105" ht="12.75" customHeight="1" spans="2:39" x14ac:dyDescent="0.25">
      <c r="B105" s="20"/>
      <c r="C105" s="21"/>
      <c r="D105" s="21" t="s">
        <v>45</v>
      </c>
      <c r="E105" s="21"/>
      <c r="F105" s="21"/>
      <c r="G105" s="25">
        <f>G101+G102+G103+G104</f>
      </c>
      <c r="H105" s="25">
        <f>H101+H102+H103+H104</f>
      </c>
      <c r="I105" s="25">
        <f>I101+I102+I103+I104</f>
      </c>
      <c r="J105" s="25">
        <f>J101+J102+J103+J104</f>
      </c>
      <c r="K105" s="25">
        <f>K101+K102+K103+K104</f>
      </c>
      <c r="L105" s="25">
        <f>L101+L102+L103+L104</f>
      </c>
      <c r="M105" s="25">
        <f>M101+M102+M103+M104</f>
      </c>
      <c r="N105" s="25">
        <f>N101+N102+N103+N104</f>
      </c>
      <c r="O105" s="25">
        <f>O101+O102+O103+O104</f>
      </c>
      <c r="P105" s="25">
        <f>P101+P102+P103+P104</f>
      </c>
      <c r="Q105" s="25">
        <f>Q101+Q102+Q103+Q104</f>
      </c>
      <c r="R105" s="25">
        <f>R101+R102+R103+R104</f>
      </c>
      <c r="S105" s="25">
        <f>S101+S102+S103+S104</f>
      </c>
      <c r="T105" s="25">
        <f>T101+T102+T103+T104</f>
      </c>
      <c r="U105" s="25">
        <f>U101+U102+U103+U104</f>
      </c>
      <c r="V105" s="25">
        <f>V101+V102+V103+V104</f>
      </c>
      <c r="W105" s="25">
        <f>W101+W102+W103+W104</f>
      </c>
      <c r="X105" s="25">
        <f>X101+X102+X103+X104</f>
      </c>
      <c r="Y105" s="25">
        <f>Y101+Y102+Y103+Y104</f>
      </c>
      <c r="Z105" s="25">
        <f>Z101+Z102+Z103+Z104</f>
      </c>
      <c r="AA105" s="25">
        <f>AA101+AA102+AA103+AA104</f>
      </c>
      <c r="AB105" s="25">
        <f>AB101+AB102+AB103+AB104</f>
      </c>
      <c r="AC105" s="25">
        <f>AC101+AC102+AC103+AC104</f>
      </c>
      <c r="AD105" s="25">
        <f>AD101+AD102+AD103+AD104</f>
      </c>
      <c r="AE105" s="25">
        <f>AE101+AE102+AE103+AE104</f>
      </c>
      <c r="AF105" s="25">
        <f>AF101+AF102+AF103+AF104</f>
      </c>
      <c r="AG105" s="25">
        <f>AG101+AG102+AG103+AG104</f>
      </c>
      <c r="AH105" s="25">
        <f>AH101+AH102+AH103+AH104</f>
      </c>
      <c r="AI105" s="25">
        <f>AI101+AI102+AI103+AI104</f>
      </c>
      <c r="AJ105" s="25">
        <f>AJ101+AJ102+AJ103+AJ104</f>
      </c>
      <c r="AK105" s="25">
        <f>AK101+AK102+AK103+AK104</f>
      </c>
      <c r="AL105" s="25">
        <f>AL101+AL102+AL103+AL104</f>
      </c>
      <c r="AM10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21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898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649</v>
      </c>
      <c r="D13" s="32" t="s">
        <v>899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3">
        <v>1.38</v>
      </c>
      <c r="AC13" s="33">
        <v>-59.17</v>
      </c>
      <c r="AD13" s="33">
        <v>38.46</v>
      </c>
      <c r="AE13" s="33">
        <v>398.29</v>
      </c>
      <c r="AF13" s="33">
        <v>-345.87</v>
      </c>
      <c r="AG13" s="33">
        <v>-316.29</v>
      </c>
      <c r="AH13" s="33">
        <v>-357.35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649</v>
      </c>
      <c r="D14" s="32" t="s">
        <v>900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>
        <v>200</v>
      </c>
      <c r="AA14" s="33">
        <v>203.62</v>
      </c>
      <c r="AB14" s="33">
        <v>-4.58</v>
      </c>
      <c r="AC14" s="33">
        <v>-48.08</v>
      </c>
      <c r="AD14" s="33">
        <v>85.5</v>
      </c>
      <c r="AE14" s="33">
        <v>126.45</v>
      </c>
      <c r="AF14" s="33">
        <v>-101.58</v>
      </c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649</v>
      </c>
      <c r="D15" s="32" t="s">
        <v>901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281.82</v>
      </c>
      <c r="Z15" s="33">
        <v>0</v>
      </c>
      <c r="AA15" s="33">
        <v>0</v>
      </c>
      <c r="AB15" s="33">
        <v>0.13</v>
      </c>
      <c r="AC15" s="33">
        <v>0.07</v>
      </c>
      <c r="AD15" s="33">
        <v>0</v>
      </c>
      <c r="AE15" s="33">
        <v>282.02</v>
      </c>
      <c r="AF15" s="33">
        <v>-56.4</v>
      </c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649</v>
      </c>
      <c r="D16" s="32" t="s">
        <v>826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>
        <v>55.12</v>
      </c>
      <c r="U16" s="33">
        <v>48.03</v>
      </c>
      <c r="V16" s="33">
        <v>68.41</v>
      </c>
      <c r="W16" s="33">
        <v>97.85</v>
      </c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649</v>
      </c>
      <c r="D17" s="32" t="s">
        <v>902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3">
        <v>30.8</v>
      </c>
      <c r="Y17" s="33">
        <v>30.8</v>
      </c>
      <c r="Z17" s="33">
        <v>30.8</v>
      </c>
      <c r="AA17" s="33">
        <v>30.8</v>
      </c>
      <c r="AB17" s="33">
        <v>30.8</v>
      </c>
      <c r="AC17" s="33">
        <v>30.8</v>
      </c>
      <c r="AD17" s="33">
        <v>30.8</v>
      </c>
      <c r="AE17" s="33">
        <v>30.8</v>
      </c>
      <c r="AF17" s="33">
        <v>18.47</v>
      </c>
      <c r="AG17" s="33">
        <v>143.52</v>
      </c>
      <c r="AH17" s="33">
        <v>132.13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649</v>
      </c>
      <c r="D18" s="32" t="s">
        <v>827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88.33</v>
      </c>
      <c r="U18" s="33">
        <v>74.84</v>
      </c>
      <c r="V18" s="33">
        <v>68.24</v>
      </c>
      <c r="W18" s="33">
        <v>49.48</v>
      </c>
      <c r="X18" s="33">
        <v>30.8</v>
      </c>
      <c r="Y18" s="33">
        <v>30.8</v>
      </c>
      <c r="Z18" s="33">
        <v>30.8</v>
      </c>
      <c r="AA18" s="33">
        <v>30.8</v>
      </c>
      <c r="AB18" s="33">
        <v>30.8</v>
      </c>
      <c r="AC18" s="33">
        <v>30.8</v>
      </c>
      <c r="AD18" s="33">
        <v>-48.26</v>
      </c>
      <c r="AE18" s="33">
        <v>-17.46</v>
      </c>
      <c r="AF18" s="33">
        <v>-12.33</v>
      </c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649</v>
      </c>
      <c r="D19" s="32" t="s">
        <v>828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461.78</v>
      </c>
      <c r="U19" s="33">
        <v>487.82</v>
      </c>
      <c r="V19" s="33">
        <v>405.15</v>
      </c>
      <c r="W19" s="33">
        <v>502.7</v>
      </c>
      <c r="X19" s="33">
        <v>513.69</v>
      </c>
      <c r="Y19" s="33">
        <v>667.22</v>
      </c>
      <c r="Z19" s="33">
        <v>625.63</v>
      </c>
      <c r="AA19" s="33">
        <v>652.6</v>
      </c>
      <c r="AB19" s="33">
        <v>557.02</v>
      </c>
      <c r="AC19" s="33">
        <v>439.31</v>
      </c>
      <c r="AD19" s="33">
        <v>318.16</v>
      </c>
      <c r="AE19" s="33">
        <v>296.14</v>
      </c>
      <c r="AF19" s="33">
        <v>196.17</v>
      </c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649</v>
      </c>
      <c r="D20" s="32" t="s">
        <v>829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30.8</v>
      </c>
      <c r="U20" s="33">
        <v>30.8</v>
      </c>
      <c r="V20" s="33">
        <v>30.8</v>
      </c>
      <c r="W20" s="33">
        <v>30.8</v>
      </c>
      <c r="X20" s="33">
        <v>30.8</v>
      </c>
      <c r="Y20" s="33">
        <v>30.8</v>
      </c>
      <c r="Z20" s="33">
        <v>30.8</v>
      </c>
      <c r="AA20" s="33">
        <v>30.8</v>
      </c>
      <c r="AB20" s="33">
        <v>30.8</v>
      </c>
      <c r="AC20" s="33">
        <v>30.8</v>
      </c>
      <c r="AD20" s="33">
        <v>30.8</v>
      </c>
      <c r="AE20" s="33">
        <v>30.8</v>
      </c>
      <c r="AF20" s="33">
        <v>20.53</v>
      </c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649</v>
      </c>
      <c r="D21" s="32" t="s">
        <v>903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18.37</v>
      </c>
      <c r="W21" s="33">
        <v>30.8</v>
      </c>
      <c r="X21" s="33">
        <v>30.8</v>
      </c>
      <c r="Y21" s="33">
        <v>30.8</v>
      </c>
      <c r="Z21" s="33">
        <v>30.8</v>
      </c>
      <c r="AA21" s="33">
        <v>30.8</v>
      </c>
      <c r="AB21" s="33">
        <v>30.8</v>
      </c>
      <c r="AC21" s="33">
        <v>30.8</v>
      </c>
      <c r="AD21" s="33">
        <v>30.8</v>
      </c>
      <c r="AE21" s="33">
        <v>30.8</v>
      </c>
      <c r="AF21" s="33">
        <v>30.8</v>
      </c>
      <c r="AG21" s="33">
        <v>30.8</v>
      </c>
      <c r="AH21" s="33">
        <v>30.8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649</v>
      </c>
      <c r="D22" s="32" t="s">
        <v>831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>
        <v>30.8</v>
      </c>
      <c r="U22" s="33">
        <v>85.77</v>
      </c>
      <c r="V22" s="33">
        <v>30.8</v>
      </c>
      <c r="W22" s="33">
        <v>30.8</v>
      </c>
      <c r="X22" s="33">
        <v>12.32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649</v>
      </c>
      <c r="D23" s="32" t="s">
        <v>832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>
        <v>104.65</v>
      </c>
      <c r="U23" s="33">
        <v>123.22</v>
      </c>
      <c r="V23" s="33">
        <v>88.14</v>
      </c>
      <c r="W23" s="33">
        <v>121.06</v>
      </c>
      <c r="X23" s="33">
        <v>80.41</v>
      </c>
      <c r="Y23" s="33">
        <v>30.8</v>
      </c>
      <c r="Z23" s="33">
        <v>30.8</v>
      </c>
      <c r="AA23" s="33">
        <v>30.8</v>
      </c>
      <c r="AB23" s="33">
        <v>30.8</v>
      </c>
      <c r="AC23" s="33">
        <v>30.8</v>
      </c>
      <c r="AD23" s="33">
        <v>30.8</v>
      </c>
      <c r="AE23" s="33">
        <v>30.8</v>
      </c>
      <c r="AF23" s="33">
        <v>20.53</v>
      </c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649</v>
      </c>
      <c r="D24" s="32" t="s">
        <v>833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>
        <v>30.8</v>
      </c>
      <c r="U24" s="33">
        <v>30.8</v>
      </c>
      <c r="V24" s="33">
        <v>71.86</v>
      </c>
      <c r="W24" s="33">
        <v>66.93</v>
      </c>
      <c r="X24" s="33">
        <v>30.8</v>
      </c>
      <c r="Y24" s="33">
        <v>36.16</v>
      </c>
      <c r="Z24" s="33">
        <v>30.8</v>
      </c>
      <c r="AA24" s="33">
        <v>30.8</v>
      </c>
      <c r="AB24" s="33">
        <v>30.8</v>
      </c>
      <c r="AC24" s="33">
        <v>30.8</v>
      </c>
      <c r="AD24" s="33">
        <v>30.8</v>
      </c>
      <c r="AE24" s="33">
        <v>30.8</v>
      </c>
      <c r="AF24" s="33">
        <v>20.53</v>
      </c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649</v>
      </c>
      <c r="D25" s="32" t="s">
        <v>834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v>67.57</v>
      </c>
      <c r="U25" s="36">
        <f>96.74+96.74</f>
        <v>193.48</v>
      </c>
      <c r="V25" s="33">
        <v>72.93</v>
      </c>
      <c r="W25" s="33">
        <v>104.05</v>
      </c>
      <c r="X25" s="33">
        <v>129.22</v>
      </c>
      <c r="Y25" s="33">
        <v>210.42</v>
      </c>
      <c r="Z25" s="33">
        <v>249.12</v>
      </c>
      <c r="AA25" s="33">
        <v>295.29</v>
      </c>
      <c r="AB25" s="33">
        <v>223.57</v>
      </c>
      <c r="AC25" s="33">
        <v>157.66</v>
      </c>
      <c r="AD25" s="33">
        <v>102.96</v>
      </c>
      <c r="AE25" s="33">
        <v>86.16</v>
      </c>
      <c r="AF25" s="33">
        <v>24.64</v>
      </c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649</v>
      </c>
      <c r="D26" s="32" t="s">
        <v>835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v>30.8</v>
      </c>
      <c r="U26" s="33">
        <v>31.16</v>
      </c>
      <c r="V26" s="33">
        <v>108.7</v>
      </c>
      <c r="W26" s="33">
        <v>68.24</v>
      </c>
      <c r="X26" s="33">
        <v>84.03</v>
      </c>
      <c r="Y26" s="33">
        <v>73.03</v>
      </c>
      <c r="Z26" s="33">
        <v>30.8</v>
      </c>
      <c r="AA26" s="33">
        <v>30.8</v>
      </c>
      <c r="AB26" s="33">
        <v>30.8</v>
      </c>
      <c r="AC26" s="33">
        <v>30.8</v>
      </c>
      <c r="AD26" s="33">
        <v>30.8</v>
      </c>
      <c r="AE26" s="33">
        <v>30.8</v>
      </c>
      <c r="AF26" s="33">
        <v>118.74</v>
      </c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649</v>
      </c>
      <c r="D27" s="32" t="s">
        <v>836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>
        <v>86.04</v>
      </c>
      <c r="U27" s="33">
        <v>113.7</v>
      </c>
      <c r="V27" s="33">
        <v>176.95</v>
      </c>
      <c r="W27" s="33">
        <v>171.74</v>
      </c>
      <c r="X27" s="33">
        <v>93.79</v>
      </c>
      <c r="Y27" s="33">
        <v>83.36</v>
      </c>
      <c r="Z27" s="33">
        <v>164.18</v>
      </c>
      <c r="AA27" s="33">
        <v>80.36</v>
      </c>
      <c r="AB27" s="33">
        <v>232.03</v>
      </c>
      <c r="AC27" s="33">
        <v>118.84</v>
      </c>
      <c r="AD27" s="33">
        <v>112.55</v>
      </c>
      <c r="AE27" s="33">
        <v>144.65</v>
      </c>
      <c r="AF27" s="33">
        <v>109.53</v>
      </c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649</v>
      </c>
      <c r="D28" s="32" t="s">
        <v>904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3">
        <v>30.8</v>
      </c>
      <c r="Y28" s="33">
        <v>30.8</v>
      </c>
      <c r="Z28" s="33">
        <v>30.8</v>
      </c>
      <c r="AA28" s="33">
        <v>2.05</v>
      </c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649</v>
      </c>
      <c r="D29" s="32" t="s">
        <v>905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>
        <v>30.8</v>
      </c>
      <c r="AB29" s="33">
        <v>30.8</v>
      </c>
      <c r="AC29" s="33">
        <v>30.8</v>
      </c>
      <c r="AD29" s="33">
        <v>30.8</v>
      </c>
      <c r="AE29" s="33">
        <v>30.8</v>
      </c>
      <c r="AF29" s="33">
        <v>30.8</v>
      </c>
      <c r="AG29" s="33">
        <v>91.81</v>
      </c>
      <c r="AH29" s="33">
        <v>70.05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649</v>
      </c>
      <c r="D30" s="32" t="s">
        <v>837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>
        <v>30.8</v>
      </c>
      <c r="U30" s="33">
        <v>30.8</v>
      </c>
      <c r="V30" s="33">
        <v>30.8</v>
      </c>
      <c r="W30" s="33">
        <v>30.8</v>
      </c>
      <c r="X30" s="33">
        <v>30.8</v>
      </c>
      <c r="Y30" s="33">
        <v>30.8</v>
      </c>
      <c r="Z30" s="33">
        <v>30.8</v>
      </c>
      <c r="AA30" s="33">
        <v>30.8</v>
      </c>
      <c r="AB30" s="33">
        <v>30.8</v>
      </c>
      <c r="AC30" s="33">
        <v>30.8</v>
      </c>
      <c r="AD30" s="33">
        <v>30.8</v>
      </c>
      <c r="AE30" s="33">
        <v>30.8</v>
      </c>
      <c r="AF30" s="33">
        <v>20.53</v>
      </c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649</v>
      </c>
      <c r="D31" s="32" t="s">
        <v>838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>
        <v>57.53</v>
      </c>
      <c r="U31" s="33">
        <v>101.79</v>
      </c>
      <c r="V31" s="33">
        <v>45.05</v>
      </c>
      <c r="W31" s="33">
        <v>80.58</v>
      </c>
      <c r="X31" s="33">
        <v>57.72</v>
      </c>
      <c r="Y31" s="33">
        <v>71.35</v>
      </c>
      <c r="Z31" s="36">
        <f>17.37+0.00+66.43</f>
        <v>83.80000000000001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649</v>
      </c>
      <c r="D32" s="32" t="s">
        <v>839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>
        <v>53.9</v>
      </c>
      <c r="U32" s="33">
        <v>52.72</v>
      </c>
      <c r="V32" s="33">
        <v>61.04</v>
      </c>
      <c r="W32" s="33">
        <v>71.67</v>
      </c>
      <c r="X32" s="33">
        <v>75.8</v>
      </c>
      <c r="Y32" s="33">
        <v>84.25</v>
      </c>
      <c r="Z32" s="33">
        <v>89.47</v>
      </c>
      <c r="AA32" s="33">
        <v>109.43</v>
      </c>
      <c r="AB32" s="33">
        <v>95.19</v>
      </c>
      <c r="AC32" s="33">
        <v>66.5</v>
      </c>
      <c r="AD32" s="33">
        <v>61.78</v>
      </c>
      <c r="AE32" s="33">
        <v>50.08</v>
      </c>
      <c r="AF32" s="33">
        <v>39.35</v>
      </c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649</v>
      </c>
      <c r="D33" s="32" t="s">
        <v>840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>
        <v>30.8</v>
      </c>
      <c r="U33" s="33">
        <v>125.63</v>
      </c>
      <c r="V33" s="33">
        <v>105.09</v>
      </c>
      <c r="W33" s="33">
        <v>120.71</v>
      </c>
      <c r="X33" s="33">
        <v>30.8</v>
      </c>
      <c r="Y33" s="33">
        <v>30.8</v>
      </c>
      <c r="Z33" s="33">
        <v>30.8</v>
      </c>
      <c r="AA33" s="33">
        <v>30.8</v>
      </c>
      <c r="AB33" s="33">
        <v>30.8</v>
      </c>
      <c r="AC33" s="33">
        <v>30.8</v>
      </c>
      <c r="AD33" s="33">
        <v>30.8</v>
      </c>
      <c r="AE33" s="33">
        <v>30.8</v>
      </c>
      <c r="AF33" s="33">
        <v>22.58</v>
      </c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649</v>
      </c>
      <c r="D34" s="32" t="s">
        <v>841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>
        <v>371.25</v>
      </c>
      <c r="U34" s="36">
        <f>358.64+358.64</f>
        <v>717.28</v>
      </c>
      <c r="V34" s="33">
        <v>298.72</v>
      </c>
      <c r="W34" s="33">
        <v>378.59</v>
      </c>
      <c r="X34" s="33">
        <v>378.47</v>
      </c>
      <c r="Y34" s="33">
        <v>394.39</v>
      </c>
      <c r="Z34" s="33">
        <v>322.57</v>
      </c>
      <c r="AA34" s="33">
        <v>398.97</v>
      </c>
      <c r="AB34" s="33">
        <v>373.1</v>
      </c>
      <c r="AC34" s="33">
        <v>384.96</v>
      </c>
      <c r="AD34" s="33">
        <v>403.48</v>
      </c>
      <c r="AE34" s="33">
        <v>271.64</v>
      </c>
      <c r="AF34" s="33">
        <v>214.7</v>
      </c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649</v>
      </c>
      <c r="D35" s="32" t="s">
        <v>842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>
        <v>30.8</v>
      </c>
      <c r="U35" s="33">
        <v>30.8</v>
      </c>
      <c r="V35" s="33">
        <v>30.8</v>
      </c>
      <c r="W35" s="33">
        <v>11.29</v>
      </c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649</v>
      </c>
      <c r="D36" s="32" t="s">
        <v>843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>
        <v>508.32</v>
      </c>
      <c r="U36" s="33">
        <v>508.32</v>
      </c>
      <c r="V36" s="33">
        <v>544.42</v>
      </c>
      <c r="W36" s="33">
        <v>544.42</v>
      </c>
      <c r="X36" s="33">
        <v>544.42</v>
      </c>
      <c r="Y36" s="33">
        <v>544.42</v>
      </c>
      <c r="Z36" s="33">
        <v>544.42</v>
      </c>
      <c r="AA36" s="33">
        <v>544.67</v>
      </c>
      <c r="AB36" s="33">
        <v>544.81</v>
      </c>
      <c r="AC36" s="33">
        <v>544.81</v>
      </c>
      <c r="AD36" s="33">
        <v>544.81</v>
      </c>
      <c r="AE36" s="33">
        <v>544.81</v>
      </c>
      <c r="AF36" s="33">
        <v>381.35</v>
      </c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649</v>
      </c>
      <c r="D37" s="32" t="s">
        <v>906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3">
        <v>30.8</v>
      </c>
      <c r="X37" s="33">
        <v>30.8</v>
      </c>
      <c r="Y37" s="33">
        <v>30.8</v>
      </c>
      <c r="Z37" s="33">
        <v>30.8</v>
      </c>
      <c r="AA37" s="33">
        <v>6.16</v>
      </c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649</v>
      </c>
      <c r="D38" s="32" t="s">
        <v>844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30.8</v>
      </c>
      <c r="U38" s="33">
        <v>30.8</v>
      </c>
      <c r="V38" s="33">
        <v>30.8</v>
      </c>
      <c r="W38" s="33">
        <v>35.19</v>
      </c>
      <c r="X38" s="33">
        <v>30.8</v>
      </c>
      <c r="Y38" s="33">
        <v>30.8</v>
      </c>
      <c r="Z38" s="33">
        <v>30.8</v>
      </c>
      <c r="AA38" s="33">
        <v>30.8</v>
      </c>
      <c r="AB38" s="33">
        <v>30.8</v>
      </c>
      <c r="AC38" s="33">
        <v>30.8</v>
      </c>
      <c r="AD38" s="33">
        <v>30.8</v>
      </c>
      <c r="AE38" s="33">
        <v>30.8</v>
      </c>
      <c r="AF38" s="33">
        <v>22.58</v>
      </c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649</v>
      </c>
      <c r="D39" s="32" t="s">
        <v>845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>
        <v>30.8</v>
      </c>
      <c r="U39" s="33">
        <v>30.8</v>
      </c>
      <c r="V39" s="33">
        <v>30.8</v>
      </c>
      <c r="W39" s="33">
        <v>30.8</v>
      </c>
      <c r="X39" s="33">
        <v>30.8</v>
      </c>
      <c r="Y39" s="33">
        <v>30.8</v>
      </c>
      <c r="Z39" s="33">
        <v>30.8</v>
      </c>
      <c r="AA39" s="33">
        <v>30.8</v>
      </c>
      <c r="AB39" s="33">
        <v>30.8</v>
      </c>
      <c r="AC39" s="33">
        <v>30.8</v>
      </c>
      <c r="AD39" s="33">
        <v>30.8</v>
      </c>
      <c r="AE39" s="33">
        <v>30.8</v>
      </c>
      <c r="AF39" s="33">
        <v>22.58</v>
      </c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649</v>
      </c>
      <c r="D40" s="32" t="s">
        <v>846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>
        <v>149</v>
      </c>
      <c r="V40" s="33">
        <v>70.22</v>
      </c>
      <c r="W40" s="33">
        <v>73.84</v>
      </c>
      <c r="X40" s="33">
        <v>52.95</v>
      </c>
      <c r="Y40" s="33">
        <v>30.8</v>
      </c>
      <c r="Z40" s="33">
        <v>30.8</v>
      </c>
      <c r="AA40" s="33">
        <v>30.8</v>
      </c>
      <c r="AB40" s="33">
        <v>30.8</v>
      </c>
      <c r="AC40" s="33">
        <v>30.8</v>
      </c>
      <c r="AD40" s="33">
        <v>30.8</v>
      </c>
      <c r="AE40" s="33">
        <v>30.8</v>
      </c>
      <c r="AF40" s="33">
        <v>30.8</v>
      </c>
      <c r="AG40" s="33">
        <v>30.8</v>
      </c>
      <c r="AH40" s="33">
        <v>30.8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649</v>
      </c>
      <c r="D41" s="32" t="s">
        <v>847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>
        <v>30.8</v>
      </c>
      <c r="U41" s="33">
        <v>30.8</v>
      </c>
      <c r="V41" s="33">
        <v>30.8</v>
      </c>
      <c r="W41" s="33">
        <v>30.8</v>
      </c>
      <c r="X41" s="33">
        <v>30.8</v>
      </c>
      <c r="Y41" s="33">
        <v>30.8</v>
      </c>
      <c r="Z41" s="33">
        <v>30.8</v>
      </c>
      <c r="AA41" s="33">
        <v>30.8</v>
      </c>
      <c r="AB41" s="33">
        <v>30.8</v>
      </c>
      <c r="AC41" s="33">
        <v>30.8</v>
      </c>
      <c r="AD41" s="33">
        <v>30.8</v>
      </c>
      <c r="AE41" s="33">
        <v>30.8</v>
      </c>
      <c r="AF41" s="33">
        <v>22.58</v>
      </c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649</v>
      </c>
      <c r="D42" s="32" t="s">
        <v>848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>
        <v>30.8</v>
      </c>
      <c r="U42" s="33">
        <v>30.8</v>
      </c>
      <c r="V42" s="33">
        <v>59.19</v>
      </c>
      <c r="W42" s="33">
        <v>30.8</v>
      </c>
      <c r="X42" s="33">
        <v>110.01</v>
      </c>
      <c r="Y42" s="33">
        <v>89.78</v>
      </c>
      <c r="Z42" s="33">
        <v>178.45</v>
      </c>
      <c r="AA42" s="33">
        <v>220.37</v>
      </c>
      <c r="AB42" s="33">
        <v>145.13</v>
      </c>
      <c r="AC42" s="33">
        <v>30.8</v>
      </c>
      <c r="AD42" s="33">
        <v>30.8</v>
      </c>
      <c r="AE42" s="33">
        <v>30.8</v>
      </c>
      <c r="AF42" s="33">
        <v>22.58</v>
      </c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649</v>
      </c>
      <c r="D43" s="32" t="s">
        <v>849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>
        <v>30.8</v>
      </c>
      <c r="U43" s="33">
        <v>68.61</v>
      </c>
      <c r="V43" s="33">
        <v>88.66</v>
      </c>
      <c r="W43" s="33">
        <v>98.67</v>
      </c>
      <c r="X43" s="33">
        <v>30.8</v>
      </c>
      <c r="Y43" s="33">
        <v>0</v>
      </c>
      <c r="Z43" s="33">
        <v>30.8</v>
      </c>
      <c r="AA43" s="33">
        <v>30.8</v>
      </c>
      <c r="AB43" s="33">
        <v>30.8</v>
      </c>
      <c r="AC43" s="33">
        <v>30.8</v>
      </c>
      <c r="AD43" s="33">
        <v>30.8</v>
      </c>
      <c r="AE43" s="33">
        <v>30.8</v>
      </c>
      <c r="AF43" s="33">
        <v>22.58</v>
      </c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649</v>
      </c>
      <c r="D44" s="32" t="s">
        <v>850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>
        <v>31.58</v>
      </c>
      <c r="U44" s="33">
        <v>248.64</v>
      </c>
      <c r="V44" s="33">
        <v>61.34</v>
      </c>
      <c r="W44" s="33">
        <v>88.47</v>
      </c>
      <c r="X44" s="33">
        <v>170.05</v>
      </c>
      <c r="Y44" s="36">
        <f>29.67+185.73</f>
        <v>215.39999999999998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649</v>
      </c>
      <c r="D45" s="32" t="s">
        <v>851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>
        <v>30.8</v>
      </c>
      <c r="U45" s="33">
        <v>30.8</v>
      </c>
      <c r="V45" s="33">
        <v>30.8</v>
      </c>
      <c r="W45" s="33">
        <v>30.8</v>
      </c>
      <c r="X45" s="33">
        <v>30.8</v>
      </c>
      <c r="Y45" s="33">
        <v>30.8</v>
      </c>
      <c r="Z45" s="33">
        <v>30.8</v>
      </c>
      <c r="AA45" s="33">
        <v>30.8</v>
      </c>
      <c r="AB45" s="33">
        <v>30.8</v>
      </c>
      <c r="AC45" s="33">
        <v>30.8</v>
      </c>
      <c r="AD45" s="33">
        <v>30.8</v>
      </c>
      <c r="AE45" s="33">
        <v>30.8</v>
      </c>
      <c r="AF45" s="33">
        <v>22.58</v>
      </c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649</v>
      </c>
      <c r="D46" s="32" t="s">
        <v>852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>
        <v>86.47</v>
      </c>
      <c r="U46" s="33">
        <v>100.53</v>
      </c>
      <c r="V46" s="33">
        <v>108.38</v>
      </c>
      <c r="W46" s="33">
        <v>122.83</v>
      </c>
      <c r="X46" s="33">
        <v>39.95</v>
      </c>
      <c r="Y46" s="33">
        <v>30.8</v>
      </c>
      <c r="Z46" s="33">
        <v>30.8</v>
      </c>
      <c r="AA46" s="33">
        <v>30.8</v>
      </c>
      <c r="AB46" s="33">
        <v>30.8</v>
      </c>
      <c r="AC46" s="33">
        <v>30.8</v>
      </c>
      <c r="AD46" s="33">
        <v>30.8</v>
      </c>
      <c r="AE46" s="33">
        <v>30.8</v>
      </c>
      <c r="AF46" s="33">
        <v>22.58</v>
      </c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649</v>
      </c>
      <c r="D47" s="32" t="s">
        <v>907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3">
        <v>19.51</v>
      </c>
      <c r="Y47" s="33">
        <v>30.8</v>
      </c>
      <c r="Z47" s="33">
        <v>30.8</v>
      </c>
      <c r="AA47" s="33">
        <v>30.8</v>
      </c>
      <c r="AB47" s="33">
        <v>30.8</v>
      </c>
      <c r="AC47" s="33">
        <v>30.8</v>
      </c>
      <c r="AD47" s="33">
        <v>30.8</v>
      </c>
      <c r="AE47" s="33">
        <v>30.8</v>
      </c>
      <c r="AF47" s="33">
        <v>30.8</v>
      </c>
      <c r="AG47" s="33">
        <v>30.8</v>
      </c>
      <c r="AH47" s="33">
        <v>30.8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649</v>
      </c>
      <c r="D48" s="32" t="s">
        <v>908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3">
        <v>30.8</v>
      </c>
      <c r="Z48" s="33">
        <v>30.8</v>
      </c>
      <c r="AA48" s="33">
        <v>13.34</v>
      </c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649</v>
      </c>
      <c r="D49" s="32" t="s">
        <v>853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>
        <v>46.75</v>
      </c>
      <c r="U49" s="33">
        <v>153.29</v>
      </c>
      <c r="V49" s="33">
        <v>149.49</v>
      </c>
      <c r="W49" s="33">
        <v>182.27</v>
      </c>
      <c r="X49" s="33">
        <v>83.37</v>
      </c>
      <c r="Y49" s="33">
        <v>30.8</v>
      </c>
      <c r="Z49" s="33">
        <v>30.8</v>
      </c>
      <c r="AA49" s="33">
        <v>30.8</v>
      </c>
      <c r="AB49" s="33">
        <v>30.8</v>
      </c>
      <c r="AC49" s="33">
        <v>30.8</v>
      </c>
      <c r="AD49" s="33">
        <v>30.8</v>
      </c>
      <c r="AE49" s="33">
        <v>30.8</v>
      </c>
      <c r="AF49" s="33">
        <v>22.58</v>
      </c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649</v>
      </c>
      <c r="D50" s="32" t="s">
        <v>854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>
        <v>30.8</v>
      </c>
      <c r="U50" s="33">
        <v>30.8</v>
      </c>
      <c r="V50" s="33">
        <v>69.22</v>
      </c>
      <c r="W50" s="33">
        <v>30.8</v>
      </c>
      <c r="X50" s="33">
        <v>30.8</v>
      </c>
      <c r="Y50" s="33">
        <v>30.8</v>
      </c>
      <c r="Z50" s="33">
        <v>30.8</v>
      </c>
      <c r="AA50" s="33">
        <v>30.8</v>
      </c>
      <c r="AB50" s="33">
        <v>30.8</v>
      </c>
      <c r="AC50" s="33">
        <v>30.8</v>
      </c>
      <c r="AD50" s="33">
        <v>30.8</v>
      </c>
      <c r="AE50" s="33">
        <v>30.8</v>
      </c>
      <c r="AF50" s="33">
        <v>22.58</v>
      </c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649</v>
      </c>
      <c r="D51" s="32" t="s">
        <v>855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>
        <v>80.82</v>
      </c>
      <c r="U51" s="33">
        <v>73.99</v>
      </c>
      <c r="V51" s="33">
        <v>79.94</v>
      </c>
      <c r="W51" s="33">
        <v>92.86</v>
      </c>
      <c r="X51" s="33">
        <v>82.99</v>
      </c>
      <c r="Y51" s="33">
        <v>92.16</v>
      </c>
      <c r="Z51" s="33">
        <v>107.28</v>
      </c>
      <c r="AA51" s="33">
        <v>130.36</v>
      </c>
      <c r="AB51" s="33">
        <v>92.65</v>
      </c>
      <c r="AC51" s="33">
        <v>82.21</v>
      </c>
      <c r="AD51" s="33">
        <v>74.42</v>
      </c>
      <c r="AE51" s="33">
        <v>70.11</v>
      </c>
      <c r="AF51" s="33">
        <v>61.01</v>
      </c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649</v>
      </c>
      <c r="D52" s="32" t="s">
        <v>856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>
        <v>30.8</v>
      </c>
      <c r="U52" s="33">
        <v>30.8</v>
      </c>
      <c r="V52" s="33">
        <v>90.44</v>
      </c>
      <c r="W52" s="33">
        <v>30.8</v>
      </c>
      <c r="X52" s="33">
        <v>30.8</v>
      </c>
      <c r="Y52" s="33">
        <v>30.8</v>
      </c>
      <c r="Z52" s="33">
        <v>30.8</v>
      </c>
      <c r="AA52" s="33">
        <v>30.8</v>
      </c>
      <c r="AB52" s="33">
        <v>30.8</v>
      </c>
      <c r="AC52" s="33">
        <v>30.8</v>
      </c>
      <c r="AD52" s="33">
        <v>30.8</v>
      </c>
      <c r="AE52" s="33">
        <v>30.8</v>
      </c>
      <c r="AF52" s="33">
        <v>22.58</v>
      </c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649</v>
      </c>
      <c r="D53" s="32" t="s">
        <v>857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v>38.32</v>
      </c>
      <c r="U53" s="33">
        <v>72.97</v>
      </c>
      <c r="V53" s="33">
        <v>88.66</v>
      </c>
      <c r="W53" s="33">
        <v>83.88</v>
      </c>
      <c r="X53" s="33">
        <v>30.8</v>
      </c>
      <c r="Y53" s="33">
        <v>30.8</v>
      </c>
      <c r="Z53" s="33">
        <v>30.8</v>
      </c>
      <c r="AA53" s="33">
        <v>30.8</v>
      </c>
      <c r="AB53" s="33">
        <v>30.8</v>
      </c>
      <c r="AC53" s="33">
        <v>30.8</v>
      </c>
      <c r="AD53" s="33">
        <v>30.8</v>
      </c>
      <c r="AE53" s="33">
        <v>30.8</v>
      </c>
      <c r="AF53" s="33">
        <v>22.58</v>
      </c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649</v>
      </c>
      <c r="D54" s="32" t="s">
        <v>909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3">
        <v>30.8</v>
      </c>
      <c r="Z54" s="33">
        <v>30.8</v>
      </c>
      <c r="AA54" s="33">
        <v>13.34</v>
      </c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649</v>
      </c>
      <c r="D55" s="32" t="s">
        <v>910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>
        <v>30.8</v>
      </c>
      <c r="Y55" s="33">
        <v>30.8</v>
      </c>
      <c r="Z55" s="33">
        <v>30.8</v>
      </c>
      <c r="AA55" s="33">
        <v>13.34</v>
      </c>
      <c r="AB55" s="32"/>
      <c r="AC55" s="32"/>
      <c r="AD55" s="32"/>
      <c r="AE55" s="32"/>
      <c r="AF55" s="32"/>
      <c r="AG55" s="32"/>
      <c r="AH55" s="32"/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649</v>
      </c>
      <c r="D56" s="32" t="s">
        <v>911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3">
        <v>19.51</v>
      </c>
      <c r="Y56" s="33">
        <v>30.8</v>
      </c>
      <c r="Z56" s="33">
        <v>30.8</v>
      </c>
      <c r="AA56" s="33">
        <v>23.61</v>
      </c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649</v>
      </c>
      <c r="D57" s="32" t="s">
        <v>858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3">
        <v>24.64</v>
      </c>
      <c r="AA57" s="33">
        <v>30.8</v>
      </c>
      <c r="AB57" s="33">
        <v>58.27</v>
      </c>
      <c r="AC57" s="33">
        <v>129.61</v>
      </c>
      <c r="AD57" s="33">
        <v>131.09</v>
      </c>
      <c r="AE57" s="36">
        <f>31.37+118.56</f>
        <v>149.93</v>
      </c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649</v>
      </c>
      <c r="D58" s="32" t="s">
        <v>912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3">
        <v>19.51</v>
      </c>
      <c r="Y58" s="33">
        <v>30.8</v>
      </c>
      <c r="Z58" s="33">
        <v>30.8</v>
      </c>
      <c r="AA58" s="33">
        <v>13.34</v>
      </c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649</v>
      </c>
      <c r="D59" s="32" t="s">
        <v>913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3">
        <v>30.8</v>
      </c>
      <c r="Y59" s="33">
        <v>30.8</v>
      </c>
      <c r="Z59" s="33">
        <v>30.8</v>
      </c>
      <c r="AA59" s="33">
        <v>6.16</v>
      </c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649</v>
      </c>
      <c r="D60" s="32" t="s">
        <v>860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>
        <v>30.8</v>
      </c>
      <c r="U60" s="33">
        <v>30.8</v>
      </c>
      <c r="V60" s="33">
        <v>44.23</v>
      </c>
      <c r="W60" s="33">
        <v>56.57</v>
      </c>
      <c r="X60" s="33">
        <v>52.46</v>
      </c>
      <c r="Y60" s="33">
        <v>58.7</v>
      </c>
      <c r="Z60" s="33">
        <v>31.89</v>
      </c>
      <c r="AA60" s="33">
        <v>88.91</v>
      </c>
      <c r="AB60" s="33">
        <v>30.8</v>
      </c>
      <c r="AC60" s="33">
        <v>30.8</v>
      </c>
      <c r="AD60" s="33">
        <v>30.8</v>
      </c>
      <c r="AE60" s="33">
        <v>30.8</v>
      </c>
      <c r="AF60" s="33">
        <v>22.58</v>
      </c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649</v>
      </c>
      <c r="D61" s="32" t="s">
        <v>861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>
        <v>30.8</v>
      </c>
      <c r="U61" s="33">
        <v>30.8</v>
      </c>
      <c r="V61" s="33">
        <v>82.05</v>
      </c>
      <c r="W61" s="33">
        <v>30.8</v>
      </c>
      <c r="X61" s="33">
        <v>30.8</v>
      </c>
      <c r="Y61" s="33">
        <v>30.8</v>
      </c>
      <c r="Z61" s="33">
        <v>30.8</v>
      </c>
      <c r="AA61" s="33">
        <v>30.8</v>
      </c>
      <c r="AB61" s="33">
        <v>30.8</v>
      </c>
      <c r="AC61" s="33">
        <v>30.8</v>
      </c>
      <c r="AD61" s="33">
        <v>30.8</v>
      </c>
      <c r="AE61" s="33">
        <v>30.8</v>
      </c>
      <c r="AF61" s="33">
        <v>22.58</v>
      </c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649</v>
      </c>
      <c r="D62" s="32" t="s">
        <v>914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3">
        <v>12.32</v>
      </c>
      <c r="Y62" s="33">
        <v>30.8</v>
      </c>
      <c r="Z62" s="33">
        <v>30.8</v>
      </c>
      <c r="AA62" s="36">
        <f>-79.06+30.80</f>
        <v>-48.260000000000005</v>
      </c>
      <c r="AB62" s="33">
        <v>30.8</v>
      </c>
      <c r="AC62" s="33">
        <v>30.8</v>
      </c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649</v>
      </c>
      <c r="D63" s="32" t="s">
        <v>915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3">
        <v>23.61</v>
      </c>
      <c r="Z63" s="33">
        <v>30.8</v>
      </c>
      <c r="AA63" s="33">
        <v>13.34</v>
      </c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649</v>
      </c>
      <c r="D64" s="32" t="s">
        <v>862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>
        <v>31.29</v>
      </c>
      <c r="U64" s="33">
        <v>108.9</v>
      </c>
      <c r="V64" s="33">
        <v>94.88</v>
      </c>
      <c r="W64" s="33">
        <v>109.03</v>
      </c>
      <c r="X64" s="33">
        <v>30.8</v>
      </c>
      <c r="Y64" s="33">
        <v>30.8</v>
      </c>
      <c r="Z64" s="33">
        <v>30.8</v>
      </c>
      <c r="AA64" s="33">
        <v>30.8</v>
      </c>
      <c r="AB64" s="33">
        <v>30.8</v>
      </c>
      <c r="AC64" s="33">
        <v>30.8</v>
      </c>
      <c r="AD64" s="33">
        <v>30.8</v>
      </c>
      <c r="AE64" s="33">
        <v>30.8</v>
      </c>
      <c r="AF64" s="33">
        <v>22.58</v>
      </c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649</v>
      </c>
      <c r="D65" s="32" t="s">
        <v>863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>
        <v>85.07</v>
      </c>
      <c r="U65" s="33">
        <v>70.3</v>
      </c>
      <c r="V65" s="33">
        <v>96.69</v>
      </c>
      <c r="W65" s="33">
        <v>117.59</v>
      </c>
      <c r="X65" s="33">
        <v>178.11</v>
      </c>
      <c r="Y65" s="33">
        <v>200.03</v>
      </c>
      <c r="Z65" s="33">
        <v>140.62</v>
      </c>
      <c r="AA65" s="36">
        <f>5.13+66.96</f>
        <v>72.08999999999999</v>
      </c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649</v>
      </c>
      <c r="D66" s="32" t="s">
        <v>864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>
        <v>55.28</v>
      </c>
      <c r="U66" s="33">
        <v>121.24</v>
      </c>
      <c r="V66" s="33">
        <v>125.49</v>
      </c>
      <c r="W66" s="33">
        <v>120.06</v>
      </c>
      <c r="X66" s="33">
        <v>30.8</v>
      </c>
      <c r="Y66" s="33">
        <v>30.8</v>
      </c>
      <c r="Z66" s="33">
        <v>30.8</v>
      </c>
      <c r="AA66" s="33">
        <v>30.8</v>
      </c>
      <c r="AB66" s="33">
        <v>30.8</v>
      </c>
      <c r="AC66" s="33">
        <v>30.8</v>
      </c>
      <c r="AD66" s="33">
        <v>30.8</v>
      </c>
      <c r="AE66" s="33">
        <v>30.8</v>
      </c>
      <c r="AF66" s="33">
        <v>134.72</v>
      </c>
      <c r="AG66" s="33">
        <v>113.63</v>
      </c>
      <c r="AH66" s="33">
        <v>98.03</v>
      </c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649</v>
      </c>
      <c r="D67" s="32" t="s">
        <v>916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3">
        <v>35.91</v>
      </c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649</v>
      </c>
      <c r="D68" s="32" t="s">
        <v>917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3">
        <v>21.32</v>
      </c>
      <c r="AG68" s="33">
        <v>30.8</v>
      </c>
      <c r="AH68" s="33">
        <v>30.8</v>
      </c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649</v>
      </c>
      <c r="D69" s="32" t="s">
        <v>866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>
        <v>90.77</v>
      </c>
      <c r="V69" s="33">
        <v>97.2</v>
      </c>
      <c r="W69" s="33">
        <v>103.69</v>
      </c>
      <c r="X69" s="33">
        <v>56.9</v>
      </c>
      <c r="Y69" s="33">
        <v>31.75</v>
      </c>
      <c r="Z69" s="33">
        <v>47.82</v>
      </c>
      <c r="AA69" s="33">
        <v>45.92</v>
      </c>
      <c r="AB69" s="33">
        <v>50.61</v>
      </c>
      <c r="AC69" s="33">
        <v>52.07</v>
      </c>
      <c r="AD69" s="33">
        <v>52.07</v>
      </c>
      <c r="AE69" s="33">
        <v>54.42</v>
      </c>
      <c r="AF69" s="33">
        <v>58.02</v>
      </c>
      <c r="AG69" s="33">
        <v>68.61</v>
      </c>
      <c r="AH69" s="33">
        <v>78.72</v>
      </c>
      <c r="AI69" s="33">
        <v>98.44</v>
      </c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649</v>
      </c>
      <c r="D70" s="32" t="s">
        <v>918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3">
        <v>64.08</v>
      </c>
      <c r="AH70" s="33">
        <v>30.8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649</v>
      </c>
      <c r="D71" s="32" t="s">
        <v>868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>
        <v>30.8</v>
      </c>
      <c r="U71" s="33">
        <v>30.8</v>
      </c>
      <c r="V71" s="33">
        <v>71.86</v>
      </c>
      <c r="W71" s="33">
        <v>37.65</v>
      </c>
      <c r="X71" s="33">
        <v>30.8</v>
      </c>
      <c r="Y71" s="33">
        <v>77.29</v>
      </c>
      <c r="Z71" s="33">
        <v>148.01</v>
      </c>
      <c r="AA71" s="33">
        <v>178.11</v>
      </c>
      <c r="AB71" s="33">
        <v>30.8</v>
      </c>
      <c r="AC71" s="33">
        <v>30.8</v>
      </c>
      <c r="AD71" s="33">
        <v>30.8</v>
      </c>
      <c r="AE71" s="33">
        <v>30.8</v>
      </c>
      <c r="AF71" s="33">
        <v>30.8</v>
      </c>
      <c r="AG71" s="33">
        <v>30.8</v>
      </c>
      <c r="AH71" s="33">
        <v>30.8</v>
      </c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649</v>
      </c>
      <c r="D72" s="32" t="s">
        <v>869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>
        <v>30.8</v>
      </c>
      <c r="U72" s="33">
        <v>30.8</v>
      </c>
      <c r="V72" s="33">
        <v>30.8</v>
      </c>
      <c r="W72" s="33">
        <v>31.56</v>
      </c>
      <c r="X72" s="33">
        <v>66.6</v>
      </c>
      <c r="Y72" s="33">
        <v>30.8</v>
      </c>
      <c r="Z72" s="33">
        <v>30.8</v>
      </c>
      <c r="AA72" s="33">
        <v>30.8</v>
      </c>
      <c r="AB72" s="33">
        <v>30.8</v>
      </c>
      <c r="AC72" s="33">
        <v>30.8</v>
      </c>
      <c r="AD72" s="33">
        <v>30.8</v>
      </c>
      <c r="AE72" s="33">
        <v>30.8</v>
      </c>
      <c r="AF72" s="33">
        <v>30.8</v>
      </c>
      <c r="AG72" s="33">
        <v>30.8</v>
      </c>
      <c r="AH72" s="33">
        <v>30.8</v>
      </c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649</v>
      </c>
      <c r="D73" s="32" t="s">
        <v>873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>
        <v>30.8</v>
      </c>
      <c r="U73" s="33">
        <v>133.71</v>
      </c>
      <c r="V73" s="33">
        <v>123.83</v>
      </c>
      <c r="W73" s="33">
        <v>72.02</v>
      </c>
      <c r="X73" s="33">
        <v>33.88</v>
      </c>
      <c r="Y73" s="33">
        <v>30.8</v>
      </c>
      <c r="Z73" s="33">
        <v>30.8</v>
      </c>
      <c r="AA73" s="33">
        <v>30.8</v>
      </c>
      <c r="AB73" s="33">
        <v>30.8</v>
      </c>
      <c r="AC73" s="33">
        <v>30.8</v>
      </c>
      <c r="AD73" s="33">
        <v>30.8</v>
      </c>
      <c r="AE73" s="33">
        <v>30.8</v>
      </c>
      <c r="AF73" s="33">
        <v>30.8</v>
      </c>
      <c r="AG73" s="33">
        <v>147.25</v>
      </c>
      <c r="AH73" s="33">
        <v>94.17</v>
      </c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649</v>
      </c>
      <c r="D74" s="32" t="s">
        <v>874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>
        <v>30.8</v>
      </c>
      <c r="U74" s="33">
        <v>30.8</v>
      </c>
      <c r="V74" s="33">
        <v>30.8</v>
      </c>
      <c r="W74" s="33">
        <v>30.8</v>
      </c>
      <c r="X74" s="33">
        <v>30.8</v>
      </c>
      <c r="Y74" s="33">
        <v>30.8</v>
      </c>
      <c r="Z74" s="33">
        <v>30.8</v>
      </c>
      <c r="AA74" s="33">
        <v>30.8</v>
      </c>
      <c r="AB74" s="33">
        <v>30.8</v>
      </c>
      <c r="AC74" s="33">
        <v>30.8</v>
      </c>
      <c r="AD74" s="33">
        <v>30.8</v>
      </c>
      <c r="AE74" s="33">
        <v>30.8</v>
      </c>
      <c r="AF74" s="33">
        <v>30.8</v>
      </c>
      <c r="AG74" s="33">
        <v>30.8</v>
      </c>
      <c r="AH74" s="33">
        <v>30.8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649</v>
      </c>
      <c r="D75" s="32" t="s">
        <v>875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>
        <v>30.8</v>
      </c>
      <c r="U75" s="33">
        <v>30.8</v>
      </c>
      <c r="V75" s="33">
        <v>53.59</v>
      </c>
      <c r="W75" s="33">
        <v>78.28</v>
      </c>
      <c r="X75" s="33">
        <v>99.5</v>
      </c>
      <c r="Y75" s="33">
        <v>129.11</v>
      </c>
      <c r="Z75" s="33">
        <v>140.62</v>
      </c>
      <c r="AA75" s="33">
        <v>178.59</v>
      </c>
      <c r="AB75" s="33">
        <v>60.25</v>
      </c>
      <c r="AC75" s="33">
        <v>30.8</v>
      </c>
      <c r="AD75" s="33">
        <v>30.8</v>
      </c>
      <c r="AE75" s="33">
        <v>30.8</v>
      </c>
      <c r="AF75" s="33">
        <v>30.8</v>
      </c>
      <c r="AG75" s="33">
        <v>30.8</v>
      </c>
      <c r="AH75" s="33">
        <v>30.8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649</v>
      </c>
      <c r="D76" s="32" t="s">
        <v>877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>
        <v>30.8</v>
      </c>
      <c r="U76" s="33">
        <v>30.8</v>
      </c>
      <c r="V76" s="33">
        <v>53.11</v>
      </c>
      <c r="W76" s="33">
        <v>32.71</v>
      </c>
      <c r="X76" s="33">
        <v>30.8</v>
      </c>
      <c r="Y76" s="33">
        <v>30.8</v>
      </c>
      <c r="Z76" s="33">
        <v>30.8</v>
      </c>
      <c r="AA76" s="33">
        <v>30.8</v>
      </c>
      <c r="AB76" s="33">
        <v>30.8</v>
      </c>
      <c r="AC76" s="33">
        <v>30.8</v>
      </c>
      <c r="AD76" s="33">
        <v>30.8</v>
      </c>
      <c r="AE76" s="33">
        <v>30.8</v>
      </c>
      <c r="AF76" s="33">
        <v>30.8</v>
      </c>
      <c r="AG76" s="33">
        <v>67.14</v>
      </c>
      <c r="AH76" s="33">
        <v>39.57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649</v>
      </c>
      <c r="D77" s="32" t="s">
        <v>878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>
        <v>30.8</v>
      </c>
      <c r="U77" s="33">
        <v>11.29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649</v>
      </c>
      <c r="D78" s="32" t="s">
        <v>879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>
        <v>157.84</v>
      </c>
      <c r="U78" s="33">
        <v>144.08</v>
      </c>
      <c r="V78" s="33">
        <v>152.13</v>
      </c>
      <c r="W78" s="33">
        <v>64.62</v>
      </c>
      <c r="X78" s="33">
        <v>30.8</v>
      </c>
      <c r="Y78" s="33">
        <v>30.8</v>
      </c>
      <c r="Z78" s="33">
        <v>30.8</v>
      </c>
      <c r="AA78" s="33">
        <v>30.8</v>
      </c>
      <c r="AB78" s="33">
        <v>30.8</v>
      </c>
      <c r="AC78" s="33">
        <v>30.8</v>
      </c>
      <c r="AD78" s="33">
        <v>30.8</v>
      </c>
      <c r="AE78" s="33">
        <v>30.8</v>
      </c>
      <c r="AF78" s="33">
        <v>36.04</v>
      </c>
      <c r="AG78" s="33">
        <v>90.15</v>
      </c>
      <c r="AH78" s="33">
        <v>30.8</v>
      </c>
      <c r="AI78" s="33">
        <v>12.32</v>
      </c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649</v>
      </c>
      <c r="D79" s="32" t="s">
        <v>880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>
        <v>72.76</v>
      </c>
      <c r="U79" s="33">
        <v>121.24</v>
      </c>
      <c r="V79" s="33">
        <v>86.17</v>
      </c>
      <c r="W79" s="33">
        <v>67.92</v>
      </c>
      <c r="X79" s="33">
        <v>30.8</v>
      </c>
      <c r="Y79" s="33">
        <v>30.8</v>
      </c>
      <c r="Z79" s="33">
        <v>30.8</v>
      </c>
      <c r="AA79" s="33">
        <v>30.8</v>
      </c>
      <c r="AB79" s="33">
        <v>30.8</v>
      </c>
      <c r="AC79" s="33">
        <v>30.8</v>
      </c>
      <c r="AD79" s="33">
        <v>30.8</v>
      </c>
      <c r="AE79" s="33">
        <v>30.8</v>
      </c>
      <c r="AF79" s="33">
        <v>46.98</v>
      </c>
      <c r="AG79" s="33">
        <v>101.21</v>
      </c>
      <c r="AH79" s="33">
        <v>101.66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649</v>
      </c>
      <c r="D80" s="32" t="s">
        <v>882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>
        <v>30.8</v>
      </c>
      <c r="U80" s="33">
        <v>61.6</v>
      </c>
      <c r="V80" s="33">
        <v>35.8</v>
      </c>
      <c r="W80" s="33">
        <v>35.8</v>
      </c>
      <c r="X80" s="33">
        <v>18.48</v>
      </c>
      <c r="Y80" s="32"/>
      <c r="Z80" s="32"/>
      <c r="AA80" s="32"/>
      <c r="AB80" s="32"/>
      <c r="AC80" s="32"/>
      <c r="AD80" s="32"/>
      <c r="AE80" s="32"/>
      <c r="AF80" s="33">
        <v>16.32</v>
      </c>
      <c r="AG80" s="33">
        <v>30.8</v>
      </c>
      <c r="AH80" s="33">
        <v>30.8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649</v>
      </c>
      <c r="D81" s="32" t="s">
        <v>883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3">
        <v>35.8</v>
      </c>
      <c r="Y81" s="33">
        <v>-155.63</v>
      </c>
      <c r="Z81" s="32"/>
      <c r="AA81" s="32"/>
      <c r="AB81" s="32"/>
      <c r="AC81" s="32"/>
      <c r="AD81" s="32"/>
      <c r="AE81" s="32"/>
      <c r="AF81" s="33">
        <v>136.51</v>
      </c>
      <c r="AG81" s="33">
        <v>91.96</v>
      </c>
      <c r="AH81" s="33">
        <v>86.95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649</v>
      </c>
      <c r="D82" s="32" t="s">
        <v>919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3">
        <v>170</v>
      </c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649</v>
      </c>
      <c r="D83" s="32" t="s">
        <v>884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>
        <v>61.6</v>
      </c>
      <c r="V83" s="33">
        <v>35.8</v>
      </c>
      <c r="W83" s="33">
        <v>55.65</v>
      </c>
      <c r="X83" s="33">
        <v>27.73</v>
      </c>
      <c r="Y83" s="33">
        <v>95.05</v>
      </c>
      <c r="Z83" s="33">
        <v>101.48</v>
      </c>
      <c r="AA83" s="33">
        <v>114.31</v>
      </c>
      <c r="AB83" s="33">
        <v>87.55</v>
      </c>
      <c r="AC83" s="33">
        <v>89.65</v>
      </c>
      <c r="AD83" s="33">
        <v>68.68</v>
      </c>
      <c r="AE83" s="33">
        <v>61.59</v>
      </c>
      <c r="AF83" s="33">
        <v>52.33</v>
      </c>
      <c r="AG83" s="33">
        <v>30.8</v>
      </c>
      <c r="AH83" s="33">
        <v>-94.67</v>
      </c>
      <c r="AI83" s="33">
        <v>-63.87</v>
      </c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649</v>
      </c>
      <c r="D84" s="32" t="s">
        <v>920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3">
        <v>125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649</v>
      </c>
      <c r="D85" s="32" t="s">
        <v>921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3">
        <v>17.45</v>
      </c>
      <c r="X85" s="33">
        <v>30.8</v>
      </c>
      <c r="Y85" s="33">
        <v>30.8</v>
      </c>
      <c r="Z85" s="33">
        <v>30.8</v>
      </c>
      <c r="AA85" s="33">
        <v>13.34</v>
      </c>
      <c r="AB85" s="32"/>
      <c r="AC85" s="32"/>
      <c r="AD85" s="32"/>
      <c r="AE85" s="32"/>
      <c r="AF85" s="32"/>
      <c r="AG85" s="32"/>
      <c r="AH85" s="32"/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649</v>
      </c>
      <c r="D86" s="32" t="s">
        <v>922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3">
        <v>30.8</v>
      </c>
      <c r="Y86" s="33">
        <v>30.8</v>
      </c>
      <c r="Z86" s="33">
        <v>30.8</v>
      </c>
      <c r="AA86" s="33">
        <v>13.34</v>
      </c>
      <c r="AB86" s="32"/>
      <c r="AC86" s="32"/>
      <c r="AD86" s="32"/>
      <c r="AE86" s="32"/>
      <c r="AF86" s="32"/>
      <c r="AG86" s="32"/>
      <c r="AH86" s="32"/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649</v>
      </c>
      <c r="D87" s="32" t="s">
        <v>923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3">
        <v>19.51</v>
      </c>
      <c r="Y87" s="33">
        <v>30.8</v>
      </c>
      <c r="Z87" s="33">
        <v>30.8</v>
      </c>
      <c r="AA87" s="33">
        <v>13.34</v>
      </c>
      <c r="AB87" s="32"/>
      <c r="AC87" s="32"/>
      <c r="AD87" s="32"/>
      <c r="AE87" s="32"/>
      <c r="AF87" s="32"/>
      <c r="AG87" s="32"/>
      <c r="AH87" s="32"/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649</v>
      </c>
      <c r="D88" s="32" t="s">
        <v>924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3">
        <v>30.8</v>
      </c>
      <c r="Y88" s="33">
        <v>30.8</v>
      </c>
      <c r="Z88" s="33">
        <v>30.8</v>
      </c>
      <c r="AA88" s="33">
        <v>13.34</v>
      </c>
      <c r="AB88" s="32"/>
      <c r="AC88" s="32"/>
      <c r="AD88" s="32"/>
      <c r="AE88" s="32"/>
      <c r="AF88" s="32"/>
      <c r="AG88" s="32"/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649</v>
      </c>
      <c r="D89" s="32" t="s">
        <v>925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3">
        <v>30.8</v>
      </c>
      <c r="Y89" s="33">
        <v>30.8</v>
      </c>
      <c r="Z89" s="33">
        <v>30.8</v>
      </c>
      <c r="AA89" s="33">
        <v>13.34</v>
      </c>
      <c r="AB89" s="32"/>
      <c r="AC89" s="32"/>
      <c r="AD89" s="32"/>
      <c r="AE89" s="32"/>
      <c r="AF89" s="32"/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649</v>
      </c>
      <c r="D90" s="32" t="s">
        <v>926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3">
        <v>32.76</v>
      </c>
      <c r="Y90" s="33">
        <v>30.8</v>
      </c>
      <c r="Z90" s="33">
        <v>30.8</v>
      </c>
      <c r="AA90" s="33">
        <v>30.8</v>
      </c>
      <c r="AB90" s="33">
        <v>30.8</v>
      </c>
      <c r="AC90" s="33">
        <v>30.8</v>
      </c>
      <c r="AD90" s="33">
        <v>30.8</v>
      </c>
      <c r="AE90" s="33">
        <v>30.8</v>
      </c>
      <c r="AF90" s="33">
        <v>43.16</v>
      </c>
      <c r="AG90" s="33">
        <v>139.63</v>
      </c>
      <c r="AH90" s="33">
        <v>114.4</v>
      </c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649</v>
      </c>
      <c r="D91" s="32" t="s">
        <v>927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3">
        <v>14.37</v>
      </c>
      <c r="Y91" s="33">
        <v>30.8</v>
      </c>
      <c r="Z91" s="33">
        <v>30.8</v>
      </c>
      <c r="AA91" s="33">
        <v>13.34</v>
      </c>
      <c r="AB91" s="32"/>
      <c r="AC91" s="32"/>
      <c r="AD91" s="32"/>
      <c r="AE91" s="32"/>
      <c r="AF91" s="32"/>
      <c r="AG91" s="32"/>
      <c r="AH91" s="32"/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649</v>
      </c>
      <c r="D92" s="32" t="s">
        <v>928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3">
        <v>20.53</v>
      </c>
      <c r="Y92" s="33">
        <v>30.8</v>
      </c>
      <c r="Z92" s="33">
        <v>30.8</v>
      </c>
      <c r="AA92" s="33">
        <v>13.34</v>
      </c>
      <c r="AB92" s="32"/>
      <c r="AC92" s="32"/>
      <c r="AD92" s="32"/>
      <c r="AE92" s="32"/>
      <c r="AF92" s="32"/>
      <c r="AG92" s="32"/>
      <c r="AH92" s="32"/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649</v>
      </c>
      <c r="D93" s="32" t="s">
        <v>929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3">
        <v>19.51</v>
      </c>
      <c r="Y93" s="33">
        <v>30.8</v>
      </c>
      <c r="Z93" s="33">
        <v>30.8</v>
      </c>
      <c r="AA93" s="33">
        <v>13.34</v>
      </c>
      <c r="AB93" s="32"/>
      <c r="AC93" s="32"/>
      <c r="AD93" s="32"/>
      <c r="AE93" s="32"/>
      <c r="AF93" s="32"/>
      <c r="AG93" s="32"/>
      <c r="AH93" s="32"/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649</v>
      </c>
      <c r="D94" s="32" t="s">
        <v>930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3">
        <v>30.8</v>
      </c>
      <c r="Y94" s="33">
        <v>30.8</v>
      </c>
      <c r="Z94" s="33">
        <v>30.8</v>
      </c>
      <c r="AA94" s="33">
        <v>15.39</v>
      </c>
      <c r="AB94" s="32"/>
      <c r="AC94" s="32"/>
      <c r="AD94" s="32"/>
      <c r="AE94" s="32"/>
      <c r="AF94" s="32"/>
      <c r="AG94" s="32"/>
      <c r="AH94" s="32"/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649</v>
      </c>
      <c r="D95" s="32" t="s">
        <v>931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3">
        <v>12.32</v>
      </c>
      <c r="Y95" s="33">
        <v>30.8</v>
      </c>
      <c r="Z95" s="33">
        <v>30.8</v>
      </c>
      <c r="AA95" s="33">
        <v>13.34</v>
      </c>
      <c r="AB95" s="32"/>
      <c r="AC95" s="32"/>
      <c r="AD95" s="32"/>
      <c r="AE95" s="32"/>
      <c r="AF95" s="32"/>
      <c r="AG95" s="32"/>
      <c r="AH95" s="32"/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649</v>
      </c>
      <c r="D96" s="32" t="s">
        <v>932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3">
        <v>12.32</v>
      </c>
      <c r="Y96" s="33">
        <v>30.8</v>
      </c>
      <c r="Z96" s="33">
        <v>30.8</v>
      </c>
      <c r="AA96" s="33">
        <v>30.8</v>
      </c>
      <c r="AB96" s="33">
        <v>30.8</v>
      </c>
      <c r="AC96" s="33">
        <v>30.8</v>
      </c>
      <c r="AD96" s="33">
        <v>30.8</v>
      </c>
      <c r="AE96" s="33">
        <v>30.8</v>
      </c>
      <c r="AF96" s="33">
        <v>30.8</v>
      </c>
      <c r="AG96" s="33">
        <v>30.8</v>
      </c>
      <c r="AH96" s="33">
        <v>30.8</v>
      </c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649</v>
      </c>
      <c r="D97" s="32" t="s">
        <v>933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>
        <v>30.8</v>
      </c>
      <c r="Z97" s="33">
        <v>30.8</v>
      </c>
      <c r="AA97" s="33">
        <v>13.34</v>
      </c>
      <c r="AB97" s="32"/>
      <c r="AC97" s="32"/>
      <c r="AD97" s="32"/>
      <c r="AE97" s="32"/>
      <c r="AF97" s="32"/>
      <c r="AG97" s="32"/>
      <c r="AH97" s="32"/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649</v>
      </c>
      <c r="D98" s="32" t="s">
        <v>934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3">
        <v>20.53</v>
      </c>
      <c r="X98" s="33">
        <v>30.8</v>
      </c>
      <c r="Y98" s="33">
        <v>30.8</v>
      </c>
      <c r="Z98" s="33">
        <v>30.8</v>
      </c>
      <c r="AA98" s="33">
        <v>13.34</v>
      </c>
      <c r="AB98" s="32"/>
      <c r="AC98" s="32"/>
      <c r="AD98" s="32"/>
      <c r="AE98" s="32"/>
      <c r="AF98" s="32"/>
      <c r="AG98" s="32"/>
      <c r="AH98" s="32"/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649</v>
      </c>
      <c r="D99" s="32" t="s">
        <v>935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3">
        <v>18.48</v>
      </c>
      <c r="X99" s="33">
        <v>30.8</v>
      </c>
      <c r="Y99" s="33">
        <v>30.8</v>
      </c>
      <c r="Z99" s="32"/>
      <c r="AA99" s="36">
        <f>1.03+30.80</f>
        <v>31.830000000000002</v>
      </c>
      <c r="AB99" s="32"/>
      <c r="AC99" s="32"/>
      <c r="AD99" s="32"/>
      <c r="AE99" s="32"/>
      <c r="AF99" s="32"/>
      <c r="AG99" s="32"/>
      <c r="AH99" s="32"/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649</v>
      </c>
      <c r="D100" s="32" t="s">
        <v>936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3">
        <v>30.8</v>
      </c>
      <c r="Y100" s="33">
        <v>30.8</v>
      </c>
      <c r="Z100" s="33">
        <v>30.8</v>
      </c>
      <c r="AA100" s="33">
        <v>13.34</v>
      </c>
      <c r="AB100" s="32"/>
      <c r="AC100" s="32"/>
      <c r="AD100" s="32"/>
      <c r="AE100" s="32"/>
      <c r="AF100" s="32"/>
      <c r="AG100" s="32"/>
      <c r="AH100" s="32"/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649</v>
      </c>
      <c r="D101" s="32" t="s">
        <v>937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3">
        <v>30.8</v>
      </c>
      <c r="Y101" s="33">
        <v>30.8</v>
      </c>
      <c r="Z101" s="33">
        <v>30.8</v>
      </c>
      <c r="AA101" s="33">
        <v>13.34</v>
      </c>
      <c r="AB101" s="32"/>
      <c r="AC101" s="32"/>
      <c r="AD101" s="32"/>
      <c r="AE101" s="32"/>
      <c r="AF101" s="32"/>
      <c r="AG101" s="32"/>
      <c r="AH101" s="32"/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649</v>
      </c>
      <c r="D102" s="32" t="s">
        <v>938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3">
        <v>30.8</v>
      </c>
      <c r="Y102" s="33">
        <v>30.8</v>
      </c>
      <c r="Z102" s="33">
        <v>30.8</v>
      </c>
      <c r="AA102" s="33">
        <v>5.13</v>
      </c>
      <c r="AB102" s="32"/>
      <c r="AC102" s="32"/>
      <c r="AD102" s="32"/>
      <c r="AE102" s="32"/>
      <c r="AF102" s="32"/>
      <c r="AG102" s="32"/>
      <c r="AH102" s="32"/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649</v>
      </c>
      <c r="D103" s="32" t="s">
        <v>939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3">
        <v>14.37</v>
      </c>
      <c r="X103" s="33">
        <v>30.8</v>
      </c>
      <c r="Y103" s="33">
        <v>30.8</v>
      </c>
      <c r="Z103" s="33">
        <v>30.8</v>
      </c>
      <c r="AA103" s="33">
        <v>5.13</v>
      </c>
      <c r="AB103" s="32"/>
      <c r="AC103" s="32"/>
      <c r="AD103" s="32"/>
      <c r="AE103" s="32"/>
      <c r="AF103" s="32"/>
      <c r="AG103" s="32"/>
      <c r="AH103" s="32"/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649</v>
      </c>
      <c r="D104" s="32" t="s">
        <v>940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3">
        <v>17.45</v>
      </c>
      <c r="X104" s="33">
        <v>30.8</v>
      </c>
      <c r="Y104" s="33">
        <v>30.8</v>
      </c>
      <c r="Z104" s="33">
        <v>30.8</v>
      </c>
      <c r="AA104" s="33">
        <v>13.34</v>
      </c>
      <c r="AB104" s="32"/>
      <c r="AC104" s="32"/>
      <c r="AD104" s="32"/>
      <c r="AE104" s="32"/>
      <c r="AF104" s="32"/>
      <c r="AG104" s="32"/>
      <c r="AH104" s="32"/>
      <c r="AI104" s="32"/>
      <c r="AJ104" s="34">
        <f>SUM(E104:AI104)</f>
      </c>
      <c r="AK104" s="35"/>
    </row>
    <row r="105" ht="12.75" customHeight="1" spans="2:37" x14ac:dyDescent="0.25">
      <c r="B105" s="30" t="s">
        <v>42</v>
      </c>
      <c r="C105" s="31" t="s">
        <v>649</v>
      </c>
      <c r="D105" s="32" t="s">
        <v>941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3">
        <v>14.37</v>
      </c>
      <c r="Y105" s="33">
        <v>30.8</v>
      </c>
      <c r="Z105" s="33">
        <v>30.8</v>
      </c>
      <c r="AA105" s="33">
        <v>13.34</v>
      </c>
      <c r="AB105" s="32"/>
      <c r="AC105" s="32"/>
      <c r="AD105" s="32"/>
      <c r="AE105" s="32"/>
      <c r="AF105" s="32"/>
      <c r="AG105" s="32"/>
      <c r="AH105" s="32"/>
      <c r="AI105" s="32"/>
      <c r="AJ105" s="34">
        <f>SUM(E105:AI105)</f>
      </c>
      <c r="AK105" s="35"/>
    </row>
    <row r="106" ht="12.75" customHeight="1" spans="2:37" x14ac:dyDescent="0.25">
      <c r="B106" s="30" t="s">
        <v>42</v>
      </c>
      <c r="C106" s="31" t="s">
        <v>649</v>
      </c>
      <c r="D106" s="32" t="s">
        <v>942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3">
        <v>30.8</v>
      </c>
      <c r="Y106" s="33">
        <v>30.8</v>
      </c>
      <c r="Z106" s="33">
        <v>30.8</v>
      </c>
      <c r="AA106" s="33">
        <v>30.8</v>
      </c>
      <c r="AB106" s="33">
        <v>30.8</v>
      </c>
      <c r="AC106" s="33">
        <v>30.8</v>
      </c>
      <c r="AD106" s="33">
        <v>30.8</v>
      </c>
      <c r="AE106" s="33">
        <v>30.8</v>
      </c>
      <c r="AF106" s="33">
        <v>30.8</v>
      </c>
      <c r="AG106" s="32"/>
      <c r="AH106" s="32"/>
      <c r="AI106" s="32"/>
      <c r="AJ106" s="34">
        <f>SUM(E106:AI106)</f>
      </c>
      <c r="AK106" s="35"/>
    </row>
    <row r="107" ht="12.75" customHeight="1" spans="2:37" x14ac:dyDescent="0.25">
      <c r="B107" s="30" t="s">
        <v>42</v>
      </c>
      <c r="C107" s="31" t="s">
        <v>649</v>
      </c>
      <c r="D107" s="32" t="s">
        <v>943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3">
        <v>15.39</v>
      </c>
      <c r="Y107" s="33">
        <v>30.8</v>
      </c>
      <c r="Z107" s="33">
        <v>30.8</v>
      </c>
      <c r="AA107" s="33">
        <v>8.22</v>
      </c>
      <c r="AB107" s="32"/>
      <c r="AC107" s="32"/>
      <c r="AD107" s="32"/>
      <c r="AE107" s="32"/>
      <c r="AF107" s="32"/>
      <c r="AG107" s="32"/>
      <c r="AH107" s="32"/>
      <c r="AI107" s="32"/>
      <c r="AJ107" s="34">
        <f>SUM(E107:AI107)</f>
      </c>
      <c r="AK107" s="35"/>
    </row>
    <row r="108" ht="12.75" customHeight="1" spans="2:37" x14ac:dyDescent="0.25">
      <c r="B108" s="30" t="s">
        <v>42</v>
      </c>
      <c r="C108" s="31" t="s">
        <v>649</v>
      </c>
      <c r="D108" s="32" t="s">
        <v>944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3">
        <v>30.8</v>
      </c>
      <c r="Y108" s="33">
        <v>30.8</v>
      </c>
      <c r="Z108" s="33">
        <v>30.8</v>
      </c>
      <c r="AA108" s="33">
        <v>13.34</v>
      </c>
      <c r="AB108" s="32"/>
      <c r="AC108" s="32"/>
      <c r="AD108" s="32"/>
      <c r="AE108" s="32"/>
      <c r="AF108" s="32"/>
      <c r="AG108" s="32"/>
      <c r="AH108" s="32"/>
      <c r="AI108" s="32"/>
      <c r="AJ108" s="34">
        <f>SUM(E108:AI108)</f>
      </c>
      <c r="AK108" s="35"/>
    </row>
    <row r="109" ht="12.75" customHeight="1" spans="2:37" x14ac:dyDescent="0.25">
      <c r="B109" s="30" t="s">
        <v>42</v>
      </c>
      <c r="C109" s="31" t="s">
        <v>649</v>
      </c>
      <c r="D109" s="32" t="s">
        <v>945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3">
        <v>30.8</v>
      </c>
      <c r="Y109" s="33">
        <v>30.8</v>
      </c>
      <c r="Z109" s="33">
        <v>30.8</v>
      </c>
      <c r="AA109" s="33">
        <v>13.34</v>
      </c>
      <c r="AB109" s="32"/>
      <c r="AC109" s="32"/>
      <c r="AD109" s="32"/>
      <c r="AE109" s="32"/>
      <c r="AF109" s="32"/>
      <c r="AG109" s="32"/>
      <c r="AH109" s="32"/>
      <c r="AI109" s="32"/>
      <c r="AJ109" s="34">
        <f>SUM(E109:AI109)</f>
      </c>
      <c r="AK109" s="35"/>
    </row>
    <row r="110" ht="12.75" customHeight="1" spans="2:37" x14ac:dyDescent="0.25">
      <c r="B110" s="30" t="s">
        <v>42</v>
      </c>
      <c r="C110" s="31" t="s">
        <v>649</v>
      </c>
      <c r="D110" s="32" t="s">
        <v>946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3">
        <v>30.8</v>
      </c>
      <c r="AB110" s="33">
        <v>30.8</v>
      </c>
      <c r="AC110" s="36">
        <f>10.27+30.80</f>
        <v>41.07</v>
      </c>
      <c r="AD110" s="32"/>
      <c r="AE110" s="32"/>
      <c r="AF110" s="32"/>
      <c r="AG110" s="32"/>
      <c r="AH110" s="32"/>
      <c r="AI110" s="32"/>
      <c r="AJ110" s="34">
        <f>SUM(E110:AI110)</f>
      </c>
      <c r="AK110" s="35"/>
    </row>
    <row r="111" ht="12.75" customHeight="1" spans="2:37" x14ac:dyDescent="0.25">
      <c r="B111" s="30" t="s">
        <v>42</v>
      </c>
      <c r="C111" s="31" t="s">
        <v>649</v>
      </c>
      <c r="D111" s="32" t="s">
        <v>947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3">
        <v>21.56</v>
      </c>
      <c r="Y111" s="33">
        <v>30.8</v>
      </c>
      <c r="Z111" s="33">
        <v>30.8</v>
      </c>
      <c r="AA111" s="33">
        <v>13.34</v>
      </c>
      <c r="AB111" s="32"/>
      <c r="AC111" s="32"/>
      <c r="AD111" s="32"/>
      <c r="AE111" s="32"/>
      <c r="AF111" s="32"/>
      <c r="AG111" s="32"/>
      <c r="AH111" s="32"/>
      <c r="AI111" s="32"/>
      <c r="AJ111" s="34">
        <f>SUM(E111:AI111)</f>
      </c>
      <c r="AK111" s="35"/>
    </row>
    <row r="112" ht="12.75" customHeight="1" spans="2:37" x14ac:dyDescent="0.25">
      <c r="B112" s="30" t="s">
        <v>42</v>
      </c>
      <c r="C112" s="31" t="s">
        <v>649</v>
      </c>
      <c r="D112" s="32" t="s">
        <v>948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3">
        <v>30.8</v>
      </c>
      <c r="Z112" s="33">
        <v>30.8</v>
      </c>
      <c r="AA112" s="33">
        <v>13.34</v>
      </c>
      <c r="AB112" s="32"/>
      <c r="AC112" s="32"/>
      <c r="AD112" s="32"/>
      <c r="AE112" s="32"/>
      <c r="AF112" s="32"/>
      <c r="AG112" s="32"/>
      <c r="AH112" s="32"/>
      <c r="AI112" s="32"/>
      <c r="AJ112" s="34">
        <f>SUM(E112:AI112)</f>
      </c>
      <c r="AK112" s="35"/>
    </row>
    <row r="113" ht="12.75" customHeight="1" spans="2:37" x14ac:dyDescent="0.25">
      <c r="B113" s="30" t="s">
        <v>42</v>
      </c>
      <c r="C113" s="31" t="s">
        <v>649</v>
      </c>
      <c r="D113" s="32" t="s">
        <v>949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3">
        <v>30.8</v>
      </c>
      <c r="Y113" s="33">
        <v>30.8</v>
      </c>
      <c r="Z113" s="33">
        <v>30.8</v>
      </c>
      <c r="AA113" s="33">
        <v>13.34</v>
      </c>
      <c r="AB113" s="32"/>
      <c r="AC113" s="32"/>
      <c r="AD113" s="32"/>
      <c r="AE113" s="32"/>
      <c r="AF113" s="32"/>
      <c r="AG113" s="32"/>
      <c r="AH113" s="32"/>
      <c r="AI113" s="32"/>
      <c r="AJ113" s="34">
        <f>SUM(E113:AI113)</f>
      </c>
      <c r="AK113" s="35"/>
    </row>
    <row r="114" ht="12.75" customHeight="1" spans="2:37" x14ac:dyDescent="0.25">
      <c r="B114" s="30" t="s">
        <v>42</v>
      </c>
      <c r="C114" s="31" t="s">
        <v>649</v>
      </c>
      <c r="D114" s="32" t="s">
        <v>950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3">
        <v>30.8</v>
      </c>
      <c r="Y114" s="33">
        <v>30.8</v>
      </c>
      <c r="Z114" s="33">
        <v>30.8</v>
      </c>
      <c r="AA114" s="33">
        <v>6.16</v>
      </c>
      <c r="AB114" s="32"/>
      <c r="AC114" s="32"/>
      <c r="AD114" s="32"/>
      <c r="AE114" s="32"/>
      <c r="AF114" s="32"/>
      <c r="AG114" s="32"/>
      <c r="AH114" s="32"/>
      <c r="AI114" s="32"/>
      <c r="AJ114" s="34">
        <f>SUM(E114:AI114)</f>
      </c>
      <c r="AK114" s="35"/>
    </row>
    <row r="115" ht="12.75" customHeight="1" spans="2:37" x14ac:dyDescent="0.25">
      <c r="B115" s="30" t="s">
        <v>42</v>
      </c>
      <c r="C115" s="31" t="s">
        <v>649</v>
      </c>
      <c r="D115" s="32" t="s">
        <v>951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3">
        <v>30.8</v>
      </c>
      <c r="Y115" s="33">
        <v>30.8</v>
      </c>
      <c r="Z115" s="33">
        <v>30.8</v>
      </c>
      <c r="AA115" s="33">
        <v>13.34</v>
      </c>
      <c r="AB115" s="32"/>
      <c r="AC115" s="32"/>
      <c r="AD115" s="32"/>
      <c r="AE115" s="32"/>
      <c r="AF115" s="32"/>
      <c r="AG115" s="32"/>
      <c r="AH115" s="32"/>
      <c r="AI115" s="32"/>
      <c r="AJ115" s="34">
        <f>SUM(E115:AI115)</f>
      </c>
      <c r="AK115" s="35"/>
    </row>
    <row r="116" ht="12.75" customHeight="1" spans="2:37" x14ac:dyDescent="0.25">
      <c r="B116" s="30" t="s">
        <v>42</v>
      </c>
      <c r="C116" s="31" t="s">
        <v>649</v>
      </c>
      <c r="D116" s="32" t="s">
        <v>952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3">
        <v>24.64</v>
      </c>
      <c r="AB116" s="33">
        <v>30.8</v>
      </c>
      <c r="AC116" s="36">
        <f>25.66+30.80</f>
        <v>56.46</v>
      </c>
      <c r="AD116" s="32"/>
      <c r="AE116" s="32"/>
      <c r="AF116" s="32"/>
      <c r="AG116" s="32"/>
      <c r="AH116" s="32"/>
      <c r="AI116" s="32"/>
      <c r="AJ116" s="34">
        <f>SUM(E116:AI116)</f>
      </c>
      <c r="AK116" s="35"/>
    </row>
    <row r="117" ht="12.75" customHeight="1" spans="2:37" x14ac:dyDescent="0.25">
      <c r="B117" s="30" t="s">
        <v>42</v>
      </c>
      <c r="C117" s="31" t="s">
        <v>649</v>
      </c>
      <c r="D117" s="32" t="s">
        <v>953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3">
        <v>15</v>
      </c>
      <c r="Y117" s="33">
        <v>31.19</v>
      </c>
      <c r="Z117" s="33">
        <v>30.8</v>
      </c>
      <c r="AA117" s="33">
        <v>2.05</v>
      </c>
      <c r="AB117" s="32"/>
      <c r="AC117" s="32"/>
      <c r="AD117" s="32"/>
      <c r="AE117" s="32"/>
      <c r="AF117" s="32"/>
      <c r="AG117" s="32"/>
      <c r="AH117" s="32"/>
      <c r="AI117" s="32"/>
      <c r="AJ117" s="34">
        <f>SUM(E117:AI117)</f>
      </c>
      <c r="AK117" s="35"/>
    </row>
    <row r="118" ht="12.75" customHeight="1" spans="2:37" x14ac:dyDescent="0.25">
      <c r="B118" s="30" t="s">
        <v>42</v>
      </c>
      <c r="C118" s="31" t="s">
        <v>649</v>
      </c>
      <c r="D118" s="32" t="s">
        <v>954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3">
        <v>30.8</v>
      </c>
      <c r="Y118" s="33">
        <v>30.8</v>
      </c>
      <c r="Z118" s="33">
        <v>30.8</v>
      </c>
      <c r="AA118" s="33">
        <v>13.34</v>
      </c>
      <c r="AB118" s="32"/>
      <c r="AC118" s="32"/>
      <c r="AD118" s="32"/>
      <c r="AE118" s="32"/>
      <c r="AF118" s="32"/>
      <c r="AG118" s="32"/>
      <c r="AH118" s="32"/>
      <c r="AI118" s="32"/>
      <c r="AJ118" s="34">
        <f>SUM(E118:AI118)</f>
      </c>
      <c r="AK118" s="35"/>
    </row>
    <row r="119" ht="12.75" customHeight="1" spans="2:37" x14ac:dyDescent="0.25">
      <c r="B119" s="30" t="s">
        <v>42</v>
      </c>
      <c r="C119" s="31" t="s">
        <v>649</v>
      </c>
      <c r="D119" s="32" t="s">
        <v>955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3">
        <v>14.37</v>
      </c>
      <c r="Y119" s="33">
        <v>30.8</v>
      </c>
      <c r="Z119" s="33">
        <v>30.8</v>
      </c>
      <c r="AA119" s="33">
        <v>13.34</v>
      </c>
      <c r="AB119" s="32"/>
      <c r="AC119" s="32"/>
      <c r="AD119" s="32"/>
      <c r="AE119" s="32"/>
      <c r="AF119" s="32"/>
      <c r="AG119" s="32"/>
      <c r="AH119" s="32"/>
      <c r="AI119" s="32"/>
      <c r="AJ119" s="34">
        <f>SUM(E119:AI119)</f>
      </c>
      <c r="AK119" s="35"/>
    </row>
    <row r="120" ht="12.75" customHeight="1" spans="2:37" x14ac:dyDescent="0.25">
      <c r="B120" s="30" t="s">
        <v>42</v>
      </c>
      <c r="C120" s="31" t="s">
        <v>649</v>
      </c>
      <c r="D120" s="32" t="s">
        <v>956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3">
        <v>30.8</v>
      </c>
      <c r="Y120" s="33">
        <v>30.8</v>
      </c>
      <c r="Z120" s="33">
        <v>30.8</v>
      </c>
      <c r="AA120" s="33">
        <v>13.34</v>
      </c>
      <c r="AB120" s="32"/>
      <c r="AC120" s="32"/>
      <c r="AD120" s="32"/>
      <c r="AE120" s="32"/>
      <c r="AF120" s="32"/>
      <c r="AG120" s="32"/>
      <c r="AH120" s="32"/>
      <c r="AI120" s="32"/>
      <c r="AJ120" s="34">
        <f>SUM(E120:AI120)</f>
      </c>
      <c r="AK120" s="35"/>
    </row>
    <row r="121" ht="12.75" customHeight="1" spans="2:37" x14ac:dyDescent="0.25">
      <c r="B121" s="30" t="s">
        <v>42</v>
      </c>
      <c r="C121" s="31" t="s">
        <v>649</v>
      </c>
      <c r="D121" s="32" t="s">
        <v>957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3">
        <v>14.37</v>
      </c>
      <c r="Y121" s="33">
        <v>30.8</v>
      </c>
      <c r="Z121" s="33">
        <v>30.8</v>
      </c>
      <c r="AA121" s="33">
        <v>13.34</v>
      </c>
      <c r="AB121" s="32"/>
      <c r="AC121" s="32"/>
      <c r="AD121" s="32"/>
      <c r="AE121" s="32"/>
      <c r="AF121" s="32"/>
      <c r="AG121" s="32"/>
      <c r="AH121" s="32"/>
      <c r="AI121" s="32"/>
      <c r="AJ121" s="34">
        <f>SUM(E121:AI121)</f>
      </c>
      <c r="AK121" s="35"/>
    </row>
    <row r="122" ht="12.75" customHeight="1" spans="2:37" x14ac:dyDescent="0.25">
      <c r="B122" s="30" t="s">
        <v>42</v>
      </c>
      <c r="C122" s="31" t="s">
        <v>649</v>
      </c>
      <c r="D122" s="32" t="s">
        <v>958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3">
        <v>30.8</v>
      </c>
      <c r="Y122" s="33">
        <v>30.8</v>
      </c>
      <c r="Z122" s="33">
        <v>30.8</v>
      </c>
      <c r="AA122" s="33">
        <v>13.34</v>
      </c>
      <c r="AB122" s="32"/>
      <c r="AC122" s="32"/>
      <c r="AD122" s="32"/>
      <c r="AE122" s="32"/>
      <c r="AF122" s="32"/>
      <c r="AG122" s="32"/>
      <c r="AH122" s="32"/>
      <c r="AI122" s="32"/>
      <c r="AJ122" s="34">
        <f>SUM(E122:AI122)</f>
      </c>
      <c r="AK122" s="35"/>
    </row>
    <row r="123" ht="12.75" customHeight="1" spans="2:37" x14ac:dyDescent="0.25">
      <c r="B123" s="30" t="s">
        <v>42</v>
      </c>
      <c r="C123" s="31" t="s">
        <v>649</v>
      </c>
      <c r="D123" s="32" t="s">
        <v>959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3">
        <v>30.8</v>
      </c>
      <c r="Y123" s="33">
        <v>30.8</v>
      </c>
      <c r="Z123" s="33">
        <v>30.8</v>
      </c>
      <c r="AA123" s="33">
        <v>8.22</v>
      </c>
      <c r="AB123" s="32"/>
      <c r="AC123" s="32"/>
      <c r="AD123" s="32"/>
      <c r="AE123" s="32"/>
      <c r="AF123" s="32"/>
      <c r="AG123" s="32"/>
      <c r="AH123" s="32"/>
      <c r="AI123" s="32"/>
      <c r="AJ123" s="34">
        <f>SUM(E123:AI123)</f>
      </c>
      <c r="AK123" s="35"/>
    </row>
    <row r="124" ht="12.75" customHeight="1" spans="2:37" x14ac:dyDescent="0.25">
      <c r="B124" s="30" t="s">
        <v>42</v>
      </c>
      <c r="C124" s="31" t="s">
        <v>649</v>
      </c>
      <c r="D124" s="32" t="s">
        <v>960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3">
        <v>21.56</v>
      </c>
      <c r="Y124" s="33">
        <v>30.8</v>
      </c>
      <c r="Z124" s="33">
        <v>30.8</v>
      </c>
      <c r="AA124" s="33">
        <v>13.34</v>
      </c>
      <c r="AB124" s="32"/>
      <c r="AC124" s="32"/>
      <c r="AD124" s="32"/>
      <c r="AE124" s="32"/>
      <c r="AF124" s="32"/>
      <c r="AG124" s="32"/>
      <c r="AH124" s="32"/>
      <c r="AI124" s="32"/>
      <c r="AJ124" s="34">
        <f>SUM(E124:AI124)</f>
      </c>
      <c r="AK124" s="35"/>
    </row>
    <row r="125" ht="12.75" customHeight="1" spans="2:37" x14ac:dyDescent="0.25">
      <c r="B125" s="30" t="s">
        <v>42</v>
      </c>
      <c r="C125" s="31" t="s">
        <v>649</v>
      </c>
      <c r="D125" s="32" t="s">
        <v>961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3">
        <v>30.8</v>
      </c>
      <c r="Y125" s="33">
        <v>30.8</v>
      </c>
      <c r="Z125" s="33">
        <v>30.8</v>
      </c>
      <c r="AA125" s="33">
        <v>13.34</v>
      </c>
      <c r="AB125" s="32"/>
      <c r="AC125" s="32"/>
      <c r="AD125" s="32"/>
      <c r="AE125" s="32"/>
      <c r="AF125" s="32"/>
      <c r="AG125" s="32"/>
      <c r="AH125" s="32"/>
      <c r="AI125" s="32"/>
      <c r="AJ125" s="34">
        <f>SUM(E125:AI125)</f>
      </c>
      <c r="AK125" s="35"/>
    </row>
    <row r="126" ht="12.75" customHeight="1" spans="2:37" x14ac:dyDescent="0.25">
      <c r="B126" s="30" t="s">
        <v>42</v>
      </c>
      <c r="C126" s="31" t="s">
        <v>649</v>
      </c>
      <c r="D126" s="32" t="s">
        <v>962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3">
        <v>30.8</v>
      </c>
      <c r="Y126" s="33">
        <v>30.8</v>
      </c>
      <c r="Z126" s="33">
        <v>30.8</v>
      </c>
      <c r="AA126" s="33">
        <v>13.34</v>
      </c>
      <c r="AB126" s="32"/>
      <c r="AC126" s="32"/>
      <c r="AD126" s="32"/>
      <c r="AE126" s="32"/>
      <c r="AF126" s="32"/>
      <c r="AG126" s="32"/>
      <c r="AH126" s="32"/>
      <c r="AI126" s="32"/>
      <c r="AJ126" s="34">
        <f>SUM(E126:AI126)</f>
      </c>
      <c r="AK126" s="35"/>
    </row>
    <row r="127" ht="12.75" customHeight="1" spans="2:37" x14ac:dyDescent="0.25">
      <c r="B127" s="30" t="s">
        <v>42</v>
      </c>
      <c r="C127" s="31" t="s">
        <v>649</v>
      </c>
      <c r="D127" s="32" t="s">
        <v>963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3">
        <v>30.8</v>
      </c>
      <c r="Y127" s="33">
        <v>30.8</v>
      </c>
      <c r="Z127" s="33">
        <v>30.8</v>
      </c>
      <c r="AA127" s="33">
        <v>13.34</v>
      </c>
      <c r="AB127" s="32"/>
      <c r="AC127" s="32"/>
      <c r="AD127" s="32"/>
      <c r="AE127" s="32"/>
      <c r="AF127" s="32"/>
      <c r="AG127" s="32"/>
      <c r="AH127" s="32"/>
      <c r="AI127" s="32"/>
      <c r="AJ127" s="34">
        <f>SUM(E127:AI127)</f>
      </c>
      <c r="AK127" s="35"/>
    </row>
    <row r="128" ht="12.75" customHeight="1" spans="2:37" x14ac:dyDescent="0.25">
      <c r="B128" s="30" t="s">
        <v>42</v>
      </c>
      <c r="C128" s="31" t="s">
        <v>649</v>
      </c>
      <c r="D128" s="32" t="s">
        <v>964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3">
        <v>25.66</v>
      </c>
      <c r="Y128" s="33">
        <v>30.8</v>
      </c>
      <c r="Z128" s="33">
        <v>30.8</v>
      </c>
      <c r="AA128" s="33">
        <v>13.34</v>
      </c>
      <c r="AB128" s="32"/>
      <c r="AC128" s="32"/>
      <c r="AD128" s="32"/>
      <c r="AE128" s="32"/>
      <c r="AF128" s="32"/>
      <c r="AG128" s="32"/>
      <c r="AH128" s="32"/>
      <c r="AI128" s="32"/>
      <c r="AJ128" s="34">
        <f>SUM(E128:AI128)</f>
      </c>
      <c r="AK128" s="35"/>
    </row>
    <row r="129" ht="12.75" customHeight="1" spans="2:37" x14ac:dyDescent="0.25">
      <c r="B129" s="30" t="s">
        <v>42</v>
      </c>
      <c r="C129" s="31" t="s">
        <v>649</v>
      </c>
      <c r="D129" s="32" t="s">
        <v>965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3">
        <v>16.42</v>
      </c>
      <c r="Y129" s="33">
        <v>30.8</v>
      </c>
      <c r="Z129" s="32"/>
      <c r="AA129" s="36">
        <f>1.03+30.80</f>
        <v>31.830000000000002</v>
      </c>
      <c r="AB129" s="32"/>
      <c r="AC129" s="32"/>
      <c r="AD129" s="32"/>
      <c r="AE129" s="32"/>
      <c r="AF129" s="32"/>
      <c r="AG129" s="32"/>
      <c r="AH129" s="32"/>
      <c r="AI129" s="32"/>
      <c r="AJ129" s="34">
        <f>SUM(E129:AI129)</f>
      </c>
      <c r="AK129" s="35"/>
    </row>
    <row r="130" ht="12.75" customHeight="1" spans="2:37" x14ac:dyDescent="0.25">
      <c r="B130" s="30" t="s">
        <v>42</v>
      </c>
      <c r="C130" s="31" t="s">
        <v>649</v>
      </c>
      <c r="D130" s="32" t="s">
        <v>966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3">
        <v>30.8</v>
      </c>
      <c r="Y130" s="33">
        <v>30.8</v>
      </c>
      <c r="Z130" s="33">
        <v>30.8</v>
      </c>
      <c r="AA130" s="33">
        <v>13.34</v>
      </c>
      <c r="AB130" s="32"/>
      <c r="AC130" s="32"/>
      <c r="AD130" s="32"/>
      <c r="AE130" s="32"/>
      <c r="AF130" s="32"/>
      <c r="AG130" s="32"/>
      <c r="AH130" s="32"/>
      <c r="AI130" s="32"/>
      <c r="AJ130" s="34">
        <f>SUM(E130:AI130)</f>
      </c>
      <c r="AK130" s="35"/>
    </row>
    <row r="131" ht="12.75" customHeight="1" spans="2:37" x14ac:dyDescent="0.25">
      <c r="B131" s="30" t="s">
        <v>42</v>
      </c>
      <c r="C131" s="31" t="s">
        <v>649</v>
      </c>
      <c r="D131" s="32" t="s">
        <v>967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3">
        <v>30.8</v>
      </c>
      <c r="Z131" s="33">
        <v>30.8</v>
      </c>
      <c r="AA131" s="33">
        <v>13.34</v>
      </c>
      <c r="AB131" s="32"/>
      <c r="AC131" s="32"/>
      <c r="AD131" s="32"/>
      <c r="AE131" s="32"/>
      <c r="AF131" s="32"/>
      <c r="AG131" s="32"/>
      <c r="AH131" s="32"/>
      <c r="AI131" s="32"/>
      <c r="AJ131" s="34">
        <f>SUM(E131:AI131)</f>
      </c>
      <c r="AK131" s="35"/>
    </row>
    <row r="132" ht="12.75" customHeight="1" spans="2:37" x14ac:dyDescent="0.25">
      <c r="B132" s="30" t="s">
        <v>42</v>
      </c>
      <c r="C132" s="31" t="s">
        <v>649</v>
      </c>
      <c r="D132" s="32" t="s">
        <v>968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3">
        <v>16.42</v>
      </c>
      <c r="Y132" s="33">
        <v>30.8</v>
      </c>
      <c r="Z132" s="33">
        <v>30.8</v>
      </c>
      <c r="AA132" s="33">
        <v>13.34</v>
      </c>
      <c r="AB132" s="32"/>
      <c r="AC132" s="32"/>
      <c r="AD132" s="32"/>
      <c r="AE132" s="32"/>
      <c r="AF132" s="32"/>
      <c r="AG132" s="32"/>
      <c r="AH132" s="32"/>
      <c r="AI132" s="32"/>
      <c r="AJ132" s="34">
        <f>SUM(E132:AI132)</f>
      </c>
      <c r="AK132" s="35"/>
    </row>
    <row r="133" ht="12.75" customHeight="1" spans="2:37" x14ac:dyDescent="0.25">
      <c r="B133" s="30" t="s">
        <v>42</v>
      </c>
      <c r="C133" s="31" t="s">
        <v>649</v>
      </c>
      <c r="D133" s="32" t="s">
        <v>969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3">
        <v>30.8</v>
      </c>
      <c r="Y133" s="33">
        <v>30.8</v>
      </c>
      <c r="Z133" s="33">
        <v>30.8</v>
      </c>
      <c r="AA133" s="33">
        <v>13.34</v>
      </c>
      <c r="AB133" s="32"/>
      <c r="AC133" s="32"/>
      <c r="AD133" s="32"/>
      <c r="AE133" s="32"/>
      <c r="AF133" s="32"/>
      <c r="AG133" s="32"/>
      <c r="AH133" s="32"/>
      <c r="AI133" s="32"/>
      <c r="AJ133" s="34">
        <f>SUM(E133:AI133)</f>
      </c>
      <c r="AK133" s="35"/>
    </row>
    <row r="134" ht="12.75" customHeight="1" spans="2:37" x14ac:dyDescent="0.25">
      <c r="B134" s="30" t="s">
        <v>42</v>
      </c>
      <c r="C134" s="31" t="s">
        <v>649</v>
      </c>
      <c r="D134" s="32" t="s">
        <v>970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3">
        <v>14.37</v>
      </c>
      <c r="Y134" s="33">
        <v>30.8</v>
      </c>
      <c r="Z134" s="33">
        <v>30.8</v>
      </c>
      <c r="AA134" s="33">
        <v>13.34</v>
      </c>
      <c r="AB134" s="32"/>
      <c r="AC134" s="32"/>
      <c r="AD134" s="32"/>
      <c r="AE134" s="32"/>
      <c r="AF134" s="32"/>
      <c r="AG134" s="32"/>
      <c r="AH134" s="32"/>
      <c r="AI134" s="32"/>
      <c r="AJ134" s="34">
        <f>SUM(E134:AI134)</f>
      </c>
      <c r="AK134" s="35"/>
    </row>
    <row r="135" ht="12.75" customHeight="1" spans="2:37" x14ac:dyDescent="0.25">
      <c r="B135" s="30" t="s">
        <v>42</v>
      </c>
      <c r="C135" s="31" t="s">
        <v>649</v>
      </c>
      <c r="D135" s="32" t="s">
        <v>971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3">
        <v>30.8</v>
      </c>
      <c r="X135" s="33">
        <v>30.8</v>
      </c>
      <c r="Y135" s="33">
        <v>30.8</v>
      </c>
      <c r="Z135" s="33">
        <v>30.8</v>
      </c>
      <c r="AA135" s="33">
        <v>30.8</v>
      </c>
      <c r="AB135" s="33">
        <v>30.8</v>
      </c>
      <c r="AC135" s="36">
        <f>4.53+30.80</f>
        <v>35.33</v>
      </c>
      <c r="AD135" s="32"/>
      <c r="AE135" s="32"/>
      <c r="AF135" s="32"/>
      <c r="AG135" s="32"/>
      <c r="AH135" s="32"/>
      <c r="AI135" s="32"/>
      <c r="AJ135" s="34">
        <f>SUM(E135:AI135)</f>
      </c>
      <c r="AK135" s="35"/>
    </row>
    <row r="136" ht="12.75" customHeight="1" spans="2:37" x14ac:dyDescent="0.25">
      <c r="B136" s="30" t="s">
        <v>42</v>
      </c>
      <c r="C136" s="31" t="s">
        <v>649</v>
      </c>
      <c r="D136" s="32" t="s">
        <v>972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3">
        <v>18.48</v>
      </c>
      <c r="Y136" s="33">
        <v>30.8</v>
      </c>
      <c r="Z136" s="33">
        <v>30.8</v>
      </c>
      <c r="AA136" s="33">
        <v>13.34</v>
      </c>
      <c r="AB136" s="32"/>
      <c r="AC136" s="32"/>
      <c r="AD136" s="32"/>
      <c r="AE136" s="32"/>
      <c r="AF136" s="32"/>
      <c r="AG136" s="32"/>
      <c r="AH136" s="32"/>
      <c r="AI136" s="32"/>
      <c r="AJ136" s="34">
        <f>SUM(E136:AI136)</f>
      </c>
      <c r="AK136" s="35"/>
    </row>
    <row r="137" ht="12.75" customHeight="1" spans="2:37" x14ac:dyDescent="0.25">
      <c r="B137" s="30" t="s">
        <v>42</v>
      </c>
      <c r="C137" s="31" t="s">
        <v>649</v>
      </c>
      <c r="D137" s="32" t="s">
        <v>973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3">
        <v>21.56</v>
      </c>
      <c r="Y137" s="33">
        <v>30.8</v>
      </c>
      <c r="Z137" s="33">
        <v>30.8</v>
      </c>
      <c r="AA137" s="33">
        <v>13.34</v>
      </c>
      <c r="AB137" s="32"/>
      <c r="AC137" s="32"/>
      <c r="AD137" s="32"/>
      <c r="AE137" s="32"/>
      <c r="AF137" s="32"/>
      <c r="AG137" s="32"/>
      <c r="AH137" s="32"/>
      <c r="AI137" s="32"/>
      <c r="AJ137" s="34">
        <f>SUM(E137:AI137)</f>
      </c>
      <c r="AK137" s="35"/>
    </row>
    <row r="138" ht="12.75" customHeight="1" spans="2:37" x14ac:dyDescent="0.25">
      <c r="B138" s="30" t="s">
        <v>42</v>
      </c>
      <c r="C138" s="31" t="s">
        <v>649</v>
      </c>
      <c r="D138" s="32" t="s">
        <v>974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3">
        <v>72.51</v>
      </c>
      <c r="AF138" s="33">
        <v>19.79</v>
      </c>
      <c r="AG138" s="33">
        <v>32.13</v>
      </c>
      <c r="AH138" s="33">
        <v>44.06</v>
      </c>
      <c r="AI138" s="32"/>
      <c r="AJ138" s="34">
        <f>SUM(E138:AI138)</f>
      </c>
      <c r="AK138" s="35"/>
    </row>
    <row r="139" ht="12.75" customHeight="1" spans="2:37" x14ac:dyDescent="0.25">
      <c r="B139" s="30" t="s">
        <v>42</v>
      </c>
      <c r="C139" s="31" t="s">
        <v>649</v>
      </c>
      <c r="D139" s="32" t="s">
        <v>975</v>
      </c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3">
        <v>9.24</v>
      </c>
      <c r="AG139" s="32"/>
      <c r="AH139" s="32"/>
      <c r="AI139" s="32"/>
      <c r="AJ139" s="34">
        <f>SUM(E139:AI139)</f>
      </c>
      <c r="AK139" s="35"/>
    </row>
    <row r="140" ht="12.75" customHeight="1" spans="2:37" x14ac:dyDescent="0.25">
      <c r="B140" s="30" t="s">
        <v>42</v>
      </c>
      <c r="C140" s="31" t="s">
        <v>649</v>
      </c>
      <c r="D140" s="32" t="s">
        <v>976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3">
        <v>9.24</v>
      </c>
      <c r="AG140" s="32"/>
      <c r="AH140" s="32"/>
      <c r="AI140" s="32"/>
      <c r="AJ140" s="34">
        <f>SUM(E140:AI140)</f>
      </c>
      <c r="AK140" s="35"/>
    </row>
    <row r="141" ht="12.75" customHeight="1" spans="2:37" x14ac:dyDescent="0.25">
      <c r="B141" s="30" t="s">
        <v>42</v>
      </c>
      <c r="C141" s="31" t="s">
        <v>649</v>
      </c>
      <c r="D141" s="32" t="s">
        <v>977</v>
      </c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3">
        <v>9.24</v>
      </c>
      <c r="AG141" s="32"/>
      <c r="AH141" s="32"/>
      <c r="AI141" s="32"/>
      <c r="AJ141" s="34">
        <f>SUM(E141:AI141)</f>
      </c>
      <c r="AK141" s="35"/>
    </row>
    <row r="142" ht="12.75" customHeight="1" spans="2:37" x14ac:dyDescent="0.25">
      <c r="B142" s="30" t="s">
        <v>42</v>
      </c>
      <c r="C142" s="31" t="s">
        <v>649</v>
      </c>
      <c r="D142" s="32" t="s">
        <v>978</v>
      </c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3">
        <v>9.24</v>
      </c>
      <c r="AG142" s="32"/>
      <c r="AH142" s="32"/>
      <c r="AI142" s="32"/>
      <c r="AJ142" s="34">
        <f>SUM(E142:AI142)</f>
      </c>
      <c r="AK142" s="35"/>
    </row>
    <row r="143" ht="12.75" customHeight="1" spans="2:37" x14ac:dyDescent="0.25">
      <c r="B143" s="30" t="s">
        <v>42</v>
      </c>
      <c r="C143" s="31" t="s">
        <v>649</v>
      </c>
      <c r="D143" s="32" t="s">
        <v>979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3">
        <v>9.24</v>
      </c>
      <c r="AG143" s="32"/>
      <c r="AH143" s="32"/>
      <c r="AI143" s="32"/>
      <c r="AJ143" s="34">
        <f>SUM(E143:AI143)</f>
      </c>
      <c r="AK143" s="35"/>
    </row>
    <row r="144" ht="12.75" customHeight="1" spans="2:37" x14ac:dyDescent="0.25">
      <c r="B144" s="30" t="s">
        <v>42</v>
      </c>
      <c r="C144" s="31" t="s">
        <v>649</v>
      </c>
      <c r="D144" s="32" t="s">
        <v>980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3">
        <v>7.19</v>
      </c>
      <c r="AG144" s="32"/>
      <c r="AH144" s="32"/>
      <c r="AI144" s="32"/>
      <c r="AJ144" s="34">
        <f>SUM(E144:AI144)</f>
      </c>
      <c r="AK144" s="35"/>
    </row>
    <row r="145" ht="12.75" customHeight="1" spans="2:37" x14ac:dyDescent="0.25">
      <c r="B145" s="30" t="s">
        <v>42</v>
      </c>
      <c r="C145" s="31" t="s">
        <v>649</v>
      </c>
      <c r="D145" s="32" t="s">
        <v>981</v>
      </c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3">
        <v>97.14</v>
      </c>
      <c r="AG145" s="33">
        <v>198.42</v>
      </c>
      <c r="AH145" s="33">
        <v>132.41</v>
      </c>
      <c r="AI145" s="32"/>
      <c r="AJ145" s="34">
        <f>SUM(E145:AI145)</f>
      </c>
      <c r="AK145" s="35"/>
    </row>
    <row r="146" ht="12.75" customHeight="1" spans="2:37" x14ac:dyDescent="0.25">
      <c r="B146" s="30" t="s">
        <v>42</v>
      </c>
      <c r="C146" s="31" t="s">
        <v>649</v>
      </c>
      <c r="D146" s="32" t="s">
        <v>982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3">
        <v>58.55</v>
      </c>
      <c r="AG146" s="33">
        <v>194.89</v>
      </c>
      <c r="AH146" s="33">
        <v>55.99</v>
      </c>
      <c r="AI146" s="32"/>
      <c r="AJ146" s="34">
        <f>SUM(E146:AI146)</f>
      </c>
      <c r="AK146" s="35"/>
    </row>
    <row r="147" ht="12.75" customHeight="1" spans="2:37" x14ac:dyDescent="0.25">
      <c r="B147" s="30" t="s">
        <v>42</v>
      </c>
      <c r="C147" s="31" t="s">
        <v>649</v>
      </c>
      <c r="D147" s="32" t="s">
        <v>983</v>
      </c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3">
        <v>46.8</v>
      </c>
      <c r="AG147" s="33">
        <v>155.49</v>
      </c>
      <c r="AH147" s="33">
        <v>124.51</v>
      </c>
      <c r="AI147" s="32"/>
      <c r="AJ147" s="34">
        <f>SUM(E147:AI147)</f>
      </c>
      <c r="AK147" s="35"/>
    </row>
    <row r="148" ht="12.75" customHeight="1" spans="2:37" x14ac:dyDescent="0.25">
      <c r="B148" s="30" t="s">
        <v>42</v>
      </c>
      <c r="C148" s="31" t="s">
        <v>649</v>
      </c>
      <c r="D148" s="32" t="s">
        <v>984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3">
        <v>86.11</v>
      </c>
      <c r="AH148" s="32"/>
      <c r="AI148" s="32"/>
      <c r="AJ148" s="34">
        <f>SUM(E148:AI148)</f>
      </c>
      <c r="AK148" s="35"/>
    </row>
    <row r="149" ht="12.75" customHeight="1" spans="2:37" x14ac:dyDescent="0.25">
      <c r="B149" s="30" t="s">
        <v>42</v>
      </c>
      <c r="C149" s="31" t="s">
        <v>649</v>
      </c>
      <c r="D149" s="32" t="s">
        <v>985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3">
        <v>12.32</v>
      </c>
      <c r="AG149" s="33">
        <v>30.8</v>
      </c>
      <c r="AH149" s="33">
        <v>30.8</v>
      </c>
      <c r="AI149" s="32"/>
      <c r="AJ149" s="34">
        <f>SUM(E149:AI149)</f>
      </c>
      <c r="AK149" s="35"/>
    </row>
    <row r="150" ht="12.75" customHeight="1" spans="2:37" x14ac:dyDescent="0.25">
      <c r="B150" s="30" t="s">
        <v>42</v>
      </c>
      <c r="C150" s="31" t="s">
        <v>649</v>
      </c>
      <c r="D150" s="32" t="s">
        <v>986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3">
        <v>26.58</v>
      </c>
      <c r="AG150" s="33">
        <v>39.47</v>
      </c>
      <c r="AH150" s="33">
        <v>33.34</v>
      </c>
      <c r="AI150" s="32"/>
      <c r="AJ150" s="34">
        <f>SUM(E150:AI150)</f>
      </c>
      <c r="AK150" s="35"/>
    </row>
    <row r="151" ht="12.75" customHeight="1" spans="2:37" x14ac:dyDescent="0.25">
      <c r="B151" s="30" t="s">
        <v>42</v>
      </c>
      <c r="C151" s="31" t="s">
        <v>649</v>
      </c>
      <c r="D151" s="32" t="s">
        <v>987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3">
        <v>14.37</v>
      </c>
      <c r="AG151" s="33">
        <v>30.8</v>
      </c>
      <c r="AH151" s="33">
        <v>30.8</v>
      </c>
      <c r="AI151" s="32"/>
      <c r="AJ151" s="34">
        <f>SUM(E151:AI151)</f>
      </c>
      <c r="AK151" s="35"/>
    </row>
    <row r="152" ht="12.75" customHeight="1" spans="2:37" x14ac:dyDescent="0.25">
      <c r="B152" s="30" t="s">
        <v>42</v>
      </c>
      <c r="C152" s="31" t="s">
        <v>649</v>
      </c>
      <c r="D152" s="32" t="s">
        <v>988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3">
        <v>12.32</v>
      </c>
      <c r="AG152" s="33">
        <v>30.8</v>
      </c>
      <c r="AH152" s="33">
        <v>30.8</v>
      </c>
      <c r="AI152" s="32"/>
      <c r="AJ152" s="34">
        <f>SUM(E152:AI152)</f>
      </c>
      <c r="AK152" s="35"/>
    </row>
    <row r="153" ht="12.75" customHeight="1" spans="2:37" x14ac:dyDescent="0.25">
      <c r="B153" s="30" t="s">
        <v>42</v>
      </c>
      <c r="C153" s="31" t="s">
        <v>649</v>
      </c>
      <c r="D153" s="32" t="s">
        <v>989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3">
        <v>16.32</v>
      </c>
      <c r="AG153" s="33">
        <v>30.8</v>
      </c>
      <c r="AH153" s="33">
        <v>30.8</v>
      </c>
      <c r="AI153" s="32"/>
      <c r="AJ153" s="34">
        <f>SUM(E153:AI153)</f>
      </c>
      <c r="AK153" s="35"/>
    </row>
    <row r="154" ht="12.75" customHeight="1" spans="2:37" x14ac:dyDescent="0.25">
      <c r="B154" s="30" t="s">
        <v>42</v>
      </c>
      <c r="C154" s="31" t="s">
        <v>649</v>
      </c>
      <c r="D154" s="32" t="s">
        <v>990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3">
        <v>16.32</v>
      </c>
      <c r="AG154" s="33">
        <v>30.8</v>
      </c>
      <c r="AH154" s="33">
        <v>30.8</v>
      </c>
      <c r="AI154" s="32"/>
      <c r="AJ154" s="34">
        <f>SUM(E154:AI154)</f>
      </c>
      <c r="AK154" s="35"/>
    </row>
    <row r="155" ht="12.75" customHeight="1" spans="2:37" x14ac:dyDescent="0.25">
      <c r="B155" s="30" t="s">
        <v>42</v>
      </c>
      <c r="C155" s="31" t="s">
        <v>649</v>
      </c>
      <c r="D155" s="32" t="s">
        <v>991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3">
        <v>16.32</v>
      </c>
      <c r="AG155" s="33">
        <v>30.8</v>
      </c>
      <c r="AH155" s="33">
        <v>66.46</v>
      </c>
      <c r="AI155" s="32"/>
      <c r="AJ155" s="34">
        <f>SUM(E155:AI155)</f>
      </c>
      <c r="AK155" s="35"/>
    </row>
    <row r="156" ht="12.75" customHeight="1" spans="2:37" x14ac:dyDescent="0.25">
      <c r="B156" s="30" t="s">
        <v>42</v>
      </c>
      <c r="C156" s="31" t="s">
        <v>649</v>
      </c>
      <c r="D156" s="32" t="s">
        <v>992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3">
        <v>18.83</v>
      </c>
      <c r="AG156" s="33">
        <v>121.85</v>
      </c>
      <c r="AH156" s="33">
        <v>99.99</v>
      </c>
      <c r="AI156" s="32"/>
      <c r="AJ156" s="34">
        <f>SUM(E156:AI156)</f>
      </c>
      <c r="AK156" s="35"/>
    </row>
    <row r="157" ht="12.75" customHeight="1" spans="2:37" x14ac:dyDescent="0.25">
      <c r="B157" s="30" t="s">
        <v>42</v>
      </c>
      <c r="C157" s="31" t="s">
        <v>649</v>
      </c>
      <c r="D157" s="32" t="s">
        <v>993</v>
      </c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3">
        <v>16.32</v>
      </c>
      <c r="AG157" s="33">
        <v>30.8</v>
      </c>
      <c r="AH157" s="33">
        <v>30.8</v>
      </c>
      <c r="AI157" s="32"/>
      <c r="AJ157" s="34">
        <f>SUM(E157:AI157)</f>
      </c>
      <c r="AK157" s="35"/>
    </row>
    <row r="158" ht="12.75" customHeight="1" spans="2:37" x14ac:dyDescent="0.25">
      <c r="B158" s="30" t="s">
        <v>42</v>
      </c>
      <c r="C158" s="31" t="s">
        <v>649</v>
      </c>
      <c r="D158" s="32" t="s">
        <v>994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3">
        <v>12.32</v>
      </c>
      <c r="AG158" s="33">
        <v>92.99</v>
      </c>
      <c r="AH158" s="33">
        <v>87.52</v>
      </c>
      <c r="AI158" s="32"/>
      <c r="AJ158" s="34">
        <f>SUM(E158:AI158)</f>
      </c>
      <c r="AK158" s="35"/>
    </row>
    <row r="159" ht="12.75" customHeight="1" spans="2:37" x14ac:dyDescent="0.25">
      <c r="B159" s="30" t="s">
        <v>42</v>
      </c>
      <c r="C159" s="31" t="s">
        <v>649</v>
      </c>
      <c r="D159" s="32" t="s">
        <v>995</v>
      </c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3">
        <v>18.37</v>
      </c>
      <c r="AG159" s="33">
        <v>30.8</v>
      </c>
      <c r="AH159" s="33">
        <v>30.8</v>
      </c>
      <c r="AI159" s="32"/>
      <c r="AJ159" s="34">
        <f>SUM(E159:AI159)</f>
      </c>
      <c r="AK159" s="35"/>
    </row>
    <row r="160" ht="12.75" customHeight="1" spans="2:37" x14ac:dyDescent="0.25">
      <c r="B160" s="30" t="s">
        <v>42</v>
      </c>
      <c r="C160" s="31" t="s">
        <v>649</v>
      </c>
      <c r="D160" s="32" t="s">
        <v>996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3">
        <v>16.32</v>
      </c>
      <c r="AG160" s="33">
        <v>30.8</v>
      </c>
      <c r="AH160" s="33">
        <v>30.8</v>
      </c>
      <c r="AI160" s="32"/>
      <c r="AJ160" s="34">
        <f>SUM(E160:AI160)</f>
      </c>
      <c r="AK160" s="35"/>
    </row>
    <row r="161" ht="12.75" customHeight="1" spans="2:37" x14ac:dyDescent="0.25">
      <c r="B161" s="30" t="s">
        <v>42</v>
      </c>
      <c r="C161" s="31" t="s">
        <v>649</v>
      </c>
      <c r="D161" s="32" t="s">
        <v>997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6">
        <f>-496.45+461.04</f>
        <v>-35.40999999999997</v>
      </c>
      <c r="AG161" s="36">
        <f>224.96+-27.39</f>
        <v>197.57</v>
      </c>
      <c r="AH161" s="33">
        <v>183.32</v>
      </c>
      <c r="AI161" s="32"/>
      <c r="AJ161" s="34">
        <f>SUM(E161:AI161)</f>
      </c>
      <c r="AK161" s="35"/>
    </row>
    <row r="162" ht="12.75" customHeight="1" spans="2:37" x14ac:dyDescent="0.25">
      <c r="B162" s="30" t="s">
        <v>42</v>
      </c>
      <c r="C162" s="31" t="s">
        <v>649</v>
      </c>
      <c r="D162" s="32" t="s">
        <v>998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3">
        <v>13.34</v>
      </c>
      <c r="AH162" s="32"/>
      <c r="AI162" s="32"/>
      <c r="AJ162" s="34">
        <f>SUM(E162:AI162)</f>
      </c>
      <c r="AK162" s="35"/>
    </row>
    <row r="163" ht="12.75" customHeight="1" spans="2:37" x14ac:dyDescent="0.25">
      <c r="B163" s="30" t="s">
        <v>42</v>
      </c>
      <c r="C163" s="31" t="s">
        <v>649</v>
      </c>
      <c r="D163" s="32" t="s">
        <v>999</v>
      </c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3">
        <v>16.32</v>
      </c>
      <c r="AG163" s="33">
        <v>30.8</v>
      </c>
      <c r="AH163" s="33">
        <v>30.8</v>
      </c>
      <c r="AI163" s="32"/>
      <c r="AJ163" s="34">
        <f>SUM(E163:AI163)</f>
      </c>
      <c r="AK163" s="35"/>
    </row>
    <row r="164" ht="12.75" customHeight="1" spans="2:37" x14ac:dyDescent="0.25">
      <c r="B164" s="30" t="s">
        <v>42</v>
      </c>
      <c r="C164" s="31" t="s">
        <v>649</v>
      </c>
      <c r="D164" s="32" t="s">
        <v>1000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3">
        <v>16.32</v>
      </c>
      <c r="AG164" s="33">
        <v>30.8</v>
      </c>
      <c r="AH164" s="33">
        <v>30.8</v>
      </c>
      <c r="AI164" s="32"/>
      <c r="AJ164" s="34">
        <f>SUM(E164:AI164)</f>
      </c>
      <c r="AK164" s="35"/>
    </row>
    <row r="165" ht="12.75" customHeight="1" spans="2:37" x14ac:dyDescent="0.25">
      <c r="B165" s="30" t="s">
        <v>42</v>
      </c>
      <c r="C165" s="31" t="s">
        <v>649</v>
      </c>
      <c r="D165" s="32" t="s">
        <v>1001</v>
      </c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3">
        <v>12.32</v>
      </c>
      <c r="AG165" s="33">
        <v>30.8</v>
      </c>
      <c r="AH165" s="33">
        <v>30.8</v>
      </c>
      <c r="AI165" s="32"/>
      <c r="AJ165" s="34">
        <f>SUM(E165:AI165)</f>
      </c>
      <c r="AK165" s="35"/>
    </row>
    <row r="166" ht="12.75" customHeight="1" spans="2:37" x14ac:dyDescent="0.25">
      <c r="B166" s="30" t="s">
        <v>42</v>
      </c>
      <c r="C166" s="31" t="s">
        <v>649</v>
      </c>
      <c r="D166" s="32" t="s">
        <v>1002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3">
        <v>14.37</v>
      </c>
      <c r="AG166" s="33">
        <v>30.8</v>
      </c>
      <c r="AH166" s="33">
        <v>30.8</v>
      </c>
      <c r="AI166" s="32"/>
      <c r="AJ166" s="34">
        <f>SUM(E166:AI166)</f>
      </c>
      <c r="AK166" s="35"/>
    </row>
    <row r="167" ht="12.75" customHeight="1" spans="2:37" x14ac:dyDescent="0.25">
      <c r="B167" s="30" t="s">
        <v>42</v>
      </c>
      <c r="C167" s="31" t="s">
        <v>649</v>
      </c>
      <c r="D167" s="32" t="s">
        <v>1003</v>
      </c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3">
        <v>12.32</v>
      </c>
      <c r="AG167" s="33">
        <v>30.8</v>
      </c>
      <c r="AH167" s="33">
        <v>30.8</v>
      </c>
      <c r="AI167" s="32"/>
      <c r="AJ167" s="34">
        <f>SUM(E167:AI167)</f>
      </c>
      <c r="AK167" s="35"/>
    </row>
    <row r="168" ht="12.75" customHeight="1" spans="2:37" x14ac:dyDescent="0.25">
      <c r="B168" s="30" t="s">
        <v>42</v>
      </c>
      <c r="C168" s="31" t="s">
        <v>649</v>
      </c>
      <c r="D168" s="32" t="s">
        <v>1004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6">
        <f>-1450.20+331.57</f>
        <v>-1118.63</v>
      </c>
      <c r="AG168" s="36">
        <f>0.00+504.37</f>
        <v>504.37</v>
      </c>
      <c r="AH168" s="33">
        <v>510.74</v>
      </c>
      <c r="AI168" s="32"/>
      <c r="AJ168" s="34">
        <f>SUM(E168:AI168)</f>
      </c>
      <c r="AK168" s="35"/>
    </row>
    <row r="169" ht="12.75" customHeight="1" spans="2:37" x14ac:dyDescent="0.25">
      <c r="B169" s="30" t="s">
        <v>42</v>
      </c>
      <c r="C169" s="31" t="s">
        <v>649</v>
      </c>
      <c r="D169" s="32" t="s">
        <v>1005</v>
      </c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3">
        <v>915</v>
      </c>
      <c r="AG169" s="32"/>
      <c r="AH169" s="32"/>
      <c r="AI169" s="32"/>
      <c r="AJ169" s="34">
        <f>SUM(E169:AI169)</f>
      </c>
      <c r="AK169" s="35"/>
    </row>
    <row r="170" ht="12.75" customHeight="1" spans="2:37" x14ac:dyDescent="0.25">
      <c r="B170" s="30" t="s">
        <v>42</v>
      </c>
      <c r="C170" s="31" t="s">
        <v>649</v>
      </c>
      <c r="D170" s="32" t="s">
        <v>1006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3">
        <v>12.32</v>
      </c>
      <c r="AG170" s="33">
        <v>30.8</v>
      </c>
      <c r="AH170" s="33">
        <v>30.8</v>
      </c>
      <c r="AI170" s="32"/>
      <c r="AJ170" s="34">
        <f>SUM(E170:AI170)</f>
      </c>
      <c r="AK170" s="35"/>
    </row>
    <row r="171" ht="12.75" customHeight="1" spans="2:37" x14ac:dyDescent="0.25">
      <c r="B171" s="30" t="s">
        <v>42</v>
      </c>
      <c r="C171" s="31" t="s">
        <v>649</v>
      </c>
      <c r="D171" s="32" t="s">
        <v>1007</v>
      </c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3">
        <v>22.04</v>
      </c>
      <c r="AG171" s="33">
        <v>60.17</v>
      </c>
      <c r="AH171" s="33">
        <v>63.53</v>
      </c>
      <c r="AI171" s="32"/>
      <c r="AJ171" s="34">
        <f>SUM(E171:AI171)</f>
      </c>
      <c r="AK171" s="35"/>
    </row>
    <row r="172" ht="12.75" customHeight="1" spans="2:37" x14ac:dyDescent="0.25">
      <c r="B172" s="30" t="s">
        <v>42</v>
      </c>
      <c r="C172" s="31" t="s">
        <v>649</v>
      </c>
      <c r="D172" s="32" t="s">
        <v>1008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3">
        <v>135</v>
      </c>
      <c r="AG172" s="32"/>
      <c r="AH172" s="32"/>
      <c r="AI172" s="32"/>
      <c r="AJ172" s="34">
        <f>SUM(E172:AI172)</f>
      </c>
      <c r="AK172" s="35"/>
    </row>
    <row r="173" ht="12.75" customHeight="1" spans="2:37" x14ac:dyDescent="0.25">
      <c r="B173" s="30" t="s">
        <v>42</v>
      </c>
      <c r="C173" s="31" t="s">
        <v>649</v>
      </c>
      <c r="D173" s="32" t="s">
        <v>1009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3">
        <v>29.21</v>
      </c>
      <c r="AG173" s="33">
        <v>71.64</v>
      </c>
      <c r="AH173" s="33">
        <v>63.64</v>
      </c>
      <c r="AI173" s="32"/>
      <c r="AJ173" s="34">
        <f>SUM(E173:AI173)</f>
      </c>
      <c r="AK173" s="35"/>
    </row>
    <row r="174" ht="12.75" customHeight="1" spans="2:37" x14ac:dyDescent="0.25">
      <c r="B174" s="30" t="s">
        <v>42</v>
      </c>
      <c r="C174" s="31" t="s">
        <v>649</v>
      </c>
      <c r="D174" s="32" t="s">
        <v>1010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3">
        <v>165</v>
      </c>
      <c r="AG174" s="32"/>
      <c r="AH174" s="32"/>
      <c r="AI174" s="32"/>
      <c r="AJ174" s="34">
        <f>SUM(E174:AI174)</f>
      </c>
      <c r="AK174" s="35"/>
    </row>
    <row r="175" ht="12.75" customHeight="1" spans="2:37" x14ac:dyDescent="0.25">
      <c r="B175" s="30" t="s">
        <v>42</v>
      </c>
      <c r="C175" s="31" t="s">
        <v>649</v>
      </c>
      <c r="D175" s="32" t="s">
        <v>1011</v>
      </c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3">
        <v>12.32</v>
      </c>
      <c r="AG175" s="33">
        <v>30.8</v>
      </c>
      <c r="AH175" s="33">
        <v>30.8</v>
      </c>
      <c r="AI175" s="32"/>
      <c r="AJ175" s="34">
        <f>SUM(E175:AI175)</f>
      </c>
      <c r="AK175" s="35"/>
    </row>
    <row r="176" ht="12.75" customHeight="1" spans="2:37" x14ac:dyDescent="0.25">
      <c r="B176" s="30" t="s">
        <v>42</v>
      </c>
      <c r="C176" s="31" t="s">
        <v>649</v>
      </c>
      <c r="D176" s="32" t="s">
        <v>1012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3">
        <v>12.32</v>
      </c>
      <c r="AG176" s="33">
        <v>30.8</v>
      </c>
      <c r="AH176" s="33">
        <v>30.8</v>
      </c>
      <c r="AI176" s="32"/>
      <c r="AJ176" s="34">
        <f>SUM(E176:AI176)</f>
      </c>
      <c r="AK176" s="35"/>
    </row>
    <row r="177" ht="12.75" customHeight="1" spans="2:37" x14ac:dyDescent="0.25">
      <c r="B177" s="30" t="s">
        <v>42</v>
      </c>
      <c r="C177" s="31" t="s">
        <v>649</v>
      </c>
      <c r="D177" s="32" t="s">
        <v>1013</v>
      </c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6">
        <f>-420.11+65.97</f>
        <v>-354.14</v>
      </c>
      <c r="AG177" s="36">
        <f>144.79+-2.79</f>
        <v>142</v>
      </c>
      <c r="AH177" s="33">
        <v>72.43</v>
      </c>
      <c r="AI177" s="32"/>
      <c r="AJ177" s="34">
        <f>SUM(E177:AI177)</f>
      </c>
      <c r="AK177" s="35"/>
    </row>
    <row r="178" ht="12.75" customHeight="1" spans="2:37" x14ac:dyDescent="0.25">
      <c r="B178" s="30" t="s">
        <v>42</v>
      </c>
      <c r="C178" s="31" t="s">
        <v>649</v>
      </c>
      <c r="D178" s="32" t="s">
        <v>1014</v>
      </c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3">
        <v>280</v>
      </c>
      <c r="AG178" s="32"/>
      <c r="AH178" s="32"/>
      <c r="AI178" s="32"/>
      <c r="AJ178" s="34">
        <f>SUM(E178:AI178)</f>
      </c>
      <c r="AK178" s="35"/>
    </row>
    <row r="179" ht="12.75" customHeight="1" spans="2:37" x14ac:dyDescent="0.25">
      <c r="B179" s="30" t="s">
        <v>42</v>
      </c>
      <c r="C179" s="31" t="s">
        <v>649</v>
      </c>
      <c r="D179" s="32" t="s">
        <v>1015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3">
        <v>12.32</v>
      </c>
      <c r="AG179" s="33">
        <v>50.07</v>
      </c>
      <c r="AH179" s="33">
        <v>61.75</v>
      </c>
      <c r="AI179" s="32"/>
      <c r="AJ179" s="34">
        <f>SUM(E179:AI179)</f>
      </c>
      <c r="AK179" s="35"/>
    </row>
    <row r="180" ht="12.75" customHeight="1" spans="2:37" x14ac:dyDescent="0.25">
      <c r="B180" s="30" t="s">
        <v>42</v>
      </c>
      <c r="C180" s="31" t="s">
        <v>649</v>
      </c>
      <c r="D180" s="32" t="s">
        <v>1016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3">
        <v>12.32</v>
      </c>
      <c r="AG180" s="33">
        <v>30.8</v>
      </c>
      <c r="AH180" s="33">
        <v>30.8</v>
      </c>
      <c r="AI180" s="32"/>
      <c r="AJ180" s="34">
        <f>SUM(E180:AI180)</f>
      </c>
      <c r="AK180" s="35"/>
    </row>
    <row r="181" ht="12.75" customHeight="1" spans="2:37" x14ac:dyDescent="0.25">
      <c r="B181" s="30" t="s">
        <v>42</v>
      </c>
      <c r="C181" s="31" t="s">
        <v>649</v>
      </c>
      <c r="D181" s="32" t="s">
        <v>1017</v>
      </c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3">
        <v>235.96</v>
      </c>
      <c r="AG181" s="33">
        <v>517.54</v>
      </c>
      <c r="AH181" s="33">
        <v>517.44</v>
      </c>
      <c r="AI181" s="32"/>
      <c r="AJ181" s="34">
        <f>SUM(E181:AI181)</f>
      </c>
      <c r="AK181" s="35"/>
    </row>
    <row r="182" ht="12.75" customHeight="1" spans="2:37" x14ac:dyDescent="0.25">
      <c r="B182" s="30" t="s">
        <v>42</v>
      </c>
      <c r="C182" s="31" t="s">
        <v>649</v>
      </c>
      <c r="D182" s="32" t="s">
        <v>1018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3">
        <v>1005</v>
      </c>
      <c r="AG182" s="32"/>
      <c r="AH182" s="32"/>
      <c r="AI182" s="32"/>
      <c r="AJ182" s="34">
        <f>SUM(E182:AI182)</f>
      </c>
      <c r="AK182" s="35"/>
    </row>
    <row r="183" ht="12.75" customHeight="1" spans="2:37" x14ac:dyDescent="0.25">
      <c r="B183" s="30" t="s">
        <v>42</v>
      </c>
      <c r="C183" s="31" t="s">
        <v>649</v>
      </c>
      <c r="D183" s="32" t="s">
        <v>1019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3">
        <v>255.15</v>
      </c>
      <c r="AG183" s="33">
        <v>354.87</v>
      </c>
      <c r="AH183" s="33">
        <v>-926.11</v>
      </c>
      <c r="AI183" s="32"/>
      <c r="AJ183" s="34">
        <f>SUM(E183:AI183)</f>
      </c>
      <c r="AK183" s="35"/>
    </row>
    <row r="184" ht="12.75" customHeight="1" spans="2:37" x14ac:dyDescent="0.25">
      <c r="B184" s="30" t="s">
        <v>42</v>
      </c>
      <c r="C184" s="31" t="s">
        <v>649</v>
      </c>
      <c r="D184" s="32" t="s">
        <v>1020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3">
        <v>670</v>
      </c>
      <c r="AG184" s="32"/>
      <c r="AH184" s="32"/>
      <c r="AI184" s="32"/>
      <c r="AJ184" s="34">
        <f>SUM(E184:AI184)</f>
      </c>
      <c r="AK184" s="35"/>
    </row>
    <row r="185" ht="12.75" customHeight="1" spans="2:37" x14ac:dyDescent="0.25">
      <c r="B185" s="37"/>
      <c r="C185" s="3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40"/>
    </row>
    <row r="186" ht="12.75" customHeight="1" spans="2:37" x14ac:dyDescent="0.25">
      <c r="B186" s="20" t="s">
        <v>85</v>
      </c>
      <c r="C186" s="21"/>
      <c r="D186" s="21"/>
      <c r="E186" s="22">
        <f>SUM(E13:E184)</f>
      </c>
      <c r="F186" s="22">
        <f>SUM(F13:F184)</f>
      </c>
      <c r="G186" s="22">
        <f>SUM(G13:G184)</f>
      </c>
      <c r="H186" s="22">
        <f>SUM(H13:H184)</f>
      </c>
      <c r="I186" s="22">
        <f>SUM(I13:I184)</f>
      </c>
      <c r="J186" s="22">
        <f>SUM(J13:J184)</f>
      </c>
      <c r="K186" s="22">
        <f>SUM(K13:K184)</f>
      </c>
      <c r="L186" s="22">
        <f>SUM(L13:L184)</f>
      </c>
      <c r="M186" s="22">
        <f>SUM(M13:M184)</f>
      </c>
      <c r="N186" s="22">
        <f>SUM(N13:N184)</f>
      </c>
      <c r="O186" s="22">
        <f>SUM(O13:O184)</f>
      </c>
      <c r="P186" s="22">
        <f>SUM(P13:P184)</f>
      </c>
      <c r="Q186" s="22">
        <f>SUM(Q13:Q184)</f>
      </c>
      <c r="R186" s="22">
        <f>SUM(R13:R184)</f>
      </c>
      <c r="S186" s="22">
        <f>SUM(S13:S184)</f>
      </c>
      <c r="T186" s="22">
        <f>SUM(T13:T184)</f>
      </c>
      <c r="U186" s="22">
        <f>SUM(U13:U184)</f>
      </c>
      <c r="V186" s="22">
        <f>SUM(V13:V184)</f>
      </c>
      <c r="W186" s="22">
        <f>SUM(W13:W184)</f>
      </c>
      <c r="X186" s="22">
        <f>SUM(X13:X184)</f>
      </c>
      <c r="Y186" s="22">
        <f>SUM(Y13:Y184)</f>
      </c>
      <c r="Z186" s="22">
        <f>SUM(Z13:Z184)</f>
      </c>
      <c r="AA186" s="22">
        <f>SUM(AA13:AA184)</f>
      </c>
      <c r="AB186" s="22">
        <f>SUM(AB13:AB184)</f>
      </c>
      <c r="AC186" s="22">
        <f>SUM(AC13:AC184)</f>
      </c>
      <c r="AD186" s="22">
        <f>SUM(AD13:AD184)</f>
      </c>
      <c r="AE186" s="22">
        <f>SUM(AE13:AE184)</f>
      </c>
      <c r="AF186" s="22">
        <f>SUM(AF13:AF184)</f>
      </c>
      <c r="AG186" s="22">
        <f>SUM(AG13:AG184)</f>
      </c>
      <c r="AH186" s="22">
        <f>SUM(AH13:AH184)</f>
      </c>
      <c r="AI186" s="22">
        <f>SUM(AI13:AI184)</f>
      </c>
      <c r="AJ186" s="22">
        <f>SUM(AJ13:AJ184)</f>
      </c>
      <c r="AK186" s="23"/>
    </row>
    <row r="188" ht="12.75" customHeight="1" spans="2:37" x14ac:dyDescent="0.25">
      <c r="B188" s="26" t="s">
        <v>43</v>
      </c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9"/>
    </row>
    <row r="189" ht="12.75" customHeight="1" spans="2:37" x14ac:dyDescent="0.25">
      <c r="B189" s="30" t="s">
        <v>43</v>
      </c>
      <c r="C189" s="31" t="s">
        <v>1021</v>
      </c>
      <c r="D189" s="32" t="s">
        <v>885</v>
      </c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6">
        <f>0.00+1644.14+4773.03</f>
        <v>6417.17</v>
      </c>
      <c r="U189" s="36">
        <f>0.00+2024.90+5564.19</f>
        <v>7589.09</v>
      </c>
      <c r="V189" s="36">
        <f>0.00+2011.54+5536.43</f>
        <v>7547.97</v>
      </c>
      <c r="W189" s="36">
        <f>0.00+2018.22+5550.31</f>
        <v>7568.530000000001</v>
      </c>
      <c r="X189" s="36">
        <f>0.00+1620.76+4724.45</f>
        <v>6345.21</v>
      </c>
      <c r="Y189" s="36">
        <f>0.00+1395.54+4217.83</f>
        <v>5613.37</v>
      </c>
      <c r="Z189" s="36">
        <f>0.00+1061.64+3114.37</f>
        <v>4176.01</v>
      </c>
      <c r="AA189" s="36">
        <f>0.00+1030.14+3010.27</f>
        <v>4040.41</v>
      </c>
      <c r="AB189" s="36">
        <f>0.00+954.54+2760.43</f>
        <v>3714.97</v>
      </c>
      <c r="AC189" s="36">
        <f>0.00+1130.07+3324.70</f>
        <v>4454.7699999999995</v>
      </c>
      <c r="AD189" s="36">
        <f>0.00+1171.49+3461.50</f>
        <v>4632.99</v>
      </c>
      <c r="AE189" s="36">
        <f>0.00+1450.53+4383.10</f>
        <v>5833.63</v>
      </c>
      <c r="AF189" s="36">
        <f>0.00+1789.88+5124.70</f>
        <v>6914.58</v>
      </c>
      <c r="AG189" s="36">
        <f>0.00+2109.12+5787.10</f>
        <v>7896.22</v>
      </c>
      <c r="AH189" s="36">
        <f>0.00+2244.45+6067.90</f>
        <v>8312.349999999999</v>
      </c>
      <c r="AI189" s="32"/>
      <c r="AJ189" s="34">
        <f>SUM(E189:AI189)</f>
      </c>
      <c r="AK189" s="35"/>
    </row>
    <row r="190" ht="12.75" customHeight="1" spans="2:37" x14ac:dyDescent="0.25">
      <c r="B190" s="37"/>
      <c r="C190" s="3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40"/>
    </row>
    <row r="191" ht="12.75" customHeight="1" spans="2:37" x14ac:dyDescent="0.25">
      <c r="B191" s="20" t="s">
        <v>89</v>
      </c>
      <c r="C191" s="21"/>
      <c r="D191" s="21"/>
      <c r="E191" s="22">
        <f>SUM(E189:E189)</f>
      </c>
      <c r="F191" s="22">
        <f>SUM(F189:F189)</f>
      </c>
      <c r="G191" s="22">
        <f>SUM(G189:G189)</f>
      </c>
      <c r="H191" s="22">
        <f>SUM(H189:H189)</f>
      </c>
      <c r="I191" s="22">
        <f>SUM(I189:I189)</f>
      </c>
      <c r="J191" s="22">
        <f>SUM(J189:J189)</f>
      </c>
      <c r="K191" s="22">
        <f>SUM(K189:K189)</f>
      </c>
      <c r="L191" s="22">
        <f>SUM(L189:L189)</f>
      </c>
      <c r="M191" s="22">
        <f>SUM(M189:M189)</f>
      </c>
      <c r="N191" s="22">
        <f>SUM(N189:N189)</f>
      </c>
      <c r="O191" s="22">
        <f>SUM(O189:O189)</f>
      </c>
      <c r="P191" s="22">
        <f>SUM(P189:P189)</f>
      </c>
      <c r="Q191" s="22">
        <f>SUM(Q189:Q189)</f>
      </c>
      <c r="R191" s="22">
        <f>SUM(R189:R189)</f>
      </c>
      <c r="S191" s="22">
        <f>SUM(S189:S189)</f>
      </c>
      <c r="T191" s="22">
        <f>SUM(T189:T189)</f>
      </c>
      <c r="U191" s="22">
        <f>SUM(U189:U189)</f>
      </c>
      <c r="V191" s="22">
        <f>SUM(V189:V189)</f>
      </c>
      <c r="W191" s="22">
        <f>SUM(W189:W189)</f>
      </c>
      <c r="X191" s="22">
        <f>SUM(X189:X189)</f>
      </c>
      <c r="Y191" s="22">
        <f>SUM(Y189:Y189)</f>
      </c>
      <c r="Z191" s="22">
        <f>SUM(Z189:Z189)</f>
      </c>
      <c r="AA191" s="22">
        <f>SUM(AA189:AA189)</f>
      </c>
      <c r="AB191" s="22">
        <f>SUM(AB189:AB189)</f>
      </c>
      <c r="AC191" s="22">
        <f>SUM(AC189:AC189)</f>
      </c>
      <c r="AD191" s="22">
        <f>SUM(AD189:AD189)</f>
      </c>
      <c r="AE191" s="22">
        <f>SUM(AE189:AE189)</f>
      </c>
      <c r="AF191" s="22">
        <f>SUM(AF189:AF189)</f>
      </c>
      <c r="AG191" s="22">
        <f>SUM(AG189:AG189)</f>
      </c>
      <c r="AH191" s="22">
        <f>SUM(AH189:AH189)</f>
      </c>
      <c r="AI191" s="22">
        <f>SUM(AI189:AI189)</f>
      </c>
      <c r="AJ191" s="22">
        <f>SUM(AJ189:AJ189)</f>
      </c>
      <c r="AK191" s="23"/>
    </row>
    <row r="193" ht="12.75" customHeight="1" spans="2:37" x14ac:dyDescent="0.25">
      <c r="B193" s="26" t="s">
        <v>44</v>
      </c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9"/>
    </row>
    <row r="194" ht="12.75" customHeight="1" spans="2:37" x14ac:dyDescent="0.25">
      <c r="B194" s="37"/>
      <c r="C194" s="3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40"/>
    </row>
    <row r="195" ht="12.75" customHeight="1" spans="2:37" x14ac:dyDescent="0.25">
      <c r="B195" s="20" t="s">
        <v>90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3"/>
    </row>
    <row r="198" ht="12.75" customHeight="1" spans="2:37" x14ac:dyDescent="0.25">
      <c r="B198" s="11" t="s">
        <v>40</v>
      </c>
      <c r="C198" s="12"/>
      <c r="D198" s="13"/>
      <c r="E198" s="14" t="s">
        <v>7</v>
      </c>
      <c r="F198" s="14" t="s">
        <v>8</v>
      </c>
      <c r="G198" s="14" t="s">
        <v>9</v>
      </c>
      <c r="H198" s="14" t="s">
        <v>10</v>
      </c>
      <c r="I198" s="14" t="s">
        <v>11</v>
      </c>
      <c r="J198" s="14" t="s">
        <v>12</v>
      </c>
      <c r="K198" s="14" t="s">
        <v>13</v>
      </c>
      <c r="L198" s="14" t="s">
        <v>14</v>
      </c>
      <c r="M198" s="14" t="s">
        <v>15</v>
      </c>
      <c r="N198" s="14" t="s">
        <v>16</v>
      </c>
      <c r="O198" s="14" t="s">
        <v>17</v>
      </c>
      <c r="P198" s="14" t="s">
        <v>18</v>
      </c>
      <c r="Q198" s="14" t="s">
        <v>19</v>
      </c>
      <c r="R198" s="14" t="s">
        <v>20</v>
      </c>
      <c r="S198" s="14" t="s">
        <v>21</v>
      </c>
      <c r="T198" s="14" t="s">
        <v>22</v>
      </c>
      <c r="U198" s="14" t="s">
        <v>23</v>
      </c>
      <c r="V198" s="14" t="s">
        <v>24</v>
      </c>
      <c r="W198" s="14" t="s">
        <v>25</v>
      </c>
      <c r="X198" s="14" t="s">
        <v>26</v>
      </c>
      <c r="Y198" s="14" t="s">
        <v>27</v>
      </c>
      <c r="Z198" s="14" t="s">
        <v>28</v>
      </c>
      <c r="AA198" s="14" t="s">
        <v>29</v>
      </c>
      <c r="AB198" s="14" t="s">
        <v>30</v>
      </c>
      <c r="AC198" s="14" t="s">
        <v>31</v>
      </c>
      <c r="AD198" s="14" t="s">
        <v>32</v>
      </c>
      <c r="AE198" s="14" t="s">
        <v>33</v>
      </c>
      <c r="AF198" s="14" t="s">
        <v>34</v>
      </c>
      <c r="AG198" s="14" t="s">
        <v>35</v>
      </c>
      <c r="AH198" s="14" t="s">
        <v>36</v>
      </c>
      <c r="AI198" s="14" t="s">
        <v>37</v>
      </c>
      <c r="AJ198" s="14" t="s">
        <v>38</v>
      </c>
      <c r="AK198" s="15"/>
    </row>
    <row r="199" ht="12.75" customHeight="1" spans="2:37" x14ac:dyDescent="0.25">
      <c r="B199" s="16" t="s">
        <v>41</v>
      </c>
      <c r="C199" s="17"/>
      <c r="D199" s="17"/>
      <c r="E199" s="18">
        <f>E10</f>
      </c>
      <c r="F199" s="18">
        <f>F10</f>
      </c>
      <c r="G199" s="18">
        <f>G10</f>
      </c>
      <c r="H199" s="18">
        <f>H10</f>
      </c>
      <c r="I199" s="18">
        <f>I10</f>
      </c>
      <c r="J199" s="18">
        <f>J10</f>
      </c>
      <c r="K199" s="18">
        <f>K10</f>
      </c>
      <c r="L199" s="18">
        <f>L10</f>
      </c>
      <c r="M199" s="18">
        <f>M10</f>
      </c>
      <c r="N199" s="18">
        <f>N10</f>
      </c>
      <c r="O199" s="18">
        <f>O10</f>
      </c>
      <c r="P199" s="18">
        <f>P10</f>
      </c>
      <c r="Q199" s="18">
        <f>Q10</f>
      </c>
      <c r="R199" s="18">
        <f>R10</f>
      </c>
      <c r="S199" s="18">
        <f>S10</f>
      </c>
      <c r="T199" s="18">
        <f>T10</f>
      </c>
      <c r="U199" s="18">
        <f>U10</f>
      </c>
      <c r="V199" s="18">
        <f>V10</f>
      </c>
      <c r="W199" s="18">
        <f>W10</f>
      </c>
      <c r="X199" s="18">
        <f>X10</f>
      </c>
      <c r="Y199" s="18">
        <f>Y10</f>
      </c>
      <c r="Z199" s="18">
        <f>Z10</f>
      </c>
      <c r="AA199" s="18">
        <f>AA10</f>
      </c>
      <c r="AB199" s="18">
        <f>AB10</f>
      </c>
      <c r="AC199" s="18">
        <f>AC10</f>
      </c>
      <c r="AD199" s="18">
        <f>AD10</f>
      </c>
      <c r="AE199" s="18">
        <f>AE10</f>
      </c>
      <c r="AF199" s="18">
        <f>AF10</f>
      </c>
      <c r="AG199" s="18">
        <f>AG10</f>
      </c>
      <c r="AH199" s="18">
        <f>AH10</f>
      </c>
      <c r="AI199" s="18">
        <f>AI10</f>
      </c>
      <c r="AJ199" s="18">
        <f>AJ10</f>
      </c>
      <c r="AK199" s="19"/>
    </row>
    <row r="200" ht="12.75" customHeight="1" spans="2:37" x14ac:dyDescent="0.25">
      <c r="B200" s="16" t="s">
        <v>42</v>
      </c>
      <c r="C200" s="17"/>
      <c r="D200" s="17"/>
      <c r="E200" s="18">
        <f>E186</f>
      </c>
      <c r="F200" s="18">
        <f>F186</f>
      </c>
      <c r="G200" s="18">
        <f>G186</f>
      </c>
      <c r="H200" s="18">
        <f>H186</f>
      </c>
      <c r="I200" s="18">
        <f>I186</f>
      </c>
      <c r="J200" s="18">
        <f>J186</f>
      </c>
      <c r="K200" s="18">
        <f>K186</f>
      </c>
      <c r="L200" s="18">
        <f>L186</f>
      </c>
      <c r="M200" s="18">
        <f>M186</f>
      </c>
      <c r="N200" s="18">
        <f>N186</f>
      </c>
      <c r="O200" s="18">
        <f>O186</f>
      </c>
      <c r="P200" s="18">
        <f>P186</f>
      </c>
      <c r="Q200" s="18">
        <f>Q186</f>
      </c>
      <c r="R200" s="18">
        <f>R186</f>
      </c>
      <c r="S200" s="18">
        <f>S186</f>
      </c>
      <c r="T200" s="18">
        <f>T186</f>
      </c>
      <c r="U200" s="18">
        <f>U186</f>
      </c>
      <c r="V200" s="18">
        <f>V186</f>
      </c>
      <c r="W200" s="18">
        <f>W186</f>
      </c>
      <c r="X200" s="18">
        <f>X186</f>
      </c>
      <c r="Y200" s="18">
        <f>Y186</f>
      </c>
      <c r="Z200" s="18">
        <f>Z186</f>
      </c>
      <c r="AA200" s="18">
        <f>AA186</f>
      </c>
      <c r="AB200" s="18">
        <f>AB186</f>
      </c>
      <c r="AC200" s="18">
        <f>AC186</f>
      </c>
      <c r="AD200" s="18">
        <f>AD186</f>
      </c>
      <c r="AE200" s="18">
        <f>AE186</f>
      </c>
      <c r="AF200" s="18">
        <f>AF186</f>
      </c>
      <c r="AG200" s="18">
        <f>AG186</f>
      </c>
      <c r="AH200" s="18">
        <f>AH186</f>
      </c>
      <c r="AI200" s="18">
        <f>AI186</f>
      </c>
      <c r="AJ200" s="18">
        <f>AJ186</f>
      </c>
      <c r="AK200" s="19"/>
    </row>
    <row r="201" ht="12.75" customHeight="1" spans="2:37" x14ac:dyDescent="0.25">
      <c r="B201" s="16" t="s">
        <v>43</v>
      </c>
      <c r="C201" s="17"/>
      <c r="D201" s="17"/>
      <c r="E201" s="18">
        <f>E191</f>
      </c>
      <c r="F201" s="18">
        <f>F191</f>
      </c>
      <c r="G201" s="18">
        <f>G191</f>
      </c>
      <c r="H201" s="18">
        <f>H191</f>
      </c>
      <c r="I201" s="18">
        <f>I191</f>
      </c>
      <c r="J201" s="18">
        <f>J191</f>
      </c>
      <c r="K201" s="18">
        <f>K191</f>
      </c>
      <c r="L201" s="18">
        <f>L191</f>
      </c>
      <c r="M201" s="18">
        <f>M191</f>
      </c>
      <c r="N201" s="18">
        <f>N191</f>
      </c>
      <c r="O201" s="18">
        <f>O191</f>
      </c>
      <c r="P201" s="18">
        <f>P191</f>
      </c>
      <c r="Q201" s="18">
        <f>Q191</f>
      </c>
      <c r="R201" s="18">
        <f>R191</f>
      </c>
      <c r="S201" s="18">
        <f>S191</f>
      </c>
      <c r="T201" s="18">
        <f>T191</f>
      </c>
      <c r="U201" s="18">
        <f>U191</f>
      </c>
      <c r="V201" s="18">
        <f>V191</f>
      </c>
      <c r="W201" s="18">
        <f>W191</f>
      </c>
      <c r="X201" s="18">
        <f>X191</f>
      </c>
      <c r="Y201" s="18">
        <f>Y191</f>
      </c>
      <c r="Z201" s="18">
        <f>Z191</f>
      </c>
      <c r="AA201" s="18">
        <f>AA191</f>
      </c>
      <c r="AB201" s="18">
        <f>AB191</f>
      </c>
      <c r="AC201" s="18">
        <f>AC191</f>
      </c>
      <c r="AD201" s="18">
        <f>AD191</f>
      </c>
      <c r="AE201" s="18">
        <f>AE191</f>
      </c>
      <c r="AF201" s="18">
        <f>AF191</f>
      </c>
      <c r="AG201" s="18">
        <f>AG191</f>
      </c>
      <c r="AH201" s="18">
        <f>AH191</f>
      </c>
      <c r="AI201" s="18">
        <f>AI191</f>
      </c>
      <c r="AJ201" s="18">
        <f>AJ191</f>
      </c>
      <c r="AK201" s="19"/>
    </row>
    <row r="202" ht="12.75" customHeight="1" spans="2:37" x14ac:dyDescent="0.25">
      <c r="B202" s="16" t="s">
        <v>44</v>
      </c>
      <c r="C202" s="17"/>
      <c r="D202" s="17"/>
      <c r="E202" s="18">
        <f>E195</f>
      </c>
      <c r="F202" s="18">
        <f>F195</f>
      </c>
      <c r="G202" s="18">
        <f>G195</f>
      </c>
      <c r="H202" s="18">
        <f>H195</f>
      </c>
      <c r="I202" s="18">
        <f>I195</f>
      </c>
      <c r="J202" s="18">
        <f>J195</f>
      </c>
      <c r="K202" s="18">
        <f>K195</f>
      </c>
      <c r="L202" s="18">
        <f>L195</f>
      </c>
      <c r="M202" s="18">
        <f>M195</f>
      </c>
      <c r="N202" s="18">
        <f>N195</f>
      </c>
      <c r="O202" s="18">
        <f>O195</f>
      </c>
      <c r="P202" s="18">
        <f>P195</f>
      </c>
      <c r="Q202" s="18">
        <f>Q195</f>
      </c>
      <c r="R202" s="18">
        <f>R195</f>
      </c>
      <c r="S202" s="18">
        <f>S195</f>
      </c>
      <c r="T202" s="18">
        <f>T195</f>
      </c>
      <c r="U202" s="18">
        <f>U195</f>
      </c>
      <c r="V202" s="18">
        <f>V195</f>
      </c>
      <c r="W202" s="18">
        <f>W195</f>
      </c>
      <c r="X202" s="18">
        <f>X195</f>
      </c>
      <c r="Y202" s="18">
        <f>Y195</f>
      </c>
      <c r="Z202" s="18">
        <f>Z195</f>
      </c>
      <c r="AA202" s="18">
        <f>AA195</f>
      </c>
      <c r="AB202" s="18">
        <f>AB195</f>
      </c>
      <c r="AC202" s="18">
        <f>AC195</f>
      </c>
      <c r="AD202" s="18">
        <f>AD195</f>
      </c>
      <c r="AE202" s="18">
        <f>AE195</f>
      </c>
      <c r="AF202" s="18">
        <f>AF195</f>
      </c>
      <c r="AG202" s="18">
        <f>AG195</f>
      </c>
      <c r="AH202" s="18">
        <f>AH195</f>
      </c>
      <c r="AI202" s="18">
        <f>AI195</f>
      </c>
      <c r="AJ202" s="18">
        <f>AJ195</f>
      </c>
      <c r="AK202" s="19"/>
    </row>
    <row r="203" ht="12.75" customHeight="1" spans="2:37" x14ac:dyDescent="0.25">
      <c r="B203" s="20" t="s">
        <v>45</v>
      </c>
      <c r="C203" s="21"/>
      <c r="D203" s="21"/>
      <c r="E203" s="22">
        <f>E199+E200+E201+E202</f>
      </c>
      <c r="F203" s="22">
        <f>F199+F200+F201+F202</f>
      </c>
      <c r="G203" s="22">
        <f>G199+G200+G201+G202</f>
      </c>
      <c r="H203" s="22">
        <f>H199+H200+H201+H202</f>
      </c>
      <c r="I203" s="22">
        <f>I199+I200+I201+I202</f>
      </c>
      <c r="J203" s="22">
        <f>J199+J200+J201+J202</f>
      </c>
      <c r="K203" s="22">
        <f>K199+K200+K201+K202</f>
      </c>
      <c r="L203" s="22">
        <f>L199+L200+L201+L202</f>
      </c>
      <c r="M203" s="22">
        <f>M199+M200+M201+M202</f>
      </c>
      <c r="N203" s="22">
        <f>N199+N200+N201+N202</f>
      </c>
      <c r="O203" s="22">
        <f>O199+O200+O201+O202</f>
      </c>
      <c r="P203" s="22">
        <f>P199+P200+P201+P202</f>
      </c>
      <c r="Q203" s="22">
        <f>Q199+Q200+Q201+Q202</f>
      </c>
      <c r="R203" s="22">
        <f>R199+R200+R201+R202</f>
      </c>
      <c r="S203" s="22">
        <f>S199+S200+S201+S202</f>
      </c>
      <c r="T203" s="22">
        <f>T199+T200+T201+T202</f>
      </c>
      <c r="U203" s="22">
        <f>U199+U200+U201+U202</f>
      </c>
      <c r="V203" s="22">
        <f>V199+V200+V201+V202</f>
      </c>
      <c r="W203" s="22">
        <f>W199+W200+W201+W202</f>
      </c>
      <c r="X203" s="22">
        <f>X199+X200+X201+X202</f>
      </c>
      <c r="Y203" s="22">
        <f>Y199+Y200+Y201+Y202</f>
      </c>
      <c r="Z203" s="22">
        <f>Z199+Z200+Z201+Z202</f>
      </c>
      <c r="AA203" s="22">
        <f>AA199+AA200+AA201+AA202</f>
      </c>
      <c r="AB203" s="22">
        <f>AB199+AB200+AB201+AB202</f>
      </c>
      <c r="AC203" s="22">
        <f>AC199+AC200+AC201+AC202</f>
      </c>
      <c r="AD203" s="22">
        <f>AD199+AD200+AD201+AD202</f>
      </c>
      <c r="AE203" s="22">
        <f>AE199+AE200+AE201+AE202</f>
      </c>
      <c r="AF203" s="22">
        <f>AF199+AF200+AF201+AF202</f>
      </c>
      <c r="AG203" s="22">
        <f>AG199+AG200+AG201+AG202</f>
      </c>
      <c r="AH203" s="22">
        <f>AH199+AH200+AH201+AH202</f>
      </c>
      <c r="AI203" s="22">
        <f>AI199+AI200+AI201+AI202</f>
      </c>
      <c r="AJ203" s="22">
        <f>AJ199+AJ200+AJ201+AJ202</f>
      </c>
      <c r="AK203" s="23"/>
    </row>
    <row r="205" ht="12.75" customHeight="1" spans="2:37" x14ac:dyDescent="0.25">
      <c r="B205" s="11" t="s">
        <v>46</v>
      </c>
      <c r="C205" s="12"/>
      <c r="D205" s="13"/>
      <c r="E205" s="14" t="s">
        <v>7</v>
      </c>
      <c r="F205" s="14" t="s">
        <v>8</v>
      </c>
      <c r="G205" s="14" t="s">
        <v>9</v>
      </c>
      <c r="H205" s="14" t="s">
        <v>10</v>
      </c>
      <c r="I205" s="14" t="s">
        <v>11</v>
      </c>
      <c r="J205" s="14" t="s">
        <v>12</v>
      </c>
      <c r="K205" s="14" t="s">
        <v>13</v>
      </c>
      <c r="L205" s="14" t="s">
        <v>14</v>
      </c>
      <c r="M205" s="14" t="s">
        <v>15</v>
      </c>
      <c r="N205" s="14" t="s">
        <v>16</v>
      </c>
      <c r="O205" s="14" t="s">
        <v>17</v>
      </c>
      <c r="P205" s="14" t="s">
        <v>18</v>
      </c>
      <c r="Q205" s="14" t="s">
        <v>19</v>
      </c>
      <c r="R205" s="14" t="s">
        <v>20</v>
      </c>
      <c r="S205" s="14" t="s">
        <v>21</v>
      </c>
      <c r="T205" s="14" t="s">
        <v>22</v>
      </c>
      <c r="U205" s="14" t="s">
        <v>23</v>
      </c>
      <c r="V205" s="14" t="s">
        <v>24</v>
      </c>
      <c r="W205" s="14" t="s">
        <v>25</v>
      </c>
      <c r="X205" s="14" t="s">
        <v>26</v>
      </c>
      <c r="Y205" s="14" t="s">
        <v>27</v>
      </c>
      <c r="Z205" s="14" t="s">
        <v>28</v>
      </c>
      <c r="AA205" s="14" t="s">
        <v>29</v>
      </c>
      <c r="AB205" s="14" t="s">
        <v>30</v>
      </c>
      <c r="AC205" s="14" t="s">
        <v>31</v>
      </c>
      <c r="AD205" s="14" t="s">
        <v>32</v>
      </c>
      <c r="AE205" s="14" t="s">
        <v>33</v>
      </c>
      <c r="AF205" s="14" t="s">
        <v>34</v>
      </c>
      <c r="AG205" s="14" t="s">
        <v>35</v>
      </c>
      <c r="AH205" s="14" t="s">
        <v>36</v>
      </c>
      <c r="AI205" s="14" t="s">
        <v>37</v>
      </c>
      <c r="AJ205" s="14" t="s">
        <v>38</v>
      </c>
      <c r="AK205" s="15"/>
    </row>
    <row r="206" ht="12.75" customHeight="1" spans="2:37" x14ac:dyDescent="0.25">
      <c r="B206" s="16" t="s">
        <v>41</v>
      </c>
      <c r="C206" s="17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9"/>
    </row>
    <row r="207" ht="12.75" customHeight="1" spans="2:37" x14ac:dyDescent="0.25">
      <c r="B207" s="16" t="s">
        <v>42</v>
      </c>
      <c r="C207" s="17"/>
      <c r="D207" s="1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9"/>
    </row>
    <row r="208" ht="12.75" customHeight="1" spans="2:37" x14ac:dyDescent="0.25">
      <c r="B208" s="16" t="s">
        <v>43</v>
      </c>
      <c r="C208" s="17"/>
      <c r="D208" s="1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9"/>
    </row>
    <row r="209" ht="12.75" customHeight="1" spans="2:37" x14ac:dyDescent="0.25">
      <c r="B209" s="16" t="s">
        <v>44</v>
      </c>
      <c r="C209" s="17"/>
      <c r="D209" s="1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9"/>
    </row>
    <row r="210" ht="12.75" customHeight="1" spans="2:37" x14ac:dyDescent="0.25">
      <c r="B210" s="20" t="s">
        <v>45</v>
      </c>
      <c r="C210" s="21"/>
      <c r="D210" s="21"/>
      <c r="E210" s="22">
        <f>E206+E207+E208+E209</f>
      </c>
      <c r="F210" s="22">
        <f>F206+F207+F208+F209</f>
      </c>
      <c r="G210" s="22">
        <f>G206+G207+G208+G209</f>
      </c>
      <c r="H210" s="22">
        <f>H206+H207+H208+H209</f>
      </c>
      <c r="I210" s="22">
        <f>I206+I207+I208+I209</f>
      </c>
      <c r="J210" s="22">
        <f>J206+J207+J208+J209</f>
      </c>
      <c r="K210" s="22">
        <f>K206+K207+K208+K209</f>
      </c>
      <c r="L210" s="22">
        <f>L206+L207+L208+L209</f>
      </c>
      <c r="M210" s="22">
        <f>M206+M207+M208+M209</f>
      </c>
      <c r="N210" s="22">
        <f>N206+N207+N208+N209</f>
      </c>
      <c r="O210" s="22">
        <f>O206+O207+O208+O209</f>
      </c>
      <c r="P210" s="22">
        <f>P206+P207+P208+P209</f>
      </c>
      <c r="Q210" s="22">
        <f>Q206+Q207+Q208+Q209</f>
      </c>
      <c r="R210" s="22">
        <f>R206+R207+R208+R209</f>
      </c>
      <c r="S210" s="22">
        <f>S206+S207+S208+S209</f>
      </c>
      <c r="T210" s="22">
        <f>T206+T207+T208+T209</f>
      </c>
      <c r="U210" s="22">
        <f>U206+U207+U208+U209</f>
      </c>
      <c r="V210" s="22">
        <f>V206+V207+V208+V209</f>
      </c>
      <c r="W210" s="22">
        <f>W206+W207+W208+W209</f>
      </c>
      <c r="X210" s="22">
        <f>X206+X207+X208+X209</f>
      </c>
      <c r="Y210" s="22">
        <f>Y206+Y207+Y208+Y209</f>
      </c>
      <c r="Z210" s="22">
        <f>Z206+Z207+Z208+Z209</f>
      </c>
      <c r="AA210" s="22">
        <f>AA206+AA207+AA208+AA209</f>
      </c>
      <c r="AB210" s="22">
        <f>AB206+AB207+AB208+AB209</f>
      </c>
      <c r="AC210" s="22">
        <f>AC206+AC207+AC208+AC209</f>
      </c>
      <c r="AD210" s="22">
        <f>AD206+AD207+AD208+AD209</f>
      </c>
      <c r="AE210" s="22">
        <f>AE206+AE207+AE208+AE209</f>
      </c>
      <c r="AF210" s="22">
        <f>AF206+AF207+AF208+AF209</f>
      </c>
      <c r="AG210" s="22">
        <f>AG206+AG207+AG208+AG209</f>
      </c>
      <c r="AH210" s="22">
        <f>AH206+AH207+AH208+AH209</f>
      </c>
      <c r="AI210" s="22">
        <f>AI206+AI207+AI208+AI209</f>
      </c>
      <c r="AJ210" s="22">
        <f>AJ206+AJ207+AJ208+AJ209</f>
      </c>
      <c r="AK210" s="23"/>
    </row>
    <row r="212" ht="12.75" customHeight="1" spans="2:37" x14ac:dyDescent="0.25">
      <c r="B212" s="11" t="s">
        <v>47</v>
      </c>
      <c r="C212" s="12"/>
      <c r="D212" s="13"/>
      <c r="E212" s="14" t="s">
        <v>7</v>
      </c>
      <c r="F212" s="14" t="s">
        <v>8</v>
      </c>
      <c r="G212" s="14" t="s">
        <v>9</v>
      </c>
      <c r="H212" s="14" t="s">
        <v>10</v>
      </c>
      <c r="I212" s="14" t="s">
        <v>11</v>
      </c>
      <c r="J212" s="14" t="s">
        <v>12</v>
      </c>
      <c r="K212" s="14" t="s">
        <v>13</v>
      </c>
      <c r="L212" s="14" t="s">
        <v>14</v>
      </c>
      <c r="M212" s="14" t="s">
        <v>15</v>
      </c>
      <c r="N212" s="14" t="s">
        <v>16</v>
      </c>
      <c r="O212" s="14" t="s">
        <v>17</v>
      </c>
      <c r="P212" s="14" t="s">
        <v>18</v>
      </c>
      <c r="Q212" s="14" t="s">
        <v>19</v>
      </c>
      <c r="R212" s="14" t="s">
        <v>20</v>
      </c>
      <c r="S212" s="14" t="s">
        <v>21</v>
      </c>
      <c r="T212" s="14" t="s">
        <v>22</v>
      </c>
      <c r="U212" s="14" t="s">
        <v>23</v>
      </c>
      <c r="V212" s="14" t="s">
        <v>24</v>
      </c>
      <c r="W212" s="14" t="s">
        <v>25</v>
      </c>
      <c r="X212" s="14" t="s">
        <v>26</v>
      </c>
      <c r="Y212" s="14" t="s">
        <v>27</v>
      </c>
      <c r="Z212" s="14" t="s">
        <v>28</v>
      </c>
      <c r="AA212" s="14" t="s">
        <v>29</v>
      </c>
      <c r="AB212" s="14" t="s">
        <v>30</v>
      </c>
      <c r="AC212" s="14" t="s">
        <v>31</v>
      </c>
      <c r="AD212" s="14" t="s">
        <v>32</v>
      </c>
      <c r="AE212" s="14" t="s">
        <v>33</v>
      </c>
      <c r="AF212" s="14" t="s">
        <v>34</v>
      </c>
      <c r="AG212" s="14" t="s">
        <v>35</v>
      </c>
      <c r="AH212" s="14" t="s">
        <v>36</v>
      </c>
      <c r="AI212" s="14" t="s">
        <v>37</v>
      </c>
      <c r="AJ212" s="14" t="s">
        <v>38</v>
      </c>
      <c r="AK212" s="15"/>
    </row>
    <row r="213" ht="12.75" customHeight="1" spans="2:37" x14ac:dyDescent="0.25">
      <c r="B213" s="16" t="s">
        <v>41</v>
      </c>
      <c r="C213" s="17"/>
      <c r="D213" s="17"/>
      <c r="E213" s="24">
        <f>E206-E199</f>
      </c>
      <c r="F213" s="24">
        <f>F206-F199</f>
      </c>
      <c r="G213" s="24">
        <f>G206-G199</f>
      </c>
      <c r="H213" s="24">
        <f>H206-H199</f>
      </c>
      <c r="I213" s="24">
        <f>I206-I199</f>
      </c>
      <c r="J213" s="24">
        <f>J206-J199</f>
      </c>
      <c r="K213" s="24">
        <f>K206-K199</f>
      </c>
      <c r="L213" s="24">
        <f>L206-L199</f>
      </c>
      <c r="M213" s="24">
        <f>M206-M199</f>
      </c>
      <c r="N213" s="24">
        <f>N206-N199</f>
      </c>
      <c r="O213" s="24">
        <f>O206-O199</f>
      </c>
      <c r="P213" s="24">
        <f>P206-P199</f>
      </c>
      <c r="Q213" s="24">
        <f>Q206-Q199</f>
      </c>
      <c r="R213" s="24">
        <f>R206-R199</f>
      </c>
      <c r="S213" s="24">
        <f>S206-S199</f>
      </c>
      <c r="T213" s="24">
        <f>T206-T199</f>
      </c>
      <c r="U213" s="24">
        <f>U206-U199</f>
      </c>
      <c r="V213" s="24">
        <f>V206-V199</f>
      </c>
      <c r="W213" s="24">
        <f>W206-W199</f>
      </c>
      <c r="X213" s="24">
        <f>X206-X199</f>
      </c>
      <c r="Y213" s="24">
        <f>Y206-Y199</f>
      </c>
      <c r="Z213" s="24">
        <f>Z206-Z199</f>
      </c>
      <c r="AA213" s="24">
        <f>AA206-AA199</f>
      </c>
      <c r="AB213" s="24">
        <f>AB206-AB199</f>
      </c>
      <c r="AC213" s="24">
        <f>AC206-AC199</f>
      </c>
      <c r="AD213" s="24">
        <f>AD206-AD199</f>
      </c>
      <c r="AE213" s="24">
        <f>AE206-AE199</f>
      </c>
      <c r="AF213" s="24">
        <f>AF206-AF199</f>
      </c>
      <c r="AG213" s="24">
        <f>AG206-AG199</f>
      </c>
      <c r="AH213" s="24">
        <f>AH206-AH199</f>
      </c>
      <c r="AI213" s="24">
        <f>AI206-AI199</f>
      </c>
      <c r="AJ213" s="24">
        <f>AJ206-AJ199</f>
      </c>
      <c r="AK213" s="19"/>
    </row>
    <row r="214" ht="12.75" customHeight="1" spans="2:37" x14ac:dyDescent="0.25">
      <c r="B214" s="16" t="s">
        <v>42</v>
      </c>
      <c r="C214" s="17"/>
      <c r="D214" s="17"/>
      <c r="E214" s="24">
        <f>E207-E200</f>
      </c>
      <c r="F214" s="24">
        <f>F207-F200</f>
      </c>
      <c r="G214" s="24">
        <f>G207-G200</f>
      </c>
      <c r="H214" s="24">
        <f>H207-H200</f>
      </c>
      <c r="I214" s="24">
        <f>I207-I200</f>
      </c>
      <c r="J214" s="24">
        <f>J207-J200</f>
      </c>
      <c r="K214" s="24">
        <f>K207-K200</f>
      </c>
      <c r="L214" s="24">
        <f>L207-L200</f>
      </c>
      <c r="M214" s="24">
        <f>M207-M200</f>
      </c>
      <c r="N214" s="24">
        <f>N207-N200</f>
      </c>
      <c r="O214" s="24">
        <f>O207-O200</f>
      </c>
      <c r="P214" s="24">
        <f>P207-P200</f>
      </c>
      <c r="Q214" s="24">
        <f>Q207-Q200</f>
      </c>
      <c r="R214" s="24">
        <f>R207-R200</f>
      </c>
      <c r="S214" s="24">
        <f>S207-S200</f>
      </c>
      <c r="T214" s="24">
        <f>T207-T200</f>
      </c>
      <c r="U214" s="24">
        <f>U207-U200</f>
      </c>
      <c r="V214" s="24">
        <f>V207-V200</f>
      </c>
      <c r="W214" s="24">
        <f>W207-W200</f>
      </c>
      <c r="X214" s="24">
        <f>X207-X200</f>
      </c>
      <c r="Y214" s="24">
        <f>Y207-Y200</f>
      </c>
      <c r="Z214" s="24">
        <f>Z207-Z200</f>
      </c>
      <c r="AA214" s="24">
        <f>AA207-AA200</f>
      </c>
      <c r="AB214" s="24">
        <f>AB207-AB200</f>
      </c>
      <c r="AC214" s="24">
        <f>AC207-AC200</f>
      </c>
      <c r="AD214" s="24">
        <f>AD207-AD200</f>
      </c>
      <c r="AE214" s="24">
        <f>AE207-AE200</f>
      </c>
      <c r="AF214" s="24">
        <f>AF207-AF200</f>
      </c>
      <c r="AG214" s="24">
        <f>AG207-AG200</f>
      </c>
      <c r="AH214" s="24">
        <f>AH207-AH200</f>
      </c>
      <c r="AI214" s="24">
        <f>AI207-AI200</f>
      </c>
      <c r="AJ214" s="24">
        <f>AJ207-AJ200</f>
      </c>
      <c r="AK214" s="19"/>
    </row>
    <row r="215" ht="12.75" customHeight="1" spans="2:37" x14ac:dyDescent="0.25">
      <c r="B215" s="16" t="s">
        <v>43</v>
      </c>
      <c r="C215" s="17"/>
      <c r="D215" s="17"/>
      <c r="E215" s="24">
        <f>E208-E201</f>
      </c>
      <c r="F215" s="24">
        <f>F208-F201</f>
      </c>
      <c r="G215" s="24">
        <f>G208-G201</f>
      </c>
      <c r="H215" s="24">
        <f>H208-H201</f>
      </c>
      <c r="I215" s="24">
        <f>I208-I201</f>
      </c>
      <c r="J215" s="24">
        <f>J208-J201</f>
      </c>
      <c r="K215" s="24">
        <f>K208-K201</f>
      </c>
      <c r="L215" s="24">
        <f>L208-L201</f>
      </c>
      <c r="M215" s="24">
        <f>M208-M201</f>
      </c>
      <c r="N215" s="24">
        <f>N208-N201</f>
      </c>
      <c r="O215" s="24">
        <f>O208-O201</f>
      </c>
      <c r="P215" s="24">
        <f>P208-P201</f>
      </c>
      <c r="Q215" s="24">
        <f>Q208-Q201</f>
      </c>
      <c r="R215" s="24">
        <f>R208-R201</f>
      </c>
      <c r="S215" s="24">
        <f>S208-S201</f>
      </c>
      <c r="T215" s="24">
        <f>T208-T201</f>
      </c>
      <c r="U215" s="24">
        <f>U208-U201</f>
      </c>
      <c r="V215" s="24">
        <f>V208-V201</f>
      </c>
      <c r="W215" s="24">
        <f>W208-W201</f>
      </c>
      <c r="X215" s="24">
        <f>X208-X201</f>
      </c>
      <c r="Y215" s="24">
        <f>Y208-Y201</f>
      </c>
      <c r="Z215" s="24">
        <f>Z208-Z201</f>
      </c>
      <c r="AA215" s="24">
        <f>AA208-AA201</f>
      </c>
      <c r="AB215" s="24">
        <f>AB208-AB201</f>
      </c>
      <c r="AC215" s="24">
        <f>AC208-AC201</f>
      </c>
      <c r="AD215" s="24">
        <f>AD208-AD201</f>
      </c>
      <c r="AE215" s="24">
        <f>AE208-AE201</f>
      </c>
      <c r="AF215" s="24">
        <f>AF208-AF201</f>
      </c>
      <c r="AG215" s="24">
        <f>AG208-AG201</f>
      </c>
      <c r="AH215" s="24">
        <f>AH208-AH201</f>
      </c>
      <c r="AI215" s="24">
        <f>AI208-AI201</f>
      </c>
      <c r="AJ215" s="24">
        <f>AJ208-AJ201</f>
      </c>
      <c r="AK215" s="19"/>
    </row>
    <row r="216" ht="12.75" customHeight="1" spans="2:37" x14ac:dyDescent="0.25">
      <c r="B216" s="16" t="s">
        <v>44</v>
      </c>
      <c r="C216" s="17"/>
      <c r="D216" s="17"/>
      <c r="E216" s="24">
        <f>E209-E202</f>
      </c>
      <c r="F216" s="24">
        <f>F209-F202</f>
      </c>
      <c r="G216" s="24">
        <f>G209-G202</f>
      </c>
      <c r="H216" s="24">
        <f>H209-H202</f>
      </c>
      <c r="I216" s="24">
        <f>I209-I202</f>
      </c>
      <c r="J216" s="24">
        <f>J209-J202</f>
      </c>
      <c r="K216" s="24">
        <f>K209-K202</f>
      </c>
      <c r="L216" s="24">
        <f>L209-L202</f>
      </c>
      <c r="M216" s="24">
        <f>M209-M202</f>
      </c>
      <c r="N216" s="24">
        <f>N209-N202</f>
      </c>
      <c r="O216" s="24">
        <f>O209-O202</f>
      </c>
      <c r="P216" s="24">
        <f>P209-P202</f>
      </c>
      <c r="Q216" s="24">
        <f>Q209-Q202</f>
      </c>
      <c r="R216" s="24">
        <f>R209-R202</f>
      </c>
      <c r="S216" s="24">
        <f>S209-S202</f>
      </c>
      <c r="T216" s="24">
        <f>T209-T202</f>
      </c>
      <c r="U216" s="24">
        <f>U209-U202</f>
      </c>
      <c r="V216" s="24">
        <f>V209-V202</f>
      </c>
      <c r="W216" s="24">
        <f>W209-W202</f>
      </c>
      <c r="X216" s="24">
        <f>X209-X202</f>
      </c>
      <c r="Y216" s="24">
        <f>Y209-Y202</f>
      </c>
      <c r="Z216" s="24">
        <f>Z209-Z202</f>
      </c>
      <c r="AA216" s="24">
        <f>AA209-AA202</f>
      </c>
      <c r="AB216" s="24">
        <f>AB209-AB202</f>
      </c>
      <c r="AC216" s="24">
        <f>AC209-AC202</f>
      </c>
      <c r="AD216" s="24">
        <f>AD209-AD202</f>
      </c>
      <c r="AE216" s="24">
        <f>AE209-AE202</f>
      </c>
      <c r="AF216" s="24">
        <f>AF209-AF202</f>
      </c>
      <c r="AG216" s="24">
        <f>AG209-AG202</f>
      </c>
      <c r="AH216" s="24">
        <f>AH209-AH202</f>
      </c>
      <c r="AI216" s="24">
        <f>AI209-AI202</f>
      </c>
      <c r="AJ216" s="24">
        <f>AJ209-AJ202</f>
      </c>
      <c r="AK216" s="19"/>
    </row>
    <row r="217" ht="12.75" customHeight="1" spans="2:37" x14ac:dyDescent="0.25">
      <c r="B217" s="20" t="s">
        <v>45</v>
      </c>
      <c r="C217" s="21"/>
      <c r="D217" s="21"/>
      <c r="E217" s="25">
        <f>E213+E214+E215+E216</f>
      </c>
      <c r="F217" s="25">
        <f>F213+F214+F215+F216</f>
      </c>
      <c r="G217" s="25">
        <f>G213+G214+G215+G216</f>
      </c>
      <c r="H217" s="25">
        <f>H213+H214+H215+H216</f>
      </c>
      <c r="I217" s="25">
        <f>I213+I214+I215+I216</f>
      </c>
      <c r="J217" s="25">
        <f>J213+J214+J215+J216</f>
      </c>
      <c r="K217" s="25">
        <f>K213+K214+K215+K216</f>
      </c>
      <c r="L217" s="25">
        <f>L213+L214+L215+L216</f>
      </c>
      <c r="M217" s="25">
        <f>M213+M214+M215+M216</f>
      </c>
      <c r="N217" s="25">
        <f>N213+N214+N215+N216</f>
      </c>
      <c r="O217" s="25">
        <f>O213+O214+O215+O216</f>
      </c>
      <c r="P217" s="25">
        <f>P213+P214+P215+P216</f>
      </c>
      <c r="Q217" s="25">
        <f>Q213+Q214+Q215+Q216</f>
      </c>
      <c r="R217" s="25">
        <f>R213+R214+R215+R216</f>
      </c>
      <c r="S217" s="25">
        <f>S213+S214+S215+S216</f>
      </c>
      <c r="T217" s="25">
        <f>T213+T214+T215+T216</f>
      </c>
      <c r="U217" s="25">
        <f>U213+U214+U215+U216</f>
      </c>
      <c r="V217" s="25">
        <f>V213+V214+V215+V216</f>
      </c>
      <c r="W217" s="25">
        <f>W213+W214+W215+W216</f>
      </c>
      <c r="X217" s="25">
        <f>X213+X214+X215+X216</f>
      </c>
      <c r="Y217" s="25">
        <f>Y213+Y214+Y215+Y216</f>
      </c>
      <c r="Z217" s="25">
        <f>Z213+Z214+Z215+Z216</f>
      </c>
      <c r="AA217" s="25">
        <f>AA213+AA214+AA215+AA216</f>
      </c>
      <c r="AB217" s="25">
        <f>AB213+AB214+AB215+AB216</f>
      </c>
      <c r="AC217" s="25">
        <f>AC213+AC214+AC215+AC216</f>
      </c>
      <c r="AD217" s="25">
        <f>AD213+AD214+AD215+AD216</f>
      </c>
      <c r="AE217" s="25">
        <f>AE213+AE214+AE215+AE216</f>
      </c>
      <c r="AF217" s="25">
        <f>AF213+AF214+AF215+AF216</f>
      </c>
      <c r="AG217" s="25">
        <f>AG213+AG214+AG215+AG216</f>
      </c>
      <c r="AH217" s="25">
        <f>AH213+AH214+AH215+AH216</f>
      </c>
      <c r="AI217" s="25">
        <f>AI213+AI214+AI215+AI216</f>
      </c>
      <c r="AJ217" s="25">
        <f>AJ213+AJ214+AJ215+AJ216</f>
      </c>
      <c r="AK21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1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898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1022</v>
      </c>
      <c r="W8" s="44" t="s">
        <v>1023</v>
      </c>
      <c r="X8" s="44" t="s">
        <v>1024</v>
      </c>
      <c r="Y8" s="44" t="s">
        <v>1025</v>
      </c>
      <c r="Z8" s="44" t="s">
        <v>1026</v>
      </c>
      <c r="AA8" s="44" t="s">
        <v>1027</v>
      </c>
      <c r="AB8" s="44" t="s">
        <v>1028</v>
      </c>
      <c r="AC8" s="44" t="s">
        <v>1029</v>
      </c>
      <c r="AD8" s="44" t="s">
        <v>1030</v>
      </c>
      <c r="AE8" s="44" t="s">
        <v>1031</v>
      </c>
      <c r="AF8" s="44" t="s">
        <v>1032</v>
      </c>
      <c r="AG8" s="44" t="s">
        <v>1033</v>
      </c>
      <c r="AH8" s="44" t="s">
        <v>1034</v>
      </c>
      <c r="AI8" s="44" t="s">
        <v>1035</v>
      </c>
      <c r="AJ8" s="44" t="s">
        <v>1036</v>
      </c>
      <c r="AK8" s="44" t="s">
        <v>1037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898</v>
      </c>
      <c r="D14" s="50" t="s">
        <v>42</v>
      </c>
      <c r="E14" s="32" t="s">
        <v>649</v>
      </c>
      <c r="F14" s="32" t="s">
        <v>899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3">
        <v>1.38</v>
      </c>
      <c r="AE14" s="33">
        <v>-59.17</v>
      </c>
      <c r="AF14" s="33">
        <v>38.46</v>
      </c>
      <c r="AG14" s="33">
        <v>398.29</v>
      </c>
      <c r="AH14" s="33">
        <v>-345.87</v>
      </c>
      <c r="AI14" s="33">
        <v>-316.29</v>
      </c>
      <c r="AJ14" s="33">
        <v>-357.35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898</v>
      </c>
      <c r="D15" s="50" t="s">
        <v>42</v>
      </c>
      <c r="E15" s="32" t="s">
        <v>649</v>
      </c>
      <c r="F15" s="32" t="s">
        <v>900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200</v>
      </c>
      <c r="AC15" s="33">
        <v>203.62</v>
      </c>
      <c r="AD15" s="33">
        <v>-4.58</v>
      </c>
      <c r="AE15" s="33">
        <v>-48.08</v>
      </c>
      <c r="AF15" s="33">
        <v>85.5</v>
      </c>
      <c r="AG15" s="33">
        <v>126.45</v>
      </c>
      <c r="AH15" s="33">
        <v>-101.58</v>
      </c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898</v>
      </c>
      <c r="D16" s="50" t="s">
        <v>42</v>
      </c>
      <c r="E16" s="32" t="s">
        <v>649</v>
      </c>
      <c r="F16" s="32" t="s">
        <v>901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281.82</v>
      </c>
      <c r="AB16" s="33">
        <v>0</v>
      </c>
      <c r="AC16" s="33">
        <v>0</v>
      </c>
      <c r="AD16" s="33">
        <v>0.13</v>
      </c>
      <c r="AE16" s="33">
        <v>0.07</v>
      </c>
      <c r="AF16" s="33">
        <v>0</v>
      </c>
      <c r="AG16" s="33">
        <v>282.02</v>
      </c>
      <c r="AH16" s="33">
        <v>-56.4</v>
      </c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898</v>
      </c>
      <c r="D17" s="50" t="s">
        <v>42</v>
      </c>
      <c r="E17" s="32" t="s">
        <v>649</v>
      </c>
      <c r="F17" s="32" t="s">
        <v>826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v>55.12</v>
      </c>
      <c r="W17" s="33">
        <v>48.03</v>
      </c>
      <c r="X17" s="33">
        <v>68.41</v>
      </c>
      <c r="Y17" s="33">
        <v>97.85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898</v>
      </c>
      <c r="D18" s="50" t="s">
        <v>42</v>
      </c>
      <c r="E18" s="32" t="s">
        <v>649</v>
      </c>
      <c r="F18" s="32" t="s">
        <v>902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>
        <v>30.8</v>
      </c>
      <c r="AA18" s="33">
        <v>30.8</v>
      </c>
      <c r="AB18" s="33">
        <v>30.8</v>
      </c>
      <c r="AC18" s="33">
        <v>30.8</v>
      </c>
      <c r="AD18" s="33">
        <v>30.8</v>
      </c>
      <c r="AE18" s="33">
        <v>30.8</v>
      </c>
      <c r="AF18" s="33">
        <v>30.8</v>
      </c>
      <c r="AG18" s="33">
        <v>30.8</v>
      </c>
      <c r="AH18" s="33">
        <v>18.47</v>
      </c>
      <c r="AI18" s="33">
        <v>143.52</v>
      </c>
      <c r="AJ18" s="33">
        <v>132.13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898</v>
      </c>
      <c r="D19" s="50" t="s">
        <v>42</v>
      </c>
      <c r="E19" s="32" t="s">
        <v>649</v>
      </c>
      <c r="F19" s="32" t="s">
        <v>827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88.33</v>
      </c>
      <c r="W19" s="33">
        <v>74.84</v>
      </c>
      <c r="X19" s="33">
        <v>68.24</v>
      </c>
      <c r="Y19" s="33">
        <v>49.48</v>
      </c>
      <c r="Z19" s="33">
        <v>30.8</v>
      </c>
      <c r="AA19" s="33">
        <v>30.8</v>
      </c>
      <c r="AB19" s="33">
        <v>30.8</v>
      </c>
      <c r="AC19" s="33">
        <v>30.8</v>
      </c>
      <c r="AD19" s="33">
        <v>30.8</v>
      </c>
      <c r="AE19" s="33">
        <v>30.8</v>
      </c>
      <c r="AF19" s="33">
        <v>-48.26</v>
      </c>
      <c r="AG19" s="33">
        <v>-17.46</v>
      </c>
      <c r="AH19" s="33">
        <v>-12.33</v>
      </c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898</v>
      </c>
      <c r="D20" s="50" t="s">
        <v>42</v>
      </c>
      <c r="E20" s="32" t="s">
        <v>649</v>
      </c>
      <c r="F20" s="32" t="s">
        <v>828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461.78</v>
      </c>
      <c r="W20" s="33">
        <v>487.82</v>
      </c>
      <c r="X20" s="33">
        <v>405.15</v>
      </c>
      <c r="Y20" s="33">
        <v>502.7</v>
      </c>
      <c r="Z20" s="33">
        <v>513.69</v>
      </c>
      <c r="AA20" s="33">
        <v>667.22</v>
      </c>
      <c r="AB20" s="33">
        <v>625.63</v>
      </c>
      <c r="AC20" s="33">
        <v>652.6</v>
      </c>
      <c r="AD20" s="33">
        <v>557.02</v>
      </c>
      <c r="AE20" s="33">
        <v>439.31</v>
      </c>
      <c r="AF20" s="33">
        <v>318.16</v>
      </c>
      <c r="AG20" s="33">
        <v>296.14</v>
      </c>
      <c r="AH20" s="33">
        <v>196.17</v>
      </c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898</v>
      </c>
      <c r="D21" s="50" t="s">
        <v>42</v>
      </c>
      <c r="E21" s="32" t="s">
        <v>649</v>
      </c>
      <c r="F21" s="32" t="s">
        <v>829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30.8</v>
      </c>
      <c r="W21" s="33">
        <v>30.8</v>
      </c>
      <c r="X21" s="33">
        <v>30.8</v>
      </c>
      <c r="Y21" s="33">
        <v>30.8</v>
      </c>
      <c r="Z21" s="33">
        <v>30.8</v>
      </c>
      <c r="AA21" s="33">
        <v>30.8</v>
      </c>
      <c r="AB21" s="33">
        <v>30.8</v>
      </c>
      <c r="AC21" s="33">
        <v>30.8</v>
      </c>
      <c r="AD21" s="33">
        <v>30.8</v>
      </c>
      <c r="AE21" s="33">
        <v>30.8</v>
      </c>
      <c r="AF21" s="33">
        <v>30.8</v>
      </c>
      <c r="AG21" s="33">
        <v>30.8</v>
      </c>
      <c r="AH21" s="33">
        <v>20.53</v>
      </c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898</v>
      </c>
      <c r="D22" s="50" t="s">
        <v>42</v>
      </c>
      <c r="E22" s="32" t="s">
        <v>649</v>
      </c>
      <c r="F22" s="32" t="s">
        <v>903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3">
        <v>18.37</v>
      </c>
      <c r="Y22" s="33">
        <v>30.8</v>
      </c>
      <c r="Z22" s="33">
        <v>30.8</v>
      </c>
      <c r="AA22" s="33">
        <v>30.8</v>
      </c>
      <c r="AB22" s="33">
        <v>30.8</v>
      </c>
      <c r="AC22" s="33">
        <v>30.8</v>
      </c>
      <c r="AD22" s="33">
        <v>30.8</v>
      </c>
      <c r="AE22" s="33">
        <v>30.8</v>
      </c>
      <c r="AF22" s="33">
        <v>30.8</v>
      </c>
      <c r="AG22" s="33">
        <v>30.8</v>
      </c>
      <c r="AH22" s="33">
        <v>30.8</v>
      </c>
      <c r="AI22" s="33">
        <v>30.8</v>
      </c>
      <c r="AJ22" s="33">
        <v>30.8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898</v>
      </c>
      <c r="D23" s="50" t="s">
        <v>42</v>
      </c>
      <c r="E23" s="32" t="s">
        <v>649</v>
      </c>
      <c r="F23" s="32" t="s">
        <v>831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v>30.8</v>
      </c>
      <c r="W23" s="33">
        <v>85.77</v>
      </c>
      <c r="X23" s="33">
        <v>30.8</v>
      </c>
      <c r="Y23" s="33">
        <v>30.8</v>
      </c>
      <c r="Z23" s="33">
        <v>12.32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898</v>
      </c>
      <c r="D24" s="50" t="s">
        <v>42</v>
      </c>
      <c r="E24" s="32" t="s">
        <v>649</v>
      </c>
      <c r="F24" s="32" t="s">
        <v>832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3">
        <v>104.65</v>
      </c>
      <c r="W24" s="33">
        <v>123.22</v>
      </c>
      <c r="X24" s="33">
        <v>88.14</v>
      </c>
      <c r="Y24" s="33">
        <v>121.06</v>
      </c>
      <c r="Z24" s="33">
        <v>80.41</v>
      </c>
      <c r="AA24" s="33">
        <v>30.8</v>
      </c>
      <c r="AB24" s="33">
        <v>30.8</v>
      </c>
      <c r="AC24" s="33">
        <v>30.8</v>
      </c>
      <c r="AD24" s="33">
        <v>30.8</v>
      </c>
      <c r="AE24" s="33">
        <v>30.8</v>
      </c>
      <c r="AF24" s="33">
        <v>30.8</v>
      </c>
      <c r="AG24" s="33">
        <v>30.8</v>
      </c>
      <c r="AH24" s="33">
        <v>20.53</v>
      </c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898</v>
      </c>
      <c r="D25" s="50" t="s">
        <v>42</v>
      </c>
      <c r="E25" s="32" t="s">
        <v>649</v>
      </c>
      <c r="F25" s="32" t="s">
        <v>833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>
        <v>30.8</v>
      </c>
      <c r="W25" s="33">
        <v>30.8</v>
      </c>
      <c r="X25" s="33">
        <v>71.86</v>
      </c>
      <c r="Y25" s="33">
        <v>66.93</v>
      </c>
      <c r="Z25" s="33">
        <v>30.8</v>
      </c>
      <c r="AA25" s="33">
        <v>36.16</v>
      </c>
      <c r="AB25" s="33">
        <v>30.8</v>
      </c>
      <c r="AC25" s="33">
        <v>30.8</v>
      </c>
      <c r="AD25" s="33">
        <v>30.8</v>
      </c>
      <c r="AE25" s="33">
        <v>30.8</v>
      </c>
      <c r="AF25" s="33">
        <v>30.8</v>
      </c>
      <c r="AG25" s="33">
        <v>30.8</v>
      </c>
      <c r="AH25" s="33">
        <v>20.53</v>
      </c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898</v>
      </c>
      <c r="D26" s="50" t="s">
        <v>42</v>
      </c>
      <c r="E26" s="32" t="s">
        <v>649</v>
      </c>
      <c r="F26" s="32" t="s">
        <v>834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>
        <v>67.57</v>
      </c>
      <c r="W26" s="33">
        <f>96.74+96.74</f>
        <v>193.48</v>
      </c>
      <c r="X26" s="33">
        <v>72.93</v>
      </c>
      <c r="Y26" s="33">
        <v>104.05</v>
      </c>
      <c r="Z26" s="33">
        <v>129.22</v>
      </c>
      <c r="AA26" s="33">
        <v>210.42</v>
      </c>
      <c r="AB26" s="33">
        <v>249.12</v>
      </c>
      <c r="AC26" s="33">
        <v>295.29</v>
      </c>
      <c r="AD26" s="33">
        <v>223.57</v>
      </c>
      <c r="AE26" s="33">
        <v>157.66</v>
      </c>
      <c r="AF26" s="33">
        <v>102.96</v>
      </c>
      <c r="AG26" s="33">
        <v>86.16</v>
      </c>
      <c r="AH26" s="33">
        <v>24.64</v>
      </c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898</v>
      </c>
      <c r="D27" s="50" t="s">
        <v>42</v>
      </c>
      <c r="E27" s="32" t="s">
        <v>649</v>
      </c>
      <c r="F27" s="32" t="s">
        <v>835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30.8</v>
      </c>
      <c r="W27" s="33">
        <v>31.16</v>
      </c>
      <c r="X27" s="33">
        <v>108.7</v>
      </c>
      <c r="Y27" s="33">
        <v>68.24</v>
      </c>
      <c r="Z27" s="33">
        <v>84.03</v>
      </c>
      <c r="AA27" s="33">
        <v>73.03</v>
      </c>
      <c r="AB27" s="33">
        <v>30.8</v>
      </c>
      <c r="AC27" s="33">
        <v>30.8</v>
      </c>
      <c r="AD27" s="33">
        <v>30.8</v>
      </c>
      <c r="AE27" s="33">
        <v>30.8</v>
      </c>
      <c r="AF27" s="33">
        <v>30.8</v>
      </c>
      <c r="AG27" s="33">
        <v>30.8</v>
      </c>
      <c r="AH27" s="33">
        <v>118.74</v>
      </c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898</v>
      </c>
      <c r="D28" s="50" t="s">
        <v>42</v>
      </c>
      <c r="E28" s="32" t="s">
        <v>649</v>
      </c>
      <c r="F28" s="32" t="s">
        <v>836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>
        <v>86.04</v>
      </c>
      <c r="W28" s="33">
        <v>113.7</v>
      </c>
      <c r="X28" s="33">
        <v>176.95</v>
      </c>
      <c r="Y28" s="33">
        <v>171.74</v>
      </c>
      <c r="Z28" s="33">
        <v>93.79</v>
      </c>
      <c r="AA28" s="33">
        <v>83.36</v>
      </c>
      <c r="AB28" s="33">
        <v>164.18</v>
      </c>
      <c r="AC28" s="33">
        <v>80.36</v>
      </c>
      <c r="AD28" s="33">
        <v>232.03</v>
      </c>
      <c r="AE28" s="33">
        <v>118.84</v>
      </c>
      <c r="AF28" s="33">
        <v>112.55</v>
      </c>
      <c r="AG28" s="33">
        <v>144.65</v>
      </c>
      <c r="AH28" s="33">
        <v>109.53</v>
      </c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898</v>
      </c>
      <c r="D29" s="50" t="s">
        <v>42</v>
      </c>
      <c r="E29" s="32" t="s">
        <v>649</v>
      </c>
      <c r="F29" s="32" t="s">
        <v>904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3">
        <v>30.8</v>
      </c>
      <c r="AA29" s="33">
        <v>30.8</v>
      </c>
      <c r="AB29" s="33">
        <v>30.8</v>
      </c>
      <c r="AC29" s="33">
        <v>2.05</v>
      </c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898</v>
      </c>
      <c r="D30" s="50" t="s">
        <v>42</v>
      </c>
      <c r="E30" s="32" t="s">
        <v>649</v>
      </c>
      <c r="F30" s="32" t="s">
        <v>905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3">
        <v>30.8</v>
      </c>
      <c r="AD30" s="33">
        <v>30.8</v>
      </c>
      <c r="AE30" s="33">
        <v>30.8</v>
      </c>
      <c r="AF30" s="33">
        <v>30.8</v>
      </c>
      <c r="AG30" s="33">
        <v>30.8</v>
      </c>
      <c r="AH30" s="33">
        <v>30.8</v>
      </c>
      <c r="AI30" s="33">
        <v>91.81</v>
      </c>
      <c r="AJ30" s="33">
        <v>70.05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898</v>
      </c>
      <c r="D31" s="50" t="s">
        <v>42</v>
      </c>
      <c r="E31" s="32" t="s">
        <v>649</v>
      </c>
      <c r="F31" s="32" t="s">
        <v>837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>
        <v>30.8</v>
      </c>
      <c r="W31" s="33">
        <v>30.8</v>
      </c>
      <c r="X31" s="33">
        <v>30.8</v>
      </c>
      <c r="Y31" s="33">
        <v>30.8</v>
      </c>
      <c r="Z31" s="33">
        <v>30.8</v>
      </c>
      <c r="AA31" s="33">
        <v>30.8</v>
      </c>
      <c r="AB31" s="33">
        <v>30.8</v>
      </c>
      <c r="AC31" s="33">
        <v>30.8</v>
      </c>
      <c r="AD31" s="33">
        <v>30.8</v>
      </c>
      <c r="AE31" s="33">
        <v>30.8</v>
      </c>
      <c r="AF31" s="33">
        <v>30.8</v>
      </c>
      <c r="AG31" s="33">
        <v>30.8</v>
      </c>
      <c r="AH31" s="33">
        <v>20.53</v>
      </c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898</v>
      </c>
      <c r="D32" s="50" t="s">
        <v>42</v>
      </c>
      <c r="E32" s="32" t="s">
        <v>649</v>
      </c>
      <c r="F32" s="32" t="s">
        <v>838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>
        <v>57.53</v>
      </c>
      <c r="W32" s="33">
        <v>101.79</v>
      </c>
      <c r="X32" s="33">
        <v>45.05</v>
      </c>
      <c r="Y32" s="33">
        <v>80.58</v>
      </c>
      <c r="Z32" s="33">
        <v>57.72</v>
      </c>
      <c r="AA32" s="33">
        <v>71.35</v>
      </c>
      <c r="AB32" s="33">
        <f>17.37+0.00+66.43</f>
        <v>83.80000000000001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898</v>
      </c>
      <c r="D33" s="50" t="s">
        <v>42</v>
      </c>
      <c r="E33" s="32" t="s">
        <v>649</v>
      </c>
      <c r="F33" s="32" t="s">
        <v>839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>
        <v>53.9</v>
      </c>
      <c r="W33" s="33">
        <v>52.72</v>
      </c>
      <c r="X33" s="33">
        <v>61.04</v>
      </c>
      <c r="Y33" s="33">
        <v>71.67</v>
      </c>
      <c r="Z33" s="33">
        <v>75.8</v>
      </c>
      <c r="AA33" s="33">
        <v>84.25</v>
      </c>
      <c r="AB33" s="33">
        <v>89.47</v>
      </c>
      <c r="AC33" s="33">
        <v>109.43</v>
      </c>
      <c r="AD33" s="33">
        <v>95.19</v>
      </c>
      <c r="AE33" s="33">
        <v>66.5</v>
      </c>
      <c r="AF33" s="33">
        <v>61.78</v>
      </c>
      <c r="AG33" s="33">
        <v>50.08</v>
      </c>
      <c r="AH33" s="33">
        <v>39.35</v>
      </c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898</v>
      </c>
      <c r="D34" s="50" t="s">
        <v>42</v>
      </c>
      <c r="E34" s="32" t="s">
        <v>649</v>
      </c>
      <c r="F34" s="32" t="s">
        <v>840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30.8</v>
      </c>
      <c r="W34" s="33">
        <v>125.63</v>
      </c>
      <c r="X34" s="33">
        <v>105.09</v>
      </c>
      <c r="Y34" s="33">
        <v>120.71</v>
      </c>
      <c r="Z34" s="33">
        <v>30.8</v>
      </c>
      <c r="AA34" s="33">
        <v>30.8</v>
      </c>
      <c r="AB34" s="33">
        <v>30.8</v>
      </c>
      <c r="AC34" s="33">
        <v>30.8</v>
      </c>
      <c r="AD34" s="33">
        <v>30.8</v>
      </c>
      <c r="AE34" s="33">
        <v>30.8</v>
      </c>
      <c r="AF34" s="33">
        <v>30.8</v>
      </c>
      <c r="AG34" s="33">
        <v>30.8</v>
      </c>
      <c r="AH34" s="33">
        <v>22.58</v>
      </c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898</v>
      </c>
      <c r="D35" s="50" t="s">
        <v>42</v>
      </c>
      <c r="E35" s="32" t="s">
        <v>649</v>
      </c>
      <c r="F35" s="32" t="s">
        <v>841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v>371.25</v>
      </c>
      <c r="W35" s="33">
        <f>358.64+358.64</f>
        <v>717.28</v>
      </c>
      <c r="X35" s="33">
        <v>298.72</v>
      </c>
      <c r="Y35" s="33">
        <v>378.59</v>
      </c>
      <c r="Z35" s="33">
        <v>378.47</v>
      </c>
      <c r="AA35" s="33">
        <v>394.39</v>
      </c>
      <c r="AB35" s="33">
        <v>322.57</v>
      </c>
      <c r="AC35" s="33">
        <v>398.97</v>
      </c>
      <c r="AD35" s="33">
        <v>373.1</v>
      </c>
      <c r="AE35" s="33">
        <v>384.96</v>
      </c>
      <c r="AF35" s="33">
        <v>403.48</v>
      </c>
      <c r="AG35" s="33">
        <v>271.64</v>
      </c>
      <c r="AH35" s="33">
        <v>214.7</v>
      </c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898</v>
      </c>
      <c r="D36" s="50" t="s">
        <v>42</v>
      </c>
      <c r="E36" s="32" t="s">
        <v>649</v>
      </c>
      <c r="F36" s="32" t="s">
        <v>842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3">
        <v>30.8</v>
      </c>
      <c r="W36" s="33">
        <v>30.8</v>
      </c>
      <c r="X36" s="33">
        <v>30.8</v>
      </c>
      <c r="Y36" s="33">
        <v>11.29</v>
      </c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898</v>
      </c>
      <c r="D37" s="50" t="s">
        <v>42</v>
      </c>
      <c r="E37" s="32" t="s">
        <v>649</v>
      </c>
      <c r="F37" s="32" t="s">
        <v>843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>
        <v>508.32</v>
      </c>
      <c r="W37" s="33">
        <v>508.32</v>
      </c>
      <c r="X37" s="33">
        <v>544.42</v>
      </c>
      <c r="Y37" s="33">
        <v>544.42</v>
      </c>
      <c r="Z37" s="33">
        <v>544.42</v>
      </c>
      <c r="AA37" s="33">
        <v>544.42</v>
      </c>
      <c r="AB37" s="33">
        <v>544.42</v>
      </c>
      <c r="AC37" s="33">
        <v>544.67</v>
      </c>
      <c r="AD37" s="33">
        <v>544.81</v>
      </c>
      <c r="AE37" s="33">
        <v>544.81</v>
      </c>
      <c r="AF37" s="33">
        <v>544.81</v>
      </c>
      <c r="AG37" s="33">
        <v>544.81</v>
      </c>
      <c r="AH37" s="33">
        <v>381.35</v>
      </c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898</v>
      </c>
      <c r="D38" s="50" t="s">
        <v>42</v>
      </c>
      <c r="E38" s="32" t="s">
        <v>649</v>
      </c>
      <c r="F38" s="32" t="s">
        <v>906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3">
        <v>30.8</v>
      </c>
      <c r="Z38" s="33">
        <v>30.8</v>
      </c>
      <c r="AA38" s="33">
        <v>30.8</v>
      </c>
      <c r="AB38" s="33">
        <v>30.8</v>
      </c>
      <c r="AC38" s="33">
        <v>6.16</v>
      </c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898</v>
      </c>
      <c r="D39" s="50" t="s">
        <v>42</v>
      </c>
      <c r="E39" s="32" t="s">
        <v>649</v>
      </c>
      <c r="F39" s="32" t="s">
        <v>844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30.8</v>
      </c>
      <c r="W39" s="33">
        <v>30.8</v>
      </c>
      <c r="X39" s="33">
        <v>30.8</v>
      </c>
      <c r="Y39" s="33">
        <v>35.19</v>
      </c>
      <c r="Z39" s="33">
        <v>30.8</v>
      </c>
      <c r="AA39" s="33">
        <v>30.8</v>
      </c>
      <c r="AB39" s="33">
        <v>30.8</v>
      </c>
      <c r="AC39" s="33">
        <v>30.8</v>
      </c>
      <c r="AD39" s="33">
        <v>30.8</v>
      </c>
      <c r="AE39" s="33">
        <v>30.8</v>
      </c>
      <c r="AF39" s="33">
        <v>30.8</v>
      </c>
      <c r="AG39" s="33">
        <v>30.8</v>
      </c>
      <c r="AH39" s="33">
        <v>22.58</v>
      </c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898</v>
      </c>
      <c r="D40" s="50" t="s">
        <v>42</v>
      </c>
      <c r="E40" s="32" t="s">
        <v>649</v>
      </c>
      <c r="F40" s="32" t="s">
        <v>845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>
        <v>30.8</v>
      </c>
      <c r="W40" s="33">
        <v>30.8</v>
      </c>
      <c r="X40" s="33">
        <v>30.8</v>
      </c>
      <c r="Y40" s="33">
        <v>30.8</v>
      </c>
      <c r="Z40" s="33">
        <v>30.8</v>
      </c>
      <c r="AA40" s="33">
        <v>30.8</v>
      </c>
      <c r="AB40" s="33">
        <v>30.8</v>
      </c>
      <c r="AC40" s="33">
        <v>30.8</v>
      </c>
      <c r="AD40" s="33">
        <v>30.8</v>
      </c>
      <c r="AE40" s="33">
        <v>30.8</v>
      </c>
      <c r="AF40" s="33">
        <v>30.8</v>
      </c>
      <c r="AG40" s="33">
        <v>30.8</v>
      </c>
      <c r="AH40" s="33">
        <v>22.58</v>
      </c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898</v>
      </c>
      <c r="D41" s="50" t="s">
        <v>42</v>
      </c>
      <c r="E41" s="32" t="s">
        <v>649</v>
      </c>
      <c r="F41" s="32" t="s">
        <v>846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>
        <v>149</v>
      </c>
      <c r="X41" s="33">
        <v>70.22</v>
      </c>
      <c r="Y41" s="33">
        <v>73.84</v>
      </c>
      <c r="Z41" s="33">
        <v>52.95</v>
      </c>
      <c r="AA41" s="33">
        <v>30.8</v>
      </c>
      <c r="AB41" s="33">
        <v>30.8</v>
      </c>
      <c r="AC41" s="33">
        <v>30.8</v>
      </c>
      <c r="AD41" s="33">
        <v>30.8</v>
      </c>
      <c r="AE41" s="33">
        <v>30.8</v>
      </c>
      <c r="AF41" s="33">
        <v>30.8</v>
      </c>
      <c r="AG41" s="33">
        <v>30.8</v>
      </c>
      <c r="AH41" s="33">
        <v>30.8</v>
      </c>
      <c r="AI41" s="33">
        <v>30.8</v>
      </c>
      <c r="AJ41" s="33">
        <v>30.8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898</v>
      </c>
      <c r="D42" s="50" t="s">
        <v>42</v>
      </c>
      <c r="E42" s="32" t="s">
        <v>649</v>
      </c>
      <c r="F42" s="32" t="s">
        <v>847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>
        <v>30.8</v>
      </c>
      <c r="W42" s="33">
        <v>30.8</v>
      </c>
      <c r="X42" s="33">
        <v>30.8</v>
      </c>
      <c r="Y42" s="33">
        <v>30.8</v>
      </c>
      <c r="Z42" s="33">
        <v>30.8</v>
      </c>
      <c r="AA42" s="33">
        <v>30.8</v>
      </c>
      <c r="AB42" s="33">
        <v>30.8</v>
      </c>
      <c r="AC42" s="33">
        <v>30.8</v>
      </c>
      <c r="AD42" s="33">
        <v>30.8</v>
      </c>
      <c r="AE42" s="33">
        <v>30.8</v>
      </c>
      <c r="AF42" s="33">
        <v>30.8</v>
      </c>
      <c r="AG42" s="33">
        <v>30.8</v>
      </c>
      <c r="AH42" s="33">
        <v>22.58</v>
      </c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898</v>
      </c>
      <c r="D43" s="50" t="s">
        <v>42</v>
      </c>
      <c r="E43" s="32" t="s">
        <v>649</v>
      </c>
      <c r="F43" s="32" t="s">
        <v>848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>
        <v>30.8</v>
      </c>
      <c r="W43" s="33">
        <v>30.8</v>
      </c>
      <c r="X43" s="33">
        <v>59.19</v>
      </c>
      <c r="Y43" s="33">
        <v>30.8</v>
      </c>
      <c r="Z43" s="33">
        <v>110.01</v>
      </c>
      <c r="AA43" s="33">
        <v>89.78</v>
      </c>
      <c r="AB43" s="33">
        <v>178.45</v>
      </c>
      <c r="AC43" s="33">
        <v>220.37</v>
      </c>
      <c r="AD43" s="33">
        <v>145.13</v>
      </c>
      <c r="AE43" s="33">
        <v>30.8</v>
      </c>
      <c r="AF43" s="33">
        <v>30.8</v>
      </c>
      <c r="AG43" s="33">
        <v>30.8</v>
      </c>
      <c r="AH43" s="33">
        <v>22.58</v>
      </c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898</v>
      </c>
      <c r="D44" s="50" t="s">
        <v>42</v>
      </c>
      <c r="E44" s="32" t="s">
        <v>649</v>
      </c>
      <c r="F44" s="32" t="s">
        <v>849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>
        <v>30.8</v>
      </c>
      <c r="W44" s="33">
        <v>68.61</v>
      </c>
      <c r="X44" s="33">
        <v>88.66</v>
      </c>
      <c r="Y44" s="33">
        <v>98.67</v>
      </c>
      <c r="Z44" s="33">
        <v>30.8</v>
      </c>
      <c r="AA44" s="33">
        <v>0</v>
      </c>
      <c r="AB44" s="33">
        <v>30.8</v>
      </c>
      <c r="AC44" s="33">
        <v>30.8</v>
      </c>
      <c r="AD44" s="33">
        <v>30.8</v>
      </c>
      <c r="AE44" s="33">
        <v>30.8</v>
      </c>
      <c r="AF44" s="33">
        <v>30.8</v>
      </c>
      <c r="AG44" s="33">
        <v>30.8</v>
      </c>
      <c r="AH44" s="33">
        <v>22.58</v>
      </c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898</v>
      </c>
      <c r="D45" s="50" t="s">
        <v>42</v>
      </c>
      <c r="E45" s="32" t="s">
        <v>649</v>
      </c>
      <c r="F45" s="32" t="s">
        <v>850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v>31.58</v>
      </c>
      <c r="W45" s="33">
        <v>248.64</v>
      </c>
      <c r="X45" s="33">
        <v>61.34</v>
      </c>
      <c r="Y45" s="33">
        <v>88.47</v>
      </c>
      <c r="Z45" s="33">
        <v>170.05</v>
      </c>
      <c r="AA45" s="33">
        <f>29.67+185.73</f>
        <v>215.39999999999998</v>
      </c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898</v>
      </c>
      <c r="D46" s="50" t="s">
        <v>42</v>
      </c>
      <c r="E46" s="32" t="s">
        <v>649</v>
      </c>
      <c r="F46" s="32" t="s">
        <v>851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>
        <v>30.8</v>
      </c>
      <c r="W46" s="33">
        <v>30.8</v>
      </c>
      <c r="X46" s="33">
        <v>30.8</v>
      </c>
      <c r="Y46" s="33">
        <v>30.8</v>
      </c>
      <c r="Z46" s="33">
        <v>30.8</v>
      </c>
      <c r="AA46" s="33">
        <v>30.8</v>
      </c>
      <c r="AB46" s="33">
        <v>30.8</v>
      </c>
      <c r="AC46" s="33">
        <v>30.8</v>
      </c>
      <c r="AD46" s="33">
        <v>30.8</v>
      </c>
      <c r="AE46" s="33">
        <v>30.8</v>
      </c>
      <c r="AF46" s="33">
        <v>30.8</v>
      </c>
      <c r="AG46" s="33">
        <v>30.8</v>
      </c>
      <c r="AH46" s="33">
        <v>22.58</v>
      </c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898</v>
      </c>
      <c r="D47" s="50" t="s">
        <v>42</v>
      </c>
      <c r="E47" s="32" t="s">
        <v>649</v>
      </c>
      <c r="F47" s="32" t="s">
        <v>852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>
        <v>86.47</v>
      </c>
      <c r="W47" s="33">
        <v>100.53</v>
      </c>
      <c r="X47" s="33">
        <v>108.38</v>
      </c>
      <c r="Y47" s="33">
        <v>122.83</v>
      </c>
      <c r="Z47" s="33">
        <v>39.95</v>
      </c>
      <c r="AA47" s="33">
        <v>30.8</v>
      </c>
      <c r="AB47" s="33">
        <v>30.8</v>
      </c>
      <c r="AC47" s="33">
        <v>30.8</v>
      </c>
      <c r="AD47" s="33">
        <v>30.8</v>
      </c>
      <c r="AE47" s="33">
        <v>30.8</v>
      </c>
      <c r="AF47" s="33">
        <v>30.8</v>
      </c>
      <c r="AG47" s="33">
        <v>30.8</v>
      </c>
      <c r="AH47" s="33">
        <v>22.58</v>
      </c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898</v>
      </c>
      <c r="D48" s="50" t="s">
        <v>42</v>
      </c>
      <c r="E48" s="32" t="s">
        <v>649</v>
      </c>
      <c r="F48" s="32" t="s">
        <v>907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3">
        <v>19.51</v>
      </c>
      <c r="AA48" s="33">
        <v>30.8</v>
      </c>
      <c r="AB48" s="33">
        <v>30.8</v>
      </c>
      <c r="AC48" s="33">
        <v>30.8</v>
      </c>
      <c r="AD48" s="33">
        <v>30.8</v>
      </c>
      <c r="AE48" s="33">
        <v>30.8</v>
      </c>
      <c r="AF48" s="33">
        <v>30.8</v>
      </c>
      <c r="AG48" s="33">
        <v>30.8</v>
      </c>
      <c r="AH48" s="33">
        <v>30.8</v>
      </c>
      <c r="AI48" s="33">
        <v>30.8</v>
      </c>
      <c r="AJ48" s="33">
        <v>30.8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898</v>
      </c>
      <c r="D49" s="50" t="s">
        <v>42</v>
      </c>
      <c r="E49" s="32" t="s">
        <v>649</v>
      </c>
      <c r="F49" s="32" t="s">
        <v>908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3">
        <v>30.8</v>
      </c>
      <c r="AB49" s="33">
        <v>30.8</v>
      </c>
      <c r="AC49" s="33">
        <v>13.34</v>
      </c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898</v>
      </c>
      <c r="D50" s="50" t="s">
        <v>42</v>
      </c>
      <c r="E50" s="32" t="s">
        <v>649</v>
      </c>
      <c r="F50" s="32" t="s">
        <v>853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3">
        <v>46.75</v>
      </c>
      <c r="W50" s="33">
        <v>153.29</v>
      </c>
      <c r="X50" s="33">
        <v>149.49</v>
      </c>
      <c r="Y50" s="33">
        <v>182.27</v>
      </c>
      <c r="Z50" s="33">
        <v>83.37</v>
      </c>
      <c r="AA50" s="33">
        <v>30.8</v>
      </c>
      <c r="AB50" s="33">
        <v>30.8</v>
      </c>
      <c r="AC50" s="33">
        <v>30.8</v>
      </c>
      <c r="AD50" s="33">
        <v>30.8</v>
      </c>
      <c r="AE50" s="33">
        <v>30.8</v>
      </c>
      <c r="AF50" s="33">
        <v>30.8</v>
      </c>
      <c r="AG50" s="33">
        <v>30.8</v>
      </c>
      <c r="AH50" s="33">
        <v>22.58</v>
      </c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898</v>
      </c>
      <c r="D51" s="50" t="s">
        <v>42</v>
      </c>
      <c r="E51" s="32" t="s">
        <v>649</v>
      </c>
      <c r="F51" s="32" t="s">
        <v>854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v>30.8</v>
      </c>
      <c r="W51" s="33">
        <v>30.8</v>
      </c>
      <c r="X51" s="33">
        <v>69.22</v>
      </c>
      <c r="Y51" s="33">
        <v>30.8</v>
      </c>
      <c r="Z51" s="33">
        <v>30.8</v>
      </c>
      <c r="AA51" s="33">
        <v>30.8</v>
      </c>
      <c r="AB51" s="33">
        <v>30.8</v>
      </c>
      <c r="AC51" s="33">
        <v>30.8</v>
      </c>
      <c r="AD51" s="33">
        <v>30.8</v>
      </c>
      <c r="AE51" s="33">
        <v>30.8</v>
      </c>
      <c r="AF51" s="33">
        <v>30.8</v>
      </c>
      <c r="AG51" s="33">
        <v>30.8</v>
      </c>
      <c r="AH51" s="33">
        <v>22.58</v>
      </c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898</v>
      </c>
      <c r="D52" s="50" t="s">
        <v>42</v>
      </c>
      <c r="E52" s="32" t="s">
        <v>649</v>
      </c>
      <c r="F52" s="32" t="s">
        <v>855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3">
        <v>80.82</v>
      </c>
      <c r="W52" s="33">
        <v>73.99</v>
      </c>
      <c r="X52" s="33">
        <v>79.94</v>
      </c>
      <c r="Y52" s="33">
        <v>92.86</v>
      </c>
      <c r="Z52" s="33">
        <v>82.99</v>
      </c>
      <c r="AA52" s="33">
        <v>92.16</v>
      </c>
      <c r="AB52" s="33">
        <v>107.28</v>
      </c>
      <c r="AC52" s="33">
        <v>130.36</v>
      </c>
      <c r="AD52" s="33">
        <v>92.65</v>
      </c>
      <c r="AE52" s="33">
        <v>82.21</v>
      </c>
      <c r="AF52" s="33">
        <v>74.42</v>
      </c>
      <c r="AG52" s="33">
        <v>70.11</v>
      </c>
      <c r="AH52" s="33">
        <v>61.01</v>
      </c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898</v>
      </c>
      <c r="D53" s="50" t="s">
        <v>42</v>
      </c>
      <c r="E53" s="32" t="s">
        <v>649</v>
      </c>
      <c r="F53" s="32" t="s">
        <v>856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3">
        <v>30.8</v>
      </c>
      <c r="W53" s="33">
        <v>30.8</v>
      </c>
      <c r="X53" s="33">
        <v>90.44</v>
      </c>
      <c r="Y53" s="33">
        <v>30.8</v>
      </c>
      <c r="Z53" s="33">
        <v>30.8</v>
      </c>
      <c r="AA53" s="33">
        <v>30.8</v>
      </c>
      <c r="AB53" s="33">
        <v>30.8</v>
      </c>
      <c r="AC53" s="33">
        <v>30.8</v>
      </c>
      <c r="AD53" s="33">
        <v>30.8</v>
      </c>
      <c r="AE53" s="33">
        <v>30.8</v>
      </c>
      <c r="AF53" s="33">
        <v>30.8</v>
      </c>
      <c r="AG53" s="33">
        <v>30.8</v>
      </c>
      <c r="AH53" s="33">
        <v>22.58</v>
      </c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898</v>
      </c>
      <c r="D54" s="50" t="s">
        <v>42</v>
      </c>
      <c r="E54" s="32" t="s">
        <v>649</v>
      </c>
      <c r="F54" s="32" t="s">
        <v>857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>
        <v>38.32</v>
      </c>
      <c r="W54" s="33">
        <v>72.97</v>
      </c>
      <c r="X54" s="33">
        <v>88.66</v>
      </c>
      <c r="Y54" s="33">
        <v>83.88</v>
      </c>
      <c r="Z54" s="33">
        <v>30.8</v>
      </c>
      <c r="AA54" s="33">
        <v>30.8</v>
      </c>
      <c r="AB54" s="33">
        <v>30.8</v>
      </c>
      <c r="AC54" s="33">
        <v>30.8</v>
      </c>
      <c r="AD54" s="33">
        <v>30.8</v>
      </c>
      <c r="AE54" s="33">
        <v>30.8</v>
      </c>
      <c r="AF54" s="33">
        <v>30.8</v>
      </c>
      <c r="AG54" s="33">
        <v>30.8</v>
      </c>
      <c r="AH54" s="33">
        <v>22.58</v>
      </c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898</v>
      </c>
      <c r="D55" s="50" t="s">
        <v>42</v>
      </c>
      <c r="E55" s="32" t="s">
        <v>649</v>
      </c>
      <c r="F55" s="32" t="s">
        <v>909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3">
        <v>30.8</v>
      </c>
      <c r="AB55" s="33">
        <v>30.8</v>
      </c>
      <c r="AC55" s="33">
        <v>13.34</v>
      </c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898</v>
      </c>
      <c r="D56" s="50" t="s">
        <v>42</v>
      </c>
      <c r="E56" s="32" t="s">
        <v>649</v>
      </c>
      <c r="F56" s="32" t="s">
        <v>910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3">
        <v>30.8</v>
      </c>
      <c r="AA56" s="33">
        <v>30.8</v>
      </c>
      <c r="AB56" s="33">
        <v>30.8</v>
      </c>
      <c r="AC56" s="33">
        <v>13.34</v>
      </c>
      <c r="AD56" s="32"/>
      <c r="AE56" s="32"/>
      <c r="AF56" s="32"/>
      <c r="AG56" s="32"/>
      <c r="AH56" s="32"/>
      <c r="AI56" s="32"/>
      <c r="AJ56" s="32"/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898</v>
      </c>
      <c r="D57" s="50" t="s">
        <v>42</v>
      </c>
      <c r="E57" s="32" t="s">
        <v>649</v>
      </c>
      <c r="F57" s="32" t="s">
        <v>911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3">
        <v>19.51</v>
      </c>
      <c r="AA57" s="33">
        <v>30.8</v>
      </c>
      <c r="AB57" s="33">
        <v>30.8</v>
      </c>
      <c r="AC57" s="33">
        <v>23.61</v>
      </c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898</v>
      </c>
      <c r="D58" s="50" t="s">
        <v>42</v>
      </c>
      <c r="E58" s="32" t="s">
        <v>649</v>
      </c>
      <c r="F58" s="32" t="s">
        <v>858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3">
        <v>24.64</v>
      </c>
      <c r="AC58" s="33">
        <v>30.8</v>
      </c>
      <c r="AD58" s="33">
        <v>58.27</v>
      </c>
      <c r="AE58" s="33">
        <v>129.61</v>
      </c>
      <c r="AF58" s="33">
        <v>131.09</v>
      </c>
      <c r="AG58" s="33">
        <f>31.37+118.56</f>
        <v>149.93</v>
      </c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898</v>
      </c>
      <c r="D59" s="50" t="s">
        <v>42</v>
      </c>
      <c r="E59" s="32" t="s">
        <v>649</v>
      </c>
      <c r="F59" s="32" t="s">
        <v>912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3">
        <v>19.51</v>
      </c>
      <c r="AA59" s="33">
        <v>30.8</v>
      </c>
      <c r="AB59" s="33">
        <v>30.8</v>
      </c>
      <c r="AC59" s="33">
        <v>13.34</v>
      </c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898</v>
      </c>
      <c r="D60" s="50" t="s">
        <v>42</v>
      </c>
      <c r="E60" s="32" t="s">
        <v>649</v>
      </c>
      <c r="F60" s="32" t="s">
        <v>913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3">
        <v>30.8</v>
      </c>
      <c r="AA60" s="33">
        <v>30.8</v>
      </c>
      <c r="AB60" s="33">
        <v>30.8</v>
      </c>
      <c r="AC60" s="33">
        <v>6.16</v>
      </c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898</v>
      </c>
      <c r="D61" s="50" t="s">
        <v>42</v>
      </c>
      <c r="E61" s="32" t="s">
        <v>649</v>
      </c>
      <c r="F61" s="32" t="s">
        <v>860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3">
        <v>30.8</v>
      </c>
      <c r="W61" s="33">
        <v>30.8</v>
      </c>
      <c r="X61" s="33">
        <v>44.23</v>
      </c>
      <c r="Y61" s="33">
        <v>56.57</v>
      </c>
      <c r="Z61" s="33">
        <v>52.46</v>
      </c>
      <c r="AA61" s="33">
        <v>58.7</v>
      </c>
      <c r="AB61" s="33">
        <v>31.89</v>
      </c>
      <c r="AC61" s="33">
        <v>88.91</v>
      </c>
      <c r="AD61" s="33">
        <v>30.8</v>
      </c>
      <c r="AE61" s="33">
        <v>30.8</v>
      </c>
      <c r="AF61" s="33">
        <v>30.8</v>
      </c>
      <c r="AG61" s="33">
        <v>30.8</v>
      </c>
      <c r="AH61" s="33">
        <v>22.58</v>
      </c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898</v>
      </c>
      <c r="D62" s="50" t="s">
        <v>42</v>
      </c>
      <c r="E62" s="32" t="s">
        <v>649</v>
      </c>
      <c r="F62" s="32" t="s">
        <v>861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3">
        <v>30.8</v>
      </c>
      <c r="W62" s="33">
        <v>30.8</v>
      </c>
      <c r="X62" s="33">
        <v>82.05</v>
      </c>
      <c r="Y62" s="33">
        <v>30.8</v>
      </c>
      <c r="Z62" s="33">
        <v>30.8</v>
      </c>
      <c r="AA62" s="33">
        <v>30.8</v>
      </c>
      <c r="AB62" s="33">
        <v>30.8</v>
      </c>
      <c r="AC62" s="33">
        <v>30.8</v>
      </c>
      <c r="AD62" s="33">
        <v>30.8</v>
      </c>
      <c r="AE62" s="33">
        <v>30.8</v>
      </c>
      <c r="AF62" s="33">
        <v>30.8</v>
      </c>
      <c r="AG62" s="33">
        <v>30.8</v>
      </c>
      <c r="AH62" s="33">
        <v>22.58</v>
      </c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898</v>
      </c>
      <c r="D63" s="50" t="s">
        <v>42</v>
      </c>
      <c r="E63" s="32" t="s">
        <v>649</v>
      </c>
      <c r="F63" s="32" t="s">
        <v>914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3">
        <v>12.32</v>
      </c>
      <c r="AA63" s="33">
        <v>30.8</v>
      </c>
      <c r="AB63" s="33">
        <v>30.8</v>
      </c>
      <c r="AC63" s="33">
        <f>-79.06+30.80</f>
        <v>-48.260000000000005</v>
      </c>
      <c r="AD63" s="33">
        <v>30.8</v>
      </c>
      <c r="AE63" s="33">
        <v>30.8</v>
      </c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898</v>
      </c>
      <c r="D64" s="50" t="s">
        <v>42</v>
      </c>
      <c r="E64" s="32" t="s">
        <v>649</v>
      </c>
      <c r="F64" s="32" t="s">
        <v>915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3">
        <v>23.61</v>
      </c>
      <c r="AB64" s="33">
        <v>30.8</v>
      </c>
      <c r="AC64" s="33">
        <v>13.34</v>
      </c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898</v>
      </c>
      <c r="D65" s="50" t="s">
        <v>42</v>
      </c>
      <c r="E65" s="32" t="s">
        <v>649</v>
      </c>
      <c r="F65" s="32" t="s">
        <v>862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3">
        <v>31.29</v>
      </c>
      <c r="W65" s="33">
        <v>108.9</v>
      </c>
      <c r="X65" s="33">
        <v>94.88</v>
      </c>
      <c r="Y65" s="33">
        <v>109.03</v>
      </c>
      <c r="Z65" s="33">
        <v>30.8</v>
      </c>
      <c r="AA65" s="33">
        <v>30.8</v>
      </c>
      <c r="AB65" s="33">
        <v>30.8</v>
      </c>
      <c r="AC65" s="33">
        <v>30.8</v>
      </c>
      <c r="AD65" s="33">
        <v>30.8</v>
      </c>
      <c r="AE65" s="33">
        <v>30.8</v>
      </c>
      <c r="AF65" s="33">
        <v>30.8</v>
      </c>
      <c r="AG65" s="33">
        <v>30.8</v>
      </c>
      <c r="AH65" s="33">
        <v>22.58</v>
      </c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898</v>
      </c>
      <c r="D66" s="50" t="s">
        <v>42</v>
      </c>
      <c r="E66" s="32" t="s">
        <v>649</v>
      </c>
      <c r="F66" s="32" t="s">
        <v>863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3">
        <v>85.07</v>
      </c>
      <c r="W66" s="33">
        <v>70.3</v>
      </c>
      <c r="X66" s="33">
        <v>96.69</v>
      </c>
      <c r="Y66" s="33">
        <v>117.59</v>
      </c>
      <c r="Z66" s="33">
        <v>178.11</v>
      </c>
      <c r="AA66" s="33">
        <v>200.03</v>
      </c>
      <c r="AB66" s="33">
        <v>140.62</v>
      </c>
      <c r="AC66" s="33">
        <f>5.13+66.96</f>
        <v>72.08999999999999</v>
      </c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898</v>
      </c>
      <c r="D67" s="50" t="s">
        <v>42</v>
      </c>
      <c r="E67" s="32" t="s">
        <v>649</v>
      </c>
      <c r="F67" s="32" t="s">
        <v>864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3">
        <v>55.28</v>
      </c>
      <c r="W67" s="33">
        <v>121.24</v>
      </c>
      <c r="X67" s="33">
        <v>125.49</v>
      </c>
      <c r="Y67" s="33">
        <v>120.06</v>
      </c>
      <c r="Z67" s="33">
        <v>30.8</v>
      </c>
      <c r="AA67" s="33">
        <v>30.8</v>
      </c>
      <c r="AB67" s="33">
        <v>30.8</v>
      </c>
      <c r="AC67" s="33">
        <v>30.8</v>
      </c>
      <c r="AD67" s="33">
        <v>30.8</v>
      </c>
      <c r="AE67" s="33">
        <v>30.8</v>
      </c>
      <c r="AF67" s="33">
        <v>30.8</v>
      </c>
      <c r="AG67" s="33">
        <v>30.8</v>
      </c>
      <c r="AH67" s="33">
        <v>134.72</v>
      </c>
      <c r="AI67" s="33">
        <v>113.63</v>
      </c>
      <c r="AJ67" s="33">
        <v>98.03</v>
      </c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898</v>
      </c>
      <c r="D68" s="50" t="s">
        <v>42</v>
      </c>
      <c r="E68" s="32" t="s">
        <v>649</v>
      </c>
      <c r="F68" s="32" t="s">
        <v>916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35.91</v>
      </c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898</v>
      </c>
      <c r="D69" s="50" t="s">
        <v>42</v>
      </c>
      <c r="E69" s="32" t="s">
        <v>649</v>
      </c>
      <c r="F69" s="32" t="s">
        <v>917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3">
        <v>21.32</v>
      </c>
      <c r="AI69" s="33">
        <v>30.8</v>
      </c>
      <c r="AJ69" s="33">
        <v>30.8</v>
      </c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898</v>
      </c>
      <c r="D70" s="50" t="s">
        <v>42</v>
      </c>
      <c r="E70" s="32" t="s">
        <v>649</v>
      </c>
      <c r="F70" s="32" t="s">
        <v>866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3">
        <v>90.77</v>
      </c>
      <c r="X70" s="33">
        <v>97.2</v>
      </c>
      <c r="Y70" s="33">
        <v>103.69</v>
      </c>
      <c r="Z70" s="33">
        <v>56.9</v>
      </c>
      <c r="AA70" s="33">
        <v>31.75</v>
      </c>
      <c r="AB70" s="33">
        <v>47.82</v>
      </c>
      <c r="AC70" s="33">
        <v>45.92</v>
      </c>
      <c r="AD70" s="33">
        <v>50.61</v>
      </c>
      <c r="AE70" s="33">
        <v>52.07</v>
      </c>
      <c r="AF70" s="33">
        <v>52.07</v>
      </c>
      <c r="AG70" s="33">
        <v>54.42</v>
      </c>
      <c r="AH70" s="33">
        <v>58.02</v>
      </c>
      <c r="AI70" s="33">
        <v>68.61</v>
      </c>
      <c r="AJ70" s="33">
        <v>78.72</v>
      </c>
      <c r="AK70" s="33">
        <v>98.44</v>
      </c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898</v>
      </c>
      <c r="D71" s="50" t="s">
        <v>42</v>
      </c>
      <c r="E71" s="32" t="s">
        <v>649</v>
      </c>
      <c r="F71" s="32" t="s">
        <v>918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3">
        <v>64.08</v>
      </c>
      <c r="AJ71" s="33">
        <v>30.8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898</v>
      </c>
      <c r="D72" s="50" t="s">
        <v>42</v>
      </c>
      <c r="E72" s="32" t="s">
        <v>649</v>
      </c>
      <c r="F72" s="32" t="s">
        <v>868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3">
        <v>30.8</v>
      </c>
      <c r="W72" s="33">
        <v>30.8</v>
      </c>
      <c r="X72" s="33">
        <v>71.86</v>
      </c>
      <c r="Y72" s="33">
        <v>37.65</v>
      </c>
      <c r="Z72" s="33">
        <v>30.8</v>
      </c>
      <c r="AA72" s="33">
        <v>77.29</v>
      </c>
      <c r="AB72" s="33">
        <v>148.01</v>
      </c>
      <c r="AC72" s="33">
        <v>178.11</v>
      </c>
      <c r="AD72" s="33">
        <v>30.8</v>
      </c>
      <c r="AE72" s="33">
        <v>30.8</v>
      </c>
      <c r="AF72" s="33">
        <v>30.8</v>
      </c>
      <c r="AG72" s="33">
        <v>30.8</v>
      </c>
      <c r="AH72" s="33">
        <v>30.8</v>
      </c>
      <c r="AI72" s="33">
        <v>30.8</v>
      </c>
      <c r="AJ72" s="33">
        <v>30.8</v>
      </c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898</v>
      </c>
      <c r="D73" s="50" t="s">
        <v>42</v>
      </c>
      <c r="E73" s="32" t="s">
        <v>649</v>
      </c>
      <c r="F73" s="32" t="s">
        <v>869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3">
        <v>30.8</v>
      </c>
      <c r="W73" s="33">
        <v>30.8</v>
      </c>
      <c r="X73" s="33">
        <v>30.8</v>
      </c>
      <c r="Y73" s="33">
        <v>31.56</v>
      </c>
      <c r="Z73" s="33">
        <v>66.6</v>
      </c>
      <c r="AA73" s="33">
        <v>30.8</v>
      </c>
      <c r="AB73" s="33">
        <v>30.8</v>
      </c>
      <c r="AC73" s="33">
        <v>30.8</v>
      </c>
      <c r="AD73" s="33">
        <v>30.8</v>
      </c>
      <c r="AE73" s="33">
        <v>30.8</v>
      </c>
      <c r="AF73" s="33">
        <v>30.8</v>
      </c>
      <c r="AG73" s="33">
        <v>30.8</v>
      </c>
      <c r="AH73" s="33">
        <v>30.8</v>
      </c>
      <c r="AI73" s="33">
        <v>30.8</v>
      </c>
      <c r="AJ73" s="33">
        <v>30.8</v>
      </c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898</v>
      </c>
      <c r="D74" s="50" t="s">
        <v>42</v>
      </c>
      <c r="E74" s="32" t="s">
        <v>649</v>
      </c>
      <c r="F74" s="32" t="s">
        <v>873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3">
        <v>30.8</v>
      </c>
      <c r="W74" s="33">
        <v>133.71</v>
      </c>
      <c r="X74" s="33">
        <v>123.83</v>
      </c>
      <c r="Y74" s="33">
        <v>72.02</v>
      </c>
      <c r="Z74" s="33">
        <v>33.88</v>
      </c>
      <c r="AA74" s="33">
        <v>30.8</v>
      </c>
      <c r="AB74" s="33">
        <v>30.8</v>
      </c>
      <c r="AC74" s="33">
        <v>30.8</v>
      </c>
      <c r="AD74" s="33">
        <v>30.8</v>
      </c>
      <c r="AE74" s="33">
        <v>30.8</v>
      </c>
      <c r="AF74" s="33">
        <v>30.8</v>
      </c>
      <c r="AG74" s="33">
        <v>30.8</v>
      </c>
      <c r="AH74" s="33">
        <v>30.8</v>
      </c>
      <c r="AI74" s="33">
        <v>147.25</v>
      </c>
      <c r="AJ74" s="33">
        <v>94.17</v>
      </c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898</v>
      </c>
      <c r="D75" s="50" t="s">
        <v>42</v>
      </c>
      <c r="E75" s="32" t="s">
        <v>649</v>
      </c>
      <c r="F75" s="32" t="s">
        <v>874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3">
        <v>30.8</v>
      </c>
      <c r="W75" s="33">
        <v>30.8</v>
      </c>
      <c r="X75" s="33">
        <v>30.8</v>
      </c>
      <c r="Y75" s="33">
        <v>30.8</v>
      </c>
      <c r="Z75" s="33">
        <v>30.8</v>
      </c>
      <c r="AA75" s="33">
        <v>30.8</v>
      </c>
      <c r="AB75" s="33">
        <v>30.8</v>
      </c>
      <c r="AC75" s="33">
        <v>30.8</v>
      </c>
      <c r="AD75" s="33">
        <v>30.8</v>
      </c>
      <c r="AE75" s="33">
        <v>30.8</v>
      </c>
      <c r="AF75" s="33">
        <v>30.8</v>
      </c>
      <c r="AG75" s="33">
        <v>30.8</v>
      </c>
      <c r="AH75" s="33">
        <v>30.8</v>
      </c>
      <c r="AI75" s="33">
        <v>30.8</v>
      </c>
      <c r="AJ75" s="33">
        <v>30.8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898</v>
      </c>
      <c r="D76" s="50" t="s">
        <v>42</v>
      </c>
      <c r="E76" s="32" t="s">
        <v>649</v>
      </c>
      <c r="F76" s="32" t="s">
        <v>875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3">
        <v>30.8</v>
      </c>
      <c r="W76" s="33">
        <v>30.8</v>
      </c>
      <c r="X76" s="33">
        <v>53.59</v>
      </c>
      <c r="Y76" s="33">
        <v>78.28</v>
      </c>
      <c r="Z76" s="33">
        <v>99.5</v>
      </c>
      <c r="AA76" s="33">
        <v>129.11</v>
      </c>
      <c r="AB76" s="33">
        <v>140.62</v>
      </c>
      <c r="AC76" s="33">
        <v>178.59</v>
      </c>
      <c r="AD76" s="33">
        <v>60.25</v>
      </c>
      <c r="AE76" s="33">
        <v>30.8</v>
      </c>
      <c r="AF76" s="33">
        <v>30.8</v>
      </c>
      <c r="AG76" s="33">
        <v>30.8</v>
      </c>
      <c r="AH76" s="33">
        <v>30.8</v>
      </c>
      <c r="AI76" s="33">
        <v>30.8</v>
      </c>
      <c r="AJ76" s="33">
        <v>30.8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898</v>
      </c>
      <c r="D77" s="50" t="s">
        <v>42</v>
      </c>
      <c r="E77" s="32" t="s">
        <v>649</v>
      </c>
      <c r="F77" s="32" t="s">
        <v>877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3">
        <v>30.8</v>
      </c>
      <c r="W77" s="33">
        <v>30.8</v>
      </c>
      <c r="X77" s="33">
        <v>53.11</v>
      </c>
      <c r="Y77" s="33">
        <v>32.71</v>
      </c>
      <c r="Z77" s="33">
        <v>30.8</v>
      </c>
      <c r="AA77" s="33">
        <v>30.8</v>
      </c>
      <c r="AB77" s="33">
        <v>30.8</v>
      </c>
      <c r="AC77" s="33">
        <v>30.8</v>
      </c>
      <c r="AD77" s="33">
        <v>30.8</v>
      </c>
      <c r="AE77" s="33">
        <v>30.8</v>
      </c>
      <c r="AF77" s="33">
        <v>30.8</v>
      </c>
      <c r="AG77" s="33">
        <v>30.8</v>
      </c>
      <c r="AH77" s="33">
        <v>30.8</v>
      </c>
      <c r="AI77" s="33">
        <v>67.14</v>
      </c>
      <c r="AJ77" s="33">
        <v>39.57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898</v>
      </c>
      <c r="D78" s="50" t="s">
        <v>42</v>
      </c>
      <c r="E78" s="32" t="s">
        <v>649</v>
      </c>
      <c r="F78" s="32" t="s">
        <v>878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3">
        <v>30.8</v>
      </c>
      <c r="W78" s="33">
        <v>11.29</v>
      </c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898</v>
      </c>
      <c r="D79" s="50" t="s">
        <v>42</v>
      </c>
      <c r="E79" s="32" t="s">
        <v>649</v>
      </c>
      <c r="F79" s="32" t="s">
        <v>879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>
        <v>157.84</v>
      </c>
      <c r="W79" s="33">
        <v>144.08</v>
      </c>
      <c r="X79" s="33">
        <v>152.13</v>
      </c>
      <c r="Y79" s="33">
        <v>64.62</v>
      </c>
      <c r="Z79" s="33">
        <v>30.8</v>
      </c>
      <c r="AA79" s="33">
        <v>30.8</v>
      </c>
      <c r="AB79" s="33">
        <v>30.8</v>
      </c>
      <c r="AC79" s="33">
        <v>30.8</v>
      </c>
      <c r="AD79" s="33">
        <v>30.8</v>
      </c>
      <c r="AE79" s="33">
        <v>30.8</v>
      </c>
      <c r="AF79" s="33">
        <v>30.8</v>
      </c>
      <c r="AG79" s="33">
        <v>30.8</v>
      </c>
      <c r="AH79" s="33">
        <v>36.04</v>
      </c>
      <c r="AI79" s="33">
        <v>90.15</v>
      </c>
      <c r="AJ79" s="33">
        <v>30.8</v>
      </c>
      <c r="AK79" s="33">
        <v>12.32</v>
      </c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898</v>
      </c>
      <c r="D80" s="50" t="s">
        <v>42</v>
      </c>
      <c r="E80" s="32" t="s">
        <v>649</v>
      </c>
      <c r="F80" s="32" t="s">
        <v>880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3">
        <v>72.76</v>
      </c>
      <c r="W80" s="33">
        <v>121.24</v>
      </c>
      <c r="X80" s="33">
        <v>86.17</v>
      </c>
      <c r="Y80" s="33">
        <v>67.92</v>
      </c>
      <c r="Z80" s="33">
        <v>30.8</v>
      </c>
      <c r="AA80" s="33">
        <v>30.8</v>
      </c>
      <c r="AB80" s="33">
        <v>30.8</v>
      </c>
      <c r="AC80" s="33">
        <v>30.8</v>
      </c>
      <c r="AD80" s="33">
        <v>30.8</v>
      </c>
      <c r="AE80" s="33">
        <v>30.8</v>
      </c>
      <c r="AF80" s="33">
        <v>30.8</v>
      </c>
      <c r="AG80" s="33">
        <v>30.8</v>
      </c>
      <c r="AH80" s="33">
        <v>46.98</v>
      </c>
      <c r="AI80" s="33">
        <v>101.21</v>
      </c>
      <c r="AJ80" s="33">
        <v>101.66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898</v>
      </c>
      <c r="D81" s="50" t="s">
        <v>42</v>
      </c>
      <c r="E81" s="32" t="s">
        <v>649</v>
      </c>
      <c r="F81" s="32" t="s">
        <v>882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3">
        <v>30.8</v>
      </c>
      <c r="W81" s="33">
        <v>61.6</v>
      </c>
      <c r="X81" s="33">
        <v>35.8</v>
      </c>
      <c r="Y81" s="33">
        <v>35.8</v>
      </c>
      <c r="Z81" s="33">
        <v>18.48</v>
      </c>
      <c r="AA81" s="32"/>
      <c r="AB81" s="32"/>
      <c r="AC81" s="32"/>
      <c r="AD81" s="32"/>
      <c r="AE81" s="32"/>
      <c r="AF81" s="32"/>
      <c r="AG81" s="32"/>
      <c r="AH81" s="33">
        <v>16.32</v>
      </c>
      <c r="AI81" s="33">
        <v>30.8</v>
      </c>
      <c r="AJ81" s="33">
        <v>30.8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898</v>
      </c>
      <c r="D82" s="50" t="s">
        <v>42</v>
      </c>
      <c r="E82" s="32" t="s">
        <v>649</v>
      </c>
      <c r="F82" s="32" t="s">
        <v>883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3">
        <v>35.8</v>
      </c>
      <c r="AA82" s="33">
        <v>-155.63</v>
      </c>
      <c r="AB82" s="32"/>
      <c r="AC82" s="32"/>
      <c r="AD82" s="32"/>
      <c r="AE82" s="32"/>
      <c r="AF82" s="32"/>
      <c r="AG82" s="32"/>
      <c r="AH82" s="33">
        <v>136.51</v>
      </c>
      <c r="AI82" s="33">
        <v>91.96</v>
      </c>
      <c r="AJ82" s="33">
        <v>86.95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898</v>
      </c>
      <c r="D83" s="50" t="s">
        <v>42</v>
      </c>
      <c r="E83" s="32" t="s">
        <v>649</v>
      </c>
      <c r="F83" s="32" t="s">
        <v>919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3">
        <v>170</v>
      </c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898</v>
      </c>
      <c r="D84" s="50" t="s">
        <v>42</v>
      </c>
      <c r="E84" s="32" t="s">
        <v>649</v>
      </c>
      <c r="F84" s="32" t="s">
        <v>884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3">
        <v>61.6</v>
      </c>
      <c r="X84" s="33">
        <v>35.8</v>
      </c>
      <c r="Y84" s="33">
        <v>55.65</v>
      </c>
      <c r="Z84" s="33">
        <v>27.73</v>
      </c>
      <c r="AA84" s="33">
        <v>95.05</v>
      </c>
      <c r="AB84" s="33">
        <v>101.48</v>
      </c>
      <c r="AC84" s="33">
        <v>114.31</v>
      </c>
      <c r="AD84" s="33">
        <v>87.55</v>
      </c>
      <c r="AE84" s="33">
        <v>89.65</v>
      </c>
      <c r="AF84" s="33">
        <v>68.68</v>
      </c>
      <c r="AG84" s="33">
        <v>61.59</v>
      </c>
      <c r="AH84" s="33">
        <v>52.33</v>
      </c>
      <c r="AI84" s="33">
        <v>30.8</v>
      </c>
      <c r="AJ84" s="33">
        <v>-94.67</v>
      </c>
      <c r="AK84" s="33">
        <v>-63.87</v>
      </c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898</v>
      </c>
      <c r="D85" s="50" t="s">
        <v>42</v>
      </c>
      <c r="E85" s="32" t="s">
        <v>649</v>
      </c>
      <c r="F85" s="32" t="s">
        <v>920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3">
        <v>125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898</v>
      </c>
      <c r="D86" s="50" t="s">
        <v>42</v>
      </c>
      <c r="E86" s="32" t="s">
        <v>649</v>
      </c>
      <c r="F86" s="32" t="s">
        <v>921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3">
        <v>17.45</v>
      </c>
      <c r="Z86" s="33">
        <v>30.8</v>
      </c>
      <c r="AA86" s="33">
        <v>30.8</v>
      </c>
      <c r="AB86" s="33">
        <v>30.8</v>
      </c>
      <c r="AC86" s="33">
        <v>13.34</v>
      </c>
      <c r="AD86" s="32"/>
      <c r="AE86" s="32"/>
      <c r="AF86" s="32"/>
      <c r="AG86" s="32"/>
      <c r="AH86" s="32"/>
      <c r="AI86" s="32"/>
      <c r="AJ86" s="32"/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898</v>
      </c>
      <c r="D87" s="50" t="s">
        <v>42</v>
      </c>
      <c r="E87" s="32" t="s">
        <v>649</v>
      </c>
      <c r="F87" s="32" t="s">
        <v>922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3">
        <v>30.8</v>
      </c>
      <c r="AA87" s="33">
        <v>30.8</v>
      </c>
      <c r="AB87" s="33">
        <v>30.8</v>
      </c>
      <c r="AC87" s="33">
        <v>13.34</v>
      </c>
      <c r="AD87" s="32"/>
      <c r="AE87" s="32"/>
      <c r="AF87" s="32"/>
      <c r="AG87" s="32"/>
      <c r="AH87" s="32"/>
      <c r="AI87" s="32"/>
      <c r="AJ87" s="32"/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898</v>
      </c>
      <c r="D88" s="50" t="s">
        <v>42</v>
      </c>
      <c r="E88" s="32" t="s">
        <v>649</v>
      </c>
      <c r="F88" s="32" t="s">
        <v>923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3">
        <v>19.51</v>
      </c>
      <c r="AA88" s="33">
        <v>30.8</v>
      </c>
      <c r="AB88" s="33">
        <v>30.8</v>
      </c>
      <c r="AC88" s="33">
        <v>13.34</v>
      </c>
      <c r="AD88" s="32"/>
      <c r="AE88" s="32"/>
      <c r="AF88" s="32"/>
      <c r="AG88" s="32"/>
      <c r="AH88" s="32"/>
      <c r="AI88" s="32"/>
      <c r="AJ88" s="32"/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898</v>
      </c>
      <c r="D89" s="50" t="s">
        <v>42</v>
      </c>
      <c r="E89" s="32" t="s">
        <v>649</v>
      </c>
      <c r="F89" s="32" t="s">
        <v>924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3">
        <v>30.8</v>
      </c>
      <c r="AA89" s="33">
        <v>30.8</v>
      </c>
      <c r="AB89" s="33">
        <v>30.8</v>
      </c>
      <c r="AC89" s="33">
        <v>13.34</v>
      </c>
      <c r="AD89" s="32"/>
      <c r="AE89" s="32"/>
      <c r="AF89" s="32"/>
      <c r="AG89" s="32"/>
      <c r="AH89" s="32"/>
      <c r="AI89" s="32"/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898</v>
      </c>
      <c r="D90" s="50" t="s">
        <v>42</v>
      </c>
      <c r="E90" s="32" t="s">
        <v>649</v>
      </c>
      <c r="F90" s="32" t="s">
        <v>925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3">
        <v>30.8</v>
      </c>
      <c r="AA90" s="33">
        <v>30.8</v>
      </c>
      <c r="AB90" s="33">
        <v>30.8</v>
      </c>
      <c r="AC90" s="33">
        <v>13.34</v>
      </c>
      <c r="AD90" s="32"/>
      <c r="AE90" s="32"/>
      <c r="AF90" s="32"/>
      <c r="AG90" s="32"/>
      <c r="AH90" s="32"/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898</v>
      </c>
      <c r="D91" s="50" t="s">
        <v>42</v>
      </c>
      <c r="E91" s="32" t="s">
        <v>649</v>
      </c>
      <c r="F91" s="32" t="s">
        <v>926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3">
        <v>32.76</v>
      </c>
      <c r="AA91" s="33">
        <v>30.8</v>
      </c>
      <c r="AB91" s="33">
        <v>30.8</v>
      </c>
      <c r="AC91" s="33">
        <v>30.8</v>
      </c>
      <c r="AD91" s="33">
        <v>30.8</v>
      </c>
      <c r="AE91" s="33">
        <v>30.8</v>
      </c>
      <c r="AF91" s="33">
        <v>30.8</v>
      </c>
      <c r="AG91" s="33">
        <v>30.8</v>
      </c>
      <c r="AH91" s="33">
        <v>43.16</v>
      </c>
      <c r="AI91" s="33">
        <v>139.63</v>
      </c>
      <c r="AJ91" s="33">
        <v>114.4</v>
      </c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898</v>
      </c>
      <c r="D92" s="50" t="s">
        <v>42</v>
      </c>
      <c r="E92" s="32" t="s">
        <v>649</v>
      </c>
      <c r="F92" s="32" t="s">
        <v>927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3">
        <v>14.37</v>
      </c>
      <c r="AA92" s="33">
        <v>30.8</v>
      </c>
      <c r="AB92" s="33">
        <v>30.8</v>
      </c>
      <c r="AC92" s="33">
        <v>13.34</v>
      </c>
      <c r="AD92" s="32"/>
      <c r="AE92" s="32"/>
      <c r="AF92" s="32"/>
      <c r="AG92" s="32"/>
      <c r="AH92" s="32"/>
      <c r="AI92" s="32"/>
      <c r="AJ92" s="32"/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898</v>
      </c>
      <c r="D93" s="50" t="s">
        <v>42</v>
      </c>
      <c r="E93" s="32" t="s">
        <v>649</v>
      </c>
      <c r="F93" s="32" t="s">
        <v>928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3">
        <v>20.53</v>
      </c>
      <c r="AA93" s="33">
        <v>30.8</v>
      </c>
      <c r="AB93" s="33">
        <v>30.8</v>
      </c>
      <c r="AC93" s="33">
        <v>13.34</v>
      </c>
      <c r="AD93" s="32"/>
      <c r="AE93" s="32"/>
      <c r="AF93" s="32"/>
      <c r="AG93" s="32"/>
      <c r="AH93" s="32"/>
      <c r="AI93" s="32"/>
      <c r="AJ93" s="32"/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898</v>
      </c>
      <c r="D94" s="50" t="s">
        <v>42</v>
      </c>
      <c r="E94" s="32" t="s">
        <v>649</v>
      </c>
      <c r="F94" s="32" t="s">
        <v>929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3">
        <v>19.51</v>
      </c>
      <c r="AA94" s="33">
        <v>30.8</v>
      </c>
      <c r="AB94" s="33">
        <v>30.8</v>
      </c>
      <c r="AC94" s="33">
        <v>13.34</v>
      </c>
      <c r="AD94" s="32"/>
      <c r="AE94" s="32"/>
      <c r="AF94" s="32"/>
      <c r="AG94" s="32"/>
      <c r="AH94" s="32"/>
      <c r="AI94" s="32"/>
      <c r="AJ94" s="32"/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898</v>
      </c>
      <c r="D95" s="50" t="s">
        <v>42</v>
      </c>
      <c r="E95" s="32" t="s">
        <v>649</v>
      </c>
      <c r="F95" s="32" t="s">
        <v>930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3">
        <v>30.8</v>
      </c>
      <c r="AA95" s="33">
        <v>30.8</v>
      </c>
      <c r="AB95" s="33">
        <v>30.8</v>
      </c>
      <c r="AC95" s="33">
        <v>15.39</v>
      </c>
      <c r="AD95" s="32"/>
      <c r="AE95" s="32"/>
      <c r="AF95" s="32"/>
      <c r="AG95" s="32"/>
      <c r="AH95" s="32"/>
      <c r="AI95" s="32"/>
      <c r="AJ95" s="32"/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898</v>
      </c>
      <c r="D96" s="50" t="s">
        <v>42</v>
      </c>
      <c r="E96" s="32" t="s">
        <v>649</v>
      </c>
      <c r="F96" s="32" t="s">
        <v>931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3">
        <v>12.32</v>
      </c>
      <c r="AA96" s="33">
        <v>30.8</v>
      </c>
      <c r="AB96" s="33">
        <v>30.8</v>
      </c>
      <c r="AC96" s="33">
        <v>13.34</v>
      </c>
      <c r="AD96" s="32"/>
      <c r="AE96" s="32"/>
      <c r="AF96" s="32"/>
      <c r="AG96" s="32"/>
      <c r="AH96" s="32"/>
      <c r="AI96" s="32"/>
      <c r="AJ96" s="32"/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898</v>
      </c>
      <c r="D97" s="50" t="s">
        <v>42</v>
      </c>
      <c r="E97" s="32" t="s">
        <v>649</v>
      </c>
      <c r="F97" s="32" t="s">
        <v>932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3">
        <v>12.32</v>
      </c>
      <c r="AA97" s="33">
        <v>30.8</v>
      </c>
      <c r="AB97" s="33">
        <v>30.8</v>
      </c>
      <c r="AC97" s="33">
        <v>30.8</v>
      </c>
      <c r="AD97" s="33">
        <v>30.8</v>
      </c>
      <c r="AE97" s="33">
        <v>30.8</v>
      </c>
      <c r="AF97" s="33">
        <v>30.8</v>
      </c>
      <c r="AG97" s="33">
        <v>30.8</v>
      </c>
      <c r="AH97" s="33">
        <v>30.8</v>
      </c>
      <c r="AI97" s="33">
        <v>30.8</v>
      </c>
      <c r="AJ97" s="33">
        <v>30.8</v>
      </c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898</v>
      </c>
      <c r="D98" s="50" t="s">
        <v>42</v>
      </c>
      <c r="E98" s="32" t="s">
        <v>649</v>
      </c>
      <c r="F98" s="32" t="s">
        <v>933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3">
        <v>30.8</v>
      </c>
      <c r="AB98" s="33">
        <v>30.8</v>
      </c>
      <c r="AC98" s="33">
        <v>13.34</v>
      </c>
      <c r="AD98" s="32"/>
      <c r="AE98" s="32"/>
      <c r="AF98" s="32"/>
      <c r="AG98" s="32"/>
      <c r="AH98" s="32"/>
      <c r="AI98" s="32"/>
      <c r="AJ98" s="32"/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898</v>
      </c>
      <c r="D99" s="50" t="s">
        <v>42</v>
      </c>
      <c r="E99" s="32" t="s">
        <v>649</v>
      </c>
      <c r="F99" s="32" t="s">
        <v>934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3">
        <v>20.53</v>
      </c>
      <c r="Z99" s="33">
        <v>30.8</v>
      </c>
      <c r="AA99" s="33">
        <v>30.8</v>
      </c>
      <c r="AB99" s="33">
        <v>30.8</v>
      </c>
      <c r="AC99" s="33">
        <v>13.34</v>
      </c>
      <c r="AD99" s="32"/>
      <c r="AE99" s="32"/>
      <c r="AF99" s="32"/>
      <c r="AG99" s="32"/>
      <c r="AH99" s="32"/>
      <c r="AI99" s="32"/>
      <c r="AJ99" s="32"/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898</v>
      </c>
      <c r="D100" s="50" t="s">
        <v>42</v>
      </c>
      <c r="E100" s="32" t="s">
        <v>649</v>
      </c>
      <c r="F100" s="32" t="s">
        <v>935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>
        <v>18.48</v>
      </c>
      <c r="Z100" s="33">
        <v>30.8</v>
      </c>
      <c r="AA100" s="33">
        <v>30.8</v>
      </c>
      <c r="AB100" s="32"/>
      <c r="AC100" s="33">
        <f>1.03+30.80</f>
        <v>31.830000000000002</v>
      </c>
      <c r="AD100" s="32"/>
      <c r="AE100" s="32"/>
      <c r="AF100" s="32"/>
      <c r="AG100" s="32"/>
      <c r="AH100" s="32"/>
      <c r="AI100" s="32"/>
      <c r="AJ100" s="32"/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898</v>
      </c>
      <c r="D101" s="50" t="s">
        <v>42</v>
      </c>
      <c r="E101" s="32" t="s">
        <v>649</v>
      </c>
      <c r="F101" s="32" t="s">
        <v>936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3">
        <v>30.8</v>
      </c>
      <c r="AA101" s="33">
        <v>30.8</v>
      </c>
      <c r="AB101" s="33">
        <v>30.8</v>
      </c>
      <c r="AC101" s="33">
        <v>13.34</v>
      </c>
      <c r="AD101" s="32"/>
      <c r="AE101" s="32"/>
      <c r="AF101" s="32"/>
      <c r="AG101" s="32"/>
      <c r="AH101" s="32"/>
      <c r="AI101" s="32"/>
      <c r="AJ101" s="32"/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898</v>
      </c>
      <c r="D102" s="50" t="s">
        <v>42</v>
      </c>
      <c r="E102" s="32" t="s">
        <v>649</v>
      </c>
      <c r="F102" s="32" t="s">
        <v>937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3">
        <v>30.8</v>
      </c>
      <c r="AA102" s="33">
        <v>30.8</v>
      </c>
      <c r="AB102" s="33">
        <v>30.8</v>
      </c>
      <c r="AC102" s="33">
        <v>13.34</v>
      </c>
      <c r="AD102" s="32"/>
      <c r="AE102" s="32"/>
      <c r="AF102" s="32"/>
      <c r="AG102" s="32"/>
      <c r="AH102" s="32"/>
      <c r="AI102" s="32"/>
      <c r="AJ102" s="32"/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898</v>
      </c>
      <c r="D103" s="50" t="s">
        <v>42</v>
      </c>
      <c r="E103" s="32" t="s">
        <v>649</v>
      </c>
      <c r="F103" s="32" t="s">
        <v>938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3">
        <v>30.8</v>
      </c>
      <c r="AA103" s="33">
        <v>30.8</v>
      </c>
      <c r="AB103" s="33">
        <v>30.8</v>
      </c>
      <c r="AC103" s="33">
        <v>5.13</v>
      </c>
      <c r="AD103" s="32"/>
      <c r="AE103" s="32"/>
      <c r="AF103" s="32"/>
      <c r="AG103" s="32"/>
      <c r="AH103" s="32"/>
      <c r="AI103" s="32"/>
      <c r="AJ103" s="32"/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898</v>
      </c>
      <c r="D104" s="50" t="s">
        <v>42</v>
      </c>
      <c r="E104" s="32" t="s">
        <v>649</v>
      </c>
      <c r="F104" s="32" t="s">
        <v>939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3">
        <v>14.37</v>
      </c>
      <c r="Z104" s="33">
        <v>30.8</v>
      </c>
      <c r="AA104" s="33">
        <v>30.8</v>
      </c>
      <c r="AB104" s="33">
        <v>30.8</v>
      </c>
      <c r="AC104" s="33">
        <v>5.13</v>
      </c>
      <c r="AD104" s="32"/>
      <c r="AE104" s="32"/>
      <c r="AF104" s="32"/>
      <c r="AG104" s="32"/>
      <c r="AH104" s="32"/>
      <c r="AI104" s="32"/>
      <c r="AJ104" s="32"/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898</v>
      </c>
      <c r="D105" s="50" t="s">
        <v>42</v>
      </c>
      <c r="E105" s="32" t="s">
        <v>649</v>
      </c>
      <c r="F105" s="32" t="s">
        <v>940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3">
        <v>17.45</v>
      </c>
      <c r="Z105" s="33">
        <v>30.8</v>
      </c>
      <c r="AA105" s="33">
        <v>30.8</v>
      </c>
      <c r="AB105" s="33">
        <v>30.8</v>
      </c>
      <c r="AC105" s="33">
        <v>13.34</v>
      </c>
      <c r="AD105" s="32"/>
      <c r="AE105" s="32"/>
      <c r="AF105" s="32"/>
      <c r="AG105" s="32"/>
      <c r="AH105" s="32"/>
      <c r="AI105" s="32"/>
      <c r="AJ105" s="32"/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898</v>
      </c>
      <c r="D106" s="50" t="s">
        <v>42</v>
      </c>
      <c r="E106" s="32" t="s">
        <v>649</v>
      </c>
      <c r="F106" s="32" t="s">
        <v>941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3">
        <v>14.37</v>
      </c>
      <c r="AA106" s="33">
        <v>30.8</v>
      </c>
      <c r="AB106" s="33">
        <v>30.8</v>
      </c>
      <c r="AC106" s="33">
        <v>13.34</v>
      </c>
      <c r="AD106" s="32"/>
      <c r="AE106" s="32"/>
      <c r="AF106" s="32"/>
      <c r="AG106" s="32"/>
      <c r="AH106" s="32"/>
      <c r="AI106" s="32"/>
      <c r="AJ106" s="32"/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898</v>
      </c>
      <c r="D107" s="50" t="s">
        <v>42</v>
      </c>
      <c r="E107" s="32" t="s">
        <v>649</v>
      </c>
      <c r="F107" s="32" t="s">
        <v>942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3">
        <v>30.8</v>
      </c>
      <c r="AA107" s="33">
        <v>30.8</v>
      </c>
      <c r="AB107" s="33">
        <v>30.8</v>
      </c>
      <c r="AC107" s="33">
        <v>30.8</v>
      </c>
      <c r="AD107" s="33">
        <v>30.8</v>
      </c>
      <c r="AE107" s="33">
        <v>30.8</v>
      </c>
      <c r="AF107" s="33">
        <v>30.8</v>
      </c>
      <c r="AG107" s="33">
        <v>30.8</v>
      </c>
      <c r="AH107" s="33">
        <v>30.8</v>
      </c>
      <c r="AI107" s="32"/>
      <c r="AJ107" s="32"/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898</v>
      </c>
      <c r="D108" s="50" t="s">
        <v>42</v>
      </c>
      <c r="E108" s="32" t="s">
        <v>649</v>
      </c>
      <c r="F108" s="32" t="s">
        <v>943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3">
        <v>15.39</v>
      </c>
      <c r="AA108" s="33">
        <v>30.8</v>
      </c>
      <c r="AB108" s="33">
        <v>30.8</v>
      </c>
      <c r="AC108" s="33">
        <v>8.22</v>
      </c>
      <c r="AD108" s="32"/>
      <c r="AE108" s="32"/>
      <c r="AF108" s="32"/>
      <c r="AG108" s="32"/>
      <c r="AH108" s="32"/>
      <c r="AI108" s="32"/>
      <c r="AJ108" s="32"/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898</v>
      </c>
      <c r="D109" s="50" t="s">
        <v>42</v>
      </c>
      <c r="E109" s="32" t="s">
        <v>649</v>
      </c>
      <c r="F109" s="32" t="s">
        <v>944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3">
        <v>30.8</v>
      </c>
      <c r="AA109" s="33">
        <v>30.8</v>
      </c>
      <c r="AB109" s="33">
        <v>30.8</v>
      </c>
      <c r="AC109" s="33">
        <v>13.34</v>
      </c>
      <c r="AD109" s="32"/>
      <c r="AE109" s="32"/>
      <c r="AF109" s="32"/>
      <c r="AG109" s="32"/>
      <c r="AH109" s="32"/>
      <c r="AI109" s="32"/>
      <c r="AJ109" s="32"/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898</v>
      </c>
      <c r="D110" s="50" t="s">
        <v>42</v>
      </c>
      <c r="E110" s="32" t="s">
        <v>649</v>
      </c>
      <c r="F110" s="32" t="s">
        <v>945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3">
        <v>30.8</v>
      </c>
      <c r="AA110" s="33">
        <v>30.8</v>
      </c>
      <c r="AB110" s="33">
        <v>30.8</v>
      </c>
      <c r="AC110" s="33">
        <v>13.34</v>
      </c>
      <c r="AD110" s="32"/>
      <c r="AE110" s="32"/>
      <c r="AF110" s="32"/>
      <c r="AG110" s="32"/>
      <c r="AH110" s="32"/>
      <c r="AI110" s="32"/>
      <c r="AJ110" s="32"/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898</v>
      </c>
      <c r="D111" s="50" t="s">
        <v>42</v>
      </c>
      <c r="E111" s="32" t="s">
        <v>649</v>
      </c>
      <c r="F111" s="32" t="s">
        <v>946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3">
        <v>30.8</v>
      </c>
      <c r="AD111" s="33">
        <v>30.8</v>
      </c>
      <c r="AE111" s="33">
        <f>10.27+30.80</f>
        <v>41.07</v>
      </c>
      <c r="AF111" s="32"/>
      <c r="AG111" s="32"/>
      <c r="AH111" s="32"/>
      <c r="AI111" s="32"/>
      <c r="AJ111" s="32"/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898</v>
      </c>
      <c r="D112" s="50" t="s">
        <v>42</v>
      </c>
      <c r="E112" s="32" t="s">
        <v>649</v>
      </c>
      <c r="F112" s="32" t="s">
        <v>947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3">
        <v>21.56</v>
      </c>
      <c r="AA112" s="33">
        <v>30.8</v>
      </c>
      <c r="AB112" s="33">
        <v>30.8</v>
      </c>
      <c r="AC112" s="33">
        <v>13.34</v>
      </c>
      <c r="AD112" s="32"/>
      <c r="AE112" s="32"/>
      <c r="AF112" s="32"/>
      <c r="AG112" s="32"/>
      <c r="AH112" s="32"/>
      <c r="AI112" s="32"/>
      <c r="AJ112" s="32"/>
      <c r="AK112" s="32"/>
      <c r="AL112" s="34">
        <f>SUM(G112:AK112)</f>
      </c>
      <c r="AM112" s="35"/>
    </row>
    <row r="113" ht="13.5" customHeight="1" spans="2:39" x14ac:dyDescent="0.25">
      <c r="B113" s="48" t="s">
        <v>3</v>
      </c>
      <c r="C113" s="49" t="s">
        <v>898</v>
      </c>
      <c r="D113" s="50" t="s">
        <v>42</v>
      </c>
      <c r="E113" s="32" t="s">
        <v>649</v>
      </c>
      <c r="F113" s="32" t="s">
        <v>948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3">
        <v>30.8</v>
      </c>
      <c r="AB113" s="33">
        <v>30.8</v>
      </c>
      <c r="AC113" s="33">
        <v>13.34</v>
      </c>
      <c r="AD113" s="32"/>
      <c r="AE113" s="32"/>
      <c r="AF113" s="32"/>
      <c r="AG113" s="32"/>
      <c r="AH113" s="32"/>
      <c r="AI113" s="32"/>
      <c r="AJ113" s="32"/>
      <c r="AK113" s="32"/>
      <c r="AL113" s="34">
        <f>SUM(G113:AK113)</f>
      </c>
      <c r="AM113" s="35"/>
    </row>
    <row r="114" ht="13.5" customHeight="1" spans="2:39" x14ac:dyDescent="0.25">
      <c r="B114" s="48" t="s">
        <v>3</v>
      </c>
      <c r="C114" s="49" t="s">
        <v>898</v>
      </c>
      <c r="D114" s="50" t="s">
        <v>42</v>
      </c>
      <c r="E114" s="32" t="s">
        <v>649</v>
      </c>
      <c r="F114" s="32" t="s">
        <v>949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3">
        <v>30.8</v>
      </c>
      <c r="AA114" s="33">
        <v>30.8</v>
      </c>
      <c r="AB114" s="33">
        <v>30.8</v>
      </c>
      <c r="AC114" s="33">
        <v>13.34</v>
      </c>
      <c r="AD114" s="32"/>
      <c r="AE114" s="32"/>
      <c r="AF114" s="32"/>
      <c r="AG114" s="32"/>
      <c r="AH114" s="32"/>
      <c r="AI114" s="32"/>
      <c r="AJ114" s="32"/>
      <c r="AK114" s="32"/>
      <c r="AL114" s="34">
        <f>SUM(G114:AK114)</f>
      </c>
      <c r="AM114" s="35"/>
    </row>
    <row r="115" ht="13.5" customHeight="1" spans="2:39" x14ac:dyDescent="0.25">
      <c r="B115" s="48" t="s">
        <v>3</v>
      </c>
      <c r="C115" s="49" t="s">
        <v>898</v>
      </c>
      <c r="D115" s="50" t="s">
        <v>42</v>
      </c>
      <c r="E115" s="32" t="s">
        <v>649</v>
      </c>
      <c r="F115" s="32" t="s">
        <v>950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3">
        <v>30.8</v>
      </c>
      <c r="AA115" s="33">
        <v>30.8</v>
      </c>
      <c r="AB115" s="33">
        <v>30.8</v>
      </c>
      <c r="AC115" s="33">
        <v>6.16</v>
      </c>
      <c r="AD115" s="32"/>
      <c r="AE115" s="32"/>
      <c r="AF115" s="32"/>
      <c r="AG115" s="32"/>
      <c r="AH115" s="32"/>
      <c r="AI115" s="32"/>
      <c r="AJ115" s="32"/>
      <c r="AK115" s="32"/>
      <c r="AL115" s="34">
        <f>SUM(G115:AK115)</f>
      </c>
      <c r="AM115" s="35"/>
    </row>
    <row r="116" ht="13.5" customHeight="1" spans="2:39" x14ac:dyDescent="0.25">
      <c r="B116" s="48" t="s">
        <v>3</v>
      </c>
      <c r="C116" s="49" t="s">
        <v>898</v>
      </c>
      <c r="D116" s="50" t="s">
        <v>42</v>
      </c>
      <c r="E116" s="32" t="s">
        <v>649</v>
      </c>
      <c r="F116" s="32" t="s">
        <v>951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3">
        <v>30.8</v>
      </c>
      <c r="AA116" s="33">
        <v>30.8</v>
      </c>
      <c r="AB116" s="33">
        <v>30.8</v>
      </c>
      <c r="AC116" s="33">
        <v>13.34</v>
      </c>
      <c r="AD116" s="32"/>
      <c r="AE116" s="32"/>
      <c r="AF116" s="32"/>
      <c r="AG116" s="32"/>
      <c r="AH116" s="32"/>
      <c r="AI116" s="32"/>
      <c r="AJ116" s="32"/>
      <c r="AK116" s="32"/>
      <c r="AL116" s="34">
        <f>SUM(G116:AK116)</f>
      </c>
      <c r="AM116" s="35"/>
    </row>
    <row r="117" ht="13.5" customHeight="1" spans="2:39" x14ac:dyDescent="0.25">
      <c r="B117" s="48" t="s">
        <v>3</v>
      </c>
      <c r="C117" s="49" t="s">
        <v>898</v>
      </c>
      <c r="D117" s="50" t="s">
        <v>42</v>
      </c>
      <c r="E117" s="32" t="s">
        <v>649</v>
      </c>
      <c r="F117" s="32" t="s">
        <v>952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3">
        <v>24.64</v>
      </c>
      <c r="AD117" s="33">
        <v>30.8</v>
      </c>
      <c r="AE117" s="33">
        <f>25.66+30.80</f>
        <v>56.46</v>
      </c>
      <c r="AF117" s="32"/>
      <c r="AG117" s="32"/>
      <c r="AH117" s="32"/>
      <c r="AI117" s="32"/>
      <c r="AJ117" s="32"/>
      <c r="AK117" s="32"/>
      <c r="AL117" s="34">
        <f>SUM(G117:AK117)</f>
      </c>
      <c r="AM117" s="35"/>
    </row>
    <row r="118" ht="13.5" customHeight="1" spans="2:39" x14ac:dyDescent="0.25">
      <c r="B118" s="48" t="s">
        <v>3</v>
      </c>
      <c r="C118" s="49" t="s">
        <v>898</v>
      </c>
      <c r="D118" s="50" t="s">
        <v>42</v>
      </c>
      <c r="E118" s="32" t="s">
        <v>649</v>
      </c>
      <c r="F118" s="32" t="s">
        <v>953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3">
        <v>15</v>
      </c>
      <c r="AA118" s="33">
        <v>31.19</v>
      </c>
      <c r="AB118" s="33">
        <v>30.8</v>
      </c>
      <c r="AC118" s="33">
        <v>2.05</v>
      </c>
      <c r="AD118" s="32"/>
      <c r="AE118" s="32"/>
      <c r="AF118" s="32"/>
      <c r="AG118" s="32"/>
      <c r="AH118" s="32"/>
      <c r="AI118" s="32"/>
      <c r="AJ118" s="32"/>
      <c r="AK118" s="32"/>
      <c r="AL118" s="34">
        <f>SUM(G118:AK118)</f>
      </c>
      <c r="AM118" s="35"/>
    </row>
    <row r="119" ht="13.5" customHeight="1" spans="2:39" x14ac:dyDescent="0.25">
      <c r="B119" s="48" t="s">
        <v>3</v>
      </c>
      <c r="C119" s="49" t="s">
        <v>898</v>
      </c>
      <c r="D119" s="50" t="s">
        <v>42</v>
      </c>
      <c r="E119" s="32" t="s">
        <v>649</v>
      </c>
      <c r="F119" s="32" t="s">
        <v>954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3">
        <v>30.8</v>
      </c>
      <c r="AA119" s="33">
        <v>30.8</v>
      </c>
      <c r="AB119" s="33">
        <v>30.8</v>
      </c>
      <c r="AC119" s="33">
        <v>13.34</v>
      </c>
      <c r="AD119" s="32"/>
      <c r="AE119" s="32"/>
      <c r="AF119" s="32"/>
      <c r="AG119" s="32"/>
      <c r="AH119" s="32"/>
      <c r="AI119" s="32"/>
      <c r="AJ119" s="32"/>
      <c r="AK119" s="32"/>
      <c r="AL119" s="34">
        <f>SUM(G119:AK119)</f>
      </c>
      <c r="AM119" s="35"/>
    </row>
    <row r="120" ht="13.5" customHeight="1" spans="2:39" x14ac:dyDescent="0.25">
      <c r="B120" s="48" t="s">
        <v>3</v>
      </c>
      <c r="C120" s="49" t="s">
        <v>898</v>
      </c>
      <c r="D120" s="50" t="s">
        <v>42</v>
      </c>
      <c r="E120" s="32" t="s">
        <v>649</v>
      </c>
      <c r="F120" s="32" t="s">
        <v>955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3">
        <v>14.37</v>
      </c>
      <c r="AA120" s="33">
        <v>30.8</v>
      </c>
      <c r="AB120" s="33">
        <v>30.8</v>
      </c>
      <c r="AC120" s="33">
        <v>13.34</v>
      </c>
      <c r="AD120" s="32"/>
      <c r="AE120" s="32"/>
      <c r="AF120" s="32"/>
      <c r="AG120" s="32"/>
      <c r="AH120" s="32"/>
      <c r="AI120" s="32"/>
      <c r="AJ120" s="32"/>
      <c r="AK120" s="32"/>
      <c r="AL120" s="34">
        <f>SUM(G120:AK120)</f>
      </c>
      <c r="AM120" s="35"/>
    </row>
    <row r="121" ht="13.5" customHeight="1" spans="2:39" x14ac:dyDescent="0.25">
      <c r="B121" s="48" t="s">
        <v>3</v>
      </c>
      <c r="C121" s="49" t="s">
        <v>898</v>
      </c>
      <c r="D121" s="50" t="s">
        <v>42</v>
      </c>
      <c r="E121" s="32" t="s">
        <v>649</v>
      </c>
      <c r="F121" s="32" t="s">
        <v>956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3">
        <v>30.8</v>
      </c>
      <c r="AA121" s="33">
        <v>30.8</v>
      </c>
      <c r="AB121" s="33">
        <v>30.8</v>
      </c>
      <c r="AC121" s="33">
        <v>13.34</v>
      </c>
      <c r="AD121" s="32"/>
      <c r="AE121" s="32"/>
      <c r="AF121" s="32"/>
      <c r="AG121" s="32"/>
      <c r="AH121" s="32"/>
      <c r="AI121" s="32"/>
      <c r="AJ121" s="32"/>
      <c r="AK121" s="32"/>
      <c r="AL121" s="34">
        <f>SUM(G121:AK121)</f>
      </c>
      <c r="AM121" s="35"/>
    </row>
    <row r="122" ht="13.5" customHeight="1" spans="2:39" x14ac:dyDescent="0.25">
      <c r="B122" s="48" t="s">
        <v>3</v>
      </c>
      <c r="C122" s="49" t="s">
        <v>898</v>
      </c>
      <c r="D122" s="50" t="s">
        <v>42</v>
      </c>
      <c r="E122" s="32" t="s">
        <v>649</v>
      </c>
      <c r="F122" s="32" t="s">
        <v>957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3">
        <v>14.37</v>
      </c>
      <c r="AA122" s="33">
        <v>30.8</v>
      </c>
      <c r="AB122" s="33">
        <v>30.8</v>
      </c>
      <c r="AC122" s="33">
        <v>13.34</v>
      </c>
      <c r="AD122" s="32"/>
      <c r="AE122" s="32"/>
      <c r="AF122" s="32"/>
      <c r="AG122" s="32"/>
      <c r="AH122" s="32"/>
      <c r="AI122" s="32"/>
      <c r="AJ122" s="32"/>
      <c r="AK122" s="32"/>
      <c r="AL122" s="34">
        <f>SUM(G122:AK122)</f>
      </c>
      <c r="AM122" s="35"/>
    </row>
    <row r="123" ht="13.5" customHeight="1" spans="2:39" x14ac:dyDescent="0.25">
      <c r="B123" s="48" t="s">
        <v>3</v>
      </c>
      <c r="C123" s="49" t="s">
        <v>898</v>
      </c>
      <c r="D123" s="50" t="s">
        <v>42</v>
      </c>
      <c r="E123" s="32" t="s">
        <v>649</v>
      </c>
      <c r="F123" s="32" t="s">
        <v>958</v>
      </c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3">
        <v>30.8</v>
      </c>
      <c r="AA123" s="33">
        <v>30.8</v>
      </c>
      <c r="AB123" s="33">
        <v>30.8</v>
      </c>
      <c r="AC123" s="33">
        <v>13.34</v>
      </c>
      <c r="AD123" s="32"/>
      <c r="AE123" s="32"/>
      <c r="AF123" s="32"/>
      <c r="AG123" s="32"/>
      <c r="AH123" s="32"/>
      <c r="AI123" s="32"/>
      <c r="AJ123" s="32"/>
      <c r="AK123" s="32"/>
      <c r="AL123" s="34">
        <f>SUM(G123:AK123)</f>
      </c>
      <c r="AM123" s="35"/>
    </row>
    <row r="124" ht="13.5" customHeight="1" spans="2:39" x14ac:dyDescent="0.25">
      <c r="B124" s="48" t="s">
        <v>3</v>
      </c>
      <c r="C124" s="49" t="s">
        <v>898</v>
      </c>
      <c r="D124" s="50" t="s">
        <v>42</v>
      </c>
      <c r="E124" s="32" t="s">
        <v>649</v>
      </c>
      <c r="F124" s="32" t="s">
        <v>959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3">
        <v>30.8</v>
      </c>
      <c r="AA124" s="33">
        <v>30.8</v>
      </c>
      <c r="AB124" s="33">
        <v>30.8</v>
      </c>
      <c r="AC124" s="33">
        <v>8.22</v>
      </c>
      <c r="AD124" s="32"/>
      <c r="AE124" s="32"/>
      <c r="AF124" s="32"/>
      <c r="AG124" s="32"/>
      <c r="AH124" s="32"/>
      <c r="AI124" s="32"/>
      <c r="AJ124" s="32"/>
      <c r="AK124" s="32"/>
      <c r="AL124" s="34">
        <f>SUM(G124:AK124)</f>
      </c>
      <c r="AM124" s="35"/>
    </row>
    <row r="125" ht="13.5" customHeight="1" spans="2:39" x14ac:dyDescent="0.25">
      <c r="B125" s="48" t="s">
        <v>3</v>
      </c>
      <c r="C125" s="49" t="s">
        <v>898</v>
      </c>
      <c r="D125" s="50" t="s">
        <v>42</v>
      </c>
      <c r="E125" s="32" t="s">
        <v>649</v>
      </c>
      <c r="F125" s="32" t="s">
        <v>960</v>
      </c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3">
        <v>21.56</v>
      </c>
      <c r="AA125" s="33">
        <v>30.8</v>
      </c>
      <c r="AB125" s="33">
        <v>30.8</v>
      </c>
      <c r="AC125" s="33">
        <v>13.34</v>
      </c>
      <c r="AD125" s="32"/>
      <c r="AE125" s="32"/>
      <c r="AF125" s="32"/>
      <c r="AG125" s="32"/>
      <c r="AH125" s="32"/>
      <c r="AI125" s="32"/>
      <c r="AJ125" s="32"/>
      <c r="AK125" s="32"/>
      <c r="AL125" s="34">
        <f>SUM(G125:AK125)</f>
      </c>
      <c r="AM125" s="35"/>
    </row>
    <row r="126" ht="13.5" customHeight="1" spans="2:39" x14ac:dyDescent="0.25">
      <c r="B126" s="48" t="s">
        <v>3</v>
      </c>
      <c r="C126" s="49" t="s">
        <v>898</v>
      </c>
      <c r="D126" s="50" t="s">
        <v>42</v>
      </c>
      <c r="E126" s="32" t="s">
        <v>649</v>
      </c>
      <c r="F126" s="32" t="s">
        <v>961</v>
      </c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3">
        <v>30.8</v>
      </c>
      <c r="AA126" s="33">
        <v>30.8</v>
      </c>
      <c r="AB126" s="33">
        <v>30.8</v>
      </c>
      <c r="AC126" s="33">
        <v>13.34</v>
      </c>
      <c r="AD126" s="32"/>
      <c r="AE126" s="32"/>
      <c r="AF126" s="32"/>
      <c r="AG126" s="32"/>
      <c r="AH126" s="32"/>
      <c r="AI126" s="32"/>
      <c r="AJ126" s="32"/>
      <c r="AK126" s="32"/>
      <c r="AL126" s="34">
        <f>SUM(G126:AK126)</f>
      </c>
      <c r="AM126" s="35"/>
    </row>
    <row r="127" ht="13.5" customHeight="1" spans="2:39" x14ac:dyDescent="0.25">
      <c r="B127" s="48" t="s">
        <v>3</v>
      </c>
      <c r="C127" s="49" t="s">
        <v>898</v>
      </c>
      <c r="D127" s="50" t="s">
        <v>42</v>
      </c>
      <c r="E127" s="32" t="s">
        <v>649</v>
      </c>
      <c r="F127" s="32" t="s">
        <v>962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3">
        <v>30.8</v>
      </c>
      <c r="AA127" s="33">
        <v>30.8</v>
      </c>
      <c r="AB127" s="33">
        <v>30.8</v>
      </c>
      <c r="AC127" s="33">
        <v>13.34</v>
      </c>
      <c r="AD127" s="32"/>
      <c r="AE127" s="32"/>
      <c r="AF127" s="32"/>
      <c r="AG127" s="32"/>
      <c r="AH127" s="32"/>
      <c r="AI127" s="32"/>
      <c r="AJ127" s="32"/>
      <c r="AK127" s="32"/>
      <c r="AL127" s="34">
        <f>SUM(G127:AK127)</f>
      </c>
      <c r="AM127" s="35"/>
    </row>
    <row r="128" ht="13.5" customHeight="1" spans="2:39" x14ac:dyDescent="0.25">
      <c r="B128" s="48" t="s">
        <v>3</v>
      </c>
      <c r="C128" s="49" t="s">
        <v>898</v>
      </c>
      <c r="D128" s="50" t="s">
        <v>42</v>
      </c>
      <c r="E128" s="32" t="s">
        <v>649</v>
      </c>
      <c r="F128" s="32" t="s">
        <v>963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3">
        <v>30.8</v>
      </c>
      <c r="AA128" s="33">
        <v>30.8</v>
      </c>
      <c r="AB128" s="33">
        <v>30.8</v>
      </c>
      <c r="AC128" s="33">
        <v>13.34</v>
      </c>
      <c r="AD128" s="32"/>
      <c r="AE128" s="32"/>
      <c r="AF128" s="32"/>
      <c r="AG128" s="32"/>
      <c r="AH128" s="32"/>
      <c r="AI128" s="32"/>
      <c r="AJ128" s="32"/>
      <c r="AK128" s="32"/>
      <c r="AL128" s="34">
        <f>SUM(G128:AK128)</f>
      </c>
      <c r="AM128" s="35"/>
    </row>
    <row r="129" ht="13.5" customHeight="1" spans="2:39" x14ac:dyDescent="0.25">
      <c r="B129" s="48" t="s">
        <v>3</v>
      </c>
      <c r="C129" s="49" t="s">
        <v>898</v>
      </c>
      <c r="D129" s="50" t="s">
        <v>42</v>
      </c>
      <c r="E129" s="32" t="s">
        <v>649</v>
      </c>
      <c r="F129" s="32" t="s">
        <v>964</v>
      </c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3">
        <v>25.66</v>
      </c>
      <c r="AA129" s="33">
        <v>30.8</v>
      </c>
      <c r="AB129" s="33">
        <v>30.8</v>
      </c>
      <c r="AC129" s="33">
        <v>13.34</v>
      </c>
      <c r="AD129" s="32"/>
      <c r="AE129" s="32"/>
      <c r="AF129" s="32"/>
      <c r="AG129" s="32"/>
      <c r="AH129" s="32"/>
      <c r="AI129" s="32"/>
      <c r="AJ129" s="32"/>
      <c r="AK129" s="32"/>
      <c r="AL129" s="34">
        <f>SUM(G129:AK129)</f>
      </c>
      <c r="AM129" s="35"/>
    </row>
    <row r="130" ht="13.5" customHeight="1" spans="2:39" x14ac:dyDescent="0.25">
      <c r="B130" s="48" t="s">
        <v>3</v>
      </c>
      <c r="C130" s="49" t="s">
        <v>898</v>
      </c>
      <c r="D130" s="50" t="s">
        <v>42</v>
      </c>
      <c r="E130" s="32" t="s">
        <v>649</v>
      </c>
      <c r="F130" s="32" t="s">
        <v>965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3">
        <v>16.42</v>
      </c>
      <c r="AA130" s="33">
        <v>30.8</v>
      </c>
      <c r="AB130" s="32"/>
      <c r="AC130" s="33">
        <f>1.03+30.80</f>
        <v>31.830000000000002</v>
      </c>
      <c r="AD130" s="32"/>
      <c r="AE130" s="32"/>
      <c r="AF130" s="32"/>
      <c r="AG130" s="32"/>
      <c r="AH130" s="32"/>
      <c r="AI130" s="32"/>
      <c r="AJ130" s="32"/>
      <c r="AK130" s="32"/>
      <c r="AL130" s="34">
        <f>SUM(G130:AK130)</f>
      </c>
      <c r="AM130" s="35"/>
    </row>
    <row r="131" ht="13.5" customHeight="1" spans="2:39" x14ac:dyDescent="0.25">
      <c r="B131" s="48" t="s">
        <v>3</v>
      </c>
      <c r="C131" s="49" t="s">
        <v>898</v>
      </c>
      <c r="D131" s="50" t="s">
        <v>42</v>
      </c>
      <c r="E131" s="32" t="s">
        <v>649</v>
      </c>
      <c r="F131" s="32" t="s">
        <v>966</v>
      </c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3">
        <v>30.8</v>
      </c>
      <c r="AA131" s="33">
        <v>30.8</v>
      </c>
      <c r="AB131" s="33">
        <v>30.8</v>
      </c>
      <c r="AC131" s="33">
        <v>13.34</v>
      </c>
      <c r="AD131" s="32"/>
      <c r="AE131" s="32"/>
      <c r="AF131" s="32"/>
      <c r="AG131" s="32"/>
      <c r="AH131" s="32"/>
      <c r="AI131" s="32"/>
      <c r="AJ131" s="32"/>
      <c r="AK131" s="32"/>
      <c r="AL131" s="34">
        <f>SUM(G131:AK131)</f>
      </c>
      <c r="AM131" s="35"/>
    </row>
    <row r="132" ht="13.5" customHeight="1" spans="2:39" x14ac:dyDescent="0.25">
      <c r="B132" s="48" t="s">
        <v>3</v>
      </c>
      <c r="C132" s="49" t="s">
        <v>898</v>
      </c>
      <c r="D132" s="50" t="s">
        <v>42</v>
      </c>
      <c r="E132" s="32" t="s">
        <v>649</v>
      </c>
      <c r="F132" s="32" t="s">
        <v>967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3">
        <v>30.8</v>
      </c>
      <c r="AB132" s="33">
        <v>30.8</v>
      </c>
      <c r="AC132" s="33">
        <v>13.34</v>
      </c>
      <c r="AD132" s="32"/>
      <c r="AE132" s="32"/>
      <c r="AF132" s="32"/>
      <c r="AG132" s="32"/>
      <c r="AH132" s="32"/>
      <c r="AI132" s="32"/>
      <c r="AJ132" s="32"/>
      <c r="AK132" s="32"/>
      <c r="AL132" s="34">
        <f>SUM(G132:AK132)</f>
      </c>
      <c r="AM132" s="35"/>
    </row>
    <row r="133" ht="13.5" customHeight="1" spans="2:39" x14ac:dyDescent="0.25">
      <c r="B133" s="48" t="s">
        <v>3</v>
      </c>
      <c r="C133" s="49" t="s">
        <v>898</v>
      </c>
      <c r="D133" s="50" t="s">
        <v>42</v>
      </c>
      <c r="E133" s="32" t="s">
        <v>649</v>
      </c>
      <c r="F133" s="32" t="s">
        <v>968</v>
      </c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3">
        <v>16.42</v>
      </c>
      <c r="AA133" s="33">
        <v>30.8</v>
      </c>
      <c r="AB133" s="33">
        <v>30.8</v>
      </c>
      <c r="AC133" s="33">
        <v>13.34</v>
      </c>
      <c r="AD133" s="32"/>
      <c r="AE133" s="32"/>
      <c r="AF133" s="32"/>
      <c r="AG133" s="32"/>
      <c r="AH133" s="32"/>
      <c r="AI133" s="32"/>
      <c r="AJ133" s="32"/>
      <c r="AK133" s="32"/>
      <c r="AL133" s="34">
        <f>SUM(G133:AK133)</f>
      </c>
      <c r="AM133" s="35"/>
    </row>
    <row r="134" ht="13.5" customHeight="1" spans="2:39" x14ac:dyDescent="0.25">
      <c r="B134" s="48" t="s">
        <v>3</v>
      </c>
      <c r="C134" s="49" t="s">
        <v>898</v>
      </c>
      <c r="D134" s="50" t="s">
        <v>42</v>
      </c>
      <c r="E134" s="32" t="s">
        <v>649</v>
      </c>
      <c r="F134" s="32" t="s">
        <v>969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3">
        <v>30.8</v>
      </c>
      <c r="AA134" s="33">
        <v>30.8</v>
      </c>
      <c r="AB134" s="33">
        <v>30.8</v>
      </c>
      <c r="AC134" s="33">
        <v>13.34</v>
      </c>
      <c r="AD134" s="32"/>
      <c r="AE134" s="32"/>
      <c r="AF134" s="32"/>
      <c r="AG134" s="32"/>
      <c r="AH134" s="32"/>
      <c r="AI134" s="32"/>
      <c r="AJ134" s="32"/>
      <c r="AK134" s="32"/>
      <c r="AL134" s="34">
        <f>SUM(G134:AK134)</f>
      </c>
      <c r="AM134" s="35"/>
    </row>
    <row r="135" ht="13.5" customHeight="1" spans="2:39" x14ac:dyDescent="0.25">
      <c r="B135" s="48" t="s">
        <v>3</v>
      </c>
      <c r="C135" s="49" t="s">
        <v>898</v>
      </c>
      <c r="D135" s="50" t="s">
        <v>42</v>
      </c>
      <c r="E135" s="32" t="s">
        <v>649</v>
      </c>
      <c r="F135" s="32" t="s">
        <v>970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3">
        <v>14.37</v>
      </c>
      <c r="AA135" s="33">
        <v>30.8</v>
      </c>
      <c r="AB135" s="33">
        <v>30.8</v>
      </c>
      <c r="AC135" s="33">
        <v>13.34</v>
      </c>
      <c r="AD135" s="32"/>
      <c r="AE135" s="32"/>
      <c r="AF135" s="32"/>
      <c r="AG135" s="32"/>
      <c r="AH135" s="32"/>
      <c r="AI135" s="32"/>
      <c r="AJ135" s="32"/>
      <c r="AK135" s="32"/>
      <c r="AL135" s="34">
        <f>SUM(G135:AK135)</f>
      </c>
      <c r="AM135" s="35"/>
    </row>
    <row r="136" ht="13.5" customHeight="1" spans="2:39" x14ac:dyDescent="0.25">
      <c r="B136" s="48" t="s">
        <v>3</v>
      </c>
      <c r="C136" s="49" t="s">
        <v>898</v>
      </c>
      <c r="D136" s="50" t="s">
        <v>42</v>
      </c>
      <c r="E136" s="32" t="s">
        <v>649</v>
      </c>
      <c r="F136" s="32" t="s">
        <v>971</v>
      </c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3">
        <v>30.8</v>
      </c>
      <c r="Z136" s="33">
        <v>30.8</v>
      </c>
      <c r="AA136" s="33">
        <v>30.8</v>
      </c>
      <c r="AB136" s="33">
        <v>30.8</v>
      </c>
      <c r="AC136" s="33">
        <v>30.8</v>
      </c>
      <c r="AD136" s="33">
        <v>30.8</v>
      </c>
      <c r="AE136" s="33">
        <f>4.53+30.80</f>
        <v>35.33</v>
      </c>
      <c r="AF136" s="32"/>
      <c r="AG136" s="32"/>
      <c r="AH136" s="32"/>
      <c r="AI136" s="32"/>
      <c r="AJ136" s="32"/>
      <c r="AK136" s="32"/>
      <c r="AL136" s="34">
        <f>SUM(G136:AK136)</f>
      </c>
      <c r="AM136" s="35"/>
    </row>
    <row r="137" ht="13.5" customHeight="1" spans="2:39" x14ac:dyDescent="0.25">
      <c r="B137" s="48" t="s">
        <v>3</v>
      </c>
      <c r="C137" s="49" t="s">
        <v>898</v>
      </c>
      <c r="D137" s="50" t="s">
        <v>42</v>
      </c>
      <c r="E137" s="32" t="s">
        <v>649</v>
      </c>
      <c r="F137" s="32" t="s">
        <v>972</v>
      </c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3">
        <v>18.48</v>
      </c>
      <c r="AA137" s="33">
        <v>30.8</v>
      </c>
      <c r="AB137" s="33">
        <v>30.8</v>
      </c>
      <c r="AC137" s="33">
        <v>13.34</v>
      </c>
      <c r="AD137" s="32"/>
      <c r="AE137" s="32"/>
      <c r="AF137" s="32"/>
      <c r="AG137" s="32"/>
      <c r="AH137" s="32"/>
      <c r="AI137" s="32"/>
      <c r="AJ137" s="32"/>
      <c r="AK137" s="32"/>
      <c r="AL137" s="34">
        <f>SUM(G137:AK137)</f>
      </c>
      <c r="AM137" s="35"/>
    </row>
    <row r="138" ht="13.5" customHeight="1" spans="2:39" x14ac:dyDescent="0.25">
      <c r="B138" s="48" t="s">
        <v>3</v>
      </c>
      <c r="C138" s="49" t="s">
        <v>898</v>
      </c>
      <c r="D138" s="50" t="s">
        <v>42</v>
      </c>
      <c r="E138" s="32" t="s">
        <v>649</v>
      </c>
      <c r="F138" s="32" t="s">
        <v>973</v>
      </c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3">
        <v>21.56</v>
      </c>
      <c r="AA138" s="33">
        <v>30.8</v>
      </c>
      <c r="AB138" s="33">
        <v>30.8</v>
      </c>
      <c r="AC138" s="33">
        <v>13.34</v>
      </c>
      <c r="AD138" s="32"/>
      <c r="AE138" s="32"/>
      <c r="AF138" s="32"/>
      <c r="AG138" s="32"/>
      <c r="AH138" s="32"/>
      <c r="AI138" s="32"/>
      <c r="AJ138" s="32"/>
      <c r="AK138" s="32"/>
      <c r="AL138" s="34">
        <f>SUM(G138:AK138)</f>
      </c>
      <c r="AM138" s="35"/>
    </row>
    <row r="139" ht="13.5" customHeight="1" spans="2:39" x14ac:dyDescent="0.25">
      <c r="B139" s="48" t="s">
        <v>3</v>
      </c>
      <c r="C139" s="49" t="s">
        <v>898</v>
      </c>
      <c r="D139" s="50" t="s">
        <v>42</v>
      </c>
      <c r="E139" s="32" t="s">
        <v>649</v>
      </c>
      <c r="F139" s="32" t="s">
        <v>974</v>
      </c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3">
        <v>72.51</v>
      </c>
      <c r="AH139" s="33">
        <v>19.79</v>
      </c>
      <c r="AI139" s="33">
        <v>32.13</v>
      </c>
      <c r="AJ139" s="33">
        <v>44.06</v>
      </c>
      <c r="AK139" s="32"/>
      <c r="AL139" s="34">
        <f>SUM(G139:AK139)</f>
      </c>
      <c r="AM139" s="35"/>
    </row>
    <row r="140" ht="13.5" customHeight="1" spans="2:39" x14ac:dyDescent="0.25">
      <c r="B140" s="48" t="s">
        <v>3</v>
      </c>
      <c r="C140" s="49" t="s">
        <v>898</v>
      </c>
      <c r="D140" s="50" t="s">
        <v>42</v>
      </c>
      <c r="E140" s="32" t="s">
        <v>649</v>
      </c>
      <c r="F140" s="32" t="s">
        <v>975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3">
        <v>9.24</v>
      </c>
      <c r="AI140" s="32"/>
      <c r="AJ140" s="32"/>
      <c r="AK140" s="32"/>
      <c r="AL140" s="34">
        <f>SUM(G140:AK140)</f>
      </c>
      <c r="AM140" s="35"/>
    </row>
    <row r="141" ht="13.5" customHeight="1" spans="2:39" x14ac:dyDescent="0.25">
      <c r="B141" s="48" t="s">
        <v>3</v>
      </c>
      <c r="C141" s="49" t="s">
        <v>898</v>
      </c>
      <c r="D141" s="50" t="s">
        <v>42</v>
      </c>
      <c r="E141" s="32" t="s">
        <v>649</v>
      </c>
      <c r="F141" s="32" t="s">
        <v>976</v>
      </c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3">
        <v>9.24</v>
      </c>
      <c r="AI141" s="32"/>
      <c r="AJ141" s="32"/>
      <c r="AK141" s="32"/>
      <c r="AL141" s="34">
        <f>SUM(G141:AK141)</f>
      </c>
      <c r="AM141" s="35"/>
    </row>
    <row r="142" ht="13.5" customHeight="1" spans="2:39" x14ac:dyDescent="0.25">
      <c r="B142" s="48" t="s">
        <v>3</v>
      </c>
      <c r="C142" s="49" t="s">
        <v>898</v>
      </c>
      <c r="D142" s="50" t="s">
        <v>42</v>
      </c>
      <c r="E142" s="32" t="s">
        <v>649</v>
      </c>
      <c r="F142" s="32" t="s">
        <v>977</v>
      </c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3">
        <v>9.24</v>
      </c>
      <c r="AI142" s="32"/>
      <c r="AJ142" s="32"/>
      <c r="AK142" s="32"/>
      <c r="AL142" s="34">
        <f>SUM(G142:AK142)</f>
      </c>
      <c r="AM142" s="35"/>
    </row>
    <row r="143" ht="13.5" customHeight="1" spans="2:39" x14ac:dyDescent="0.25">
      <c r="B143" s="48" t="s">
        <v>3</v>
      </c>
      <c r="C143" s="49" t="s">
        <v>898</v>
      </c>
      <c r="D143" s="50" t="s">
        <v>42</v>
      </c>
      <c r="E143" s="32" t="s">
        <v>649</v>
      </c>
      <c r="F143" s="32" t="s">
        <v>978</v>
      </c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3">
        <v>9.24</v>
      </c>
      <c r="AI143" s="32"/>
      <c r="AJ143" s="32"/>
      <c r="AK143" s="32"/>
      <c r="AL143" s="34">
        <f>SUM(G143:AK143)</f>
      </c>
      <c r="AM143" s="35"/>
    </row>
    <row r="144" ht="13.5" customHeight="1" spans="2:39" x14ac:dyDescent="0.25">
      <c r="B144" s="48" t="s">
        <v>3</v>
      </c>
      <c r="C144" s="49" t="s">
        <v>898</v>
      </c>
      <c r="D144" s="50" t="s">
        <v>42</v>
      </c>
      <c r="E144" s="32" t="s">
        <v>649</v>
      </c>
      <c r="F144" s="32" t="s">
        <v>979</v>
      </c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3">
        <v>9.24</v>
      </c>
      <c r="AI144" s="32"/>
      <c r="AJ144" s="32"/>
      <c r="AK144" s="32"/>
      <c r="AL144" s="34">
        <f>SUM(G144:AK144)</f>
      </c>
      <c r="AM144" s="35"/>
    </row>
    <row r="145" ht="13.5" customHeight="1" spans="2:39" x14ac:dyDescent="0.25">
      <c r="B145" s="48" t="s">
        <v>3</v>
      </c>
      <c r="C145" s="49" t="s">
        <v>898</v>
      </c>
      <c r="D145" s="50" t="s">
        <v>42</v>
      </c>
      <c r="E145" s="32" t="s">
        <v>649</v>
      </c>
      <c r="F145" s="32" t="s">
        <v>980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3">
        <v>7.19</v>
      </c>
      <c r="AI145" s="32"/>
      <c r="AJ145" s="32"/>
      <c r="AK145" s="32"/>
      <c r="AL145" s="34">
        <f>SUM(G145:AK145)</f>
      </c>
      <c r="AM145" s="35"/>
    </row>
    <row r="146" ht="13.5" customHeight="1" spans="2:39" x14ac:dyDescent="0.25">
      <c r="B146" s="48" t="s">
        <v>3</v>
      </c>
      <c r="C146" s="49" t="s">
        <v>898</v>
      </c>
      <c r="D146" s="50" t="s">
        <v>42</v>
      </c>
      <c r="E146" s="32" t="s">
        <v>649</v>
      </c>
      <c r="F146" s="32" t="s">
        <v>981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3">
        <v>97.14</v>
      </c>
      <c r="AI146" s="33">
        <v>198.42</v>
      </c>
      <c r="AJ146" s="33">
        <v>132.41</v>
      </c>
      <c r="AK146" s="32"/>
      <c r="AL146" s="34">
        <f>SUM(G146:AK146)</f>
      </c>
      <c r="AM146" s="35"/>
    </row>
    <row r="147" ht="13.5" customHeight="1" spans="2:39" x14ac:dyDescent="0.25">
      <c r="B147" s="48" t="s">
        <v>3</v>
      </c>
      <c r="C147" s="49" t="s">
        <v>898</v>
      </c>
      <c r="D147" s="50" t="s">
        <v>42</v>
      </c>
      <c r="E147" s="32" t="s">
        <v>649</v>
      </c>
      <c r="F147" s="32" t="s">
        <v>982</v>
      </c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3">
        <v>58.55</v>
      </c>
      <c r="AI147" s="33">
        <v>194.89</v>
      </c>
      <c r="AJ147" s="33">
        <v>55.99</v>
      </c>
      <c r="AK147" s="32"/>
      <c r="AL147" s="34">
        <f>SUM(G147:AK147)</f>
      </c>
      <c r="AM147" s="35"/>
    </row>
    <row r="148" ht="13.5" customHeight="1" spans="2:39" x14ac:dyDescent="0.25">
      <c r="B148" s="48" t="s">
        <v>3</v>
      </c>
      <c r="C148" s="49" t="s">
        <v>898</v>
      </c>
      <c r="D148" s="50" t="s">
        <v>42</v>
      </c>
      <c r="E148" s="32" t="s">
        <v>649</v>
      </c>
      <c r="F148" s="32" t="s">
        <v>983</v>
      </c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3">
        <v>46.8</v>
      </c>
      <c r="AI148" s="33">
        <v>155.49</v>
      </c>
      <c r="AJ148" s="33">
        <v>124.51</v>
      </c>
      <c r="AK148" s="32"/>
      <c r="AL148" s="34">
        <f>SUM(G148:AK148)</f>
      </c>
      <c r="AM148" s="35"/>
    </row>
    <row r="149" ht="13.5" customHeight="1" spans="2:39" x14ac:dyDescent="0.25">
      <c r="B149" s="48" t="s">
        <v>3</v>
      </c>
      <c r="C149" s="49" t="s">
        <v>898</v>
      </c>
      <c r="D149" s="50" t="s">
        <v>42</v>
      </c>
      <c r="E149" s="32" t="s">
        <v>649</v>
      </c>
      <c r="F149" s="32" t="s">
        <v>984</v>
      </c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3">
        <v>86.11</v>
      </c>
      <c r="AJ149" s="32"/>
      <c r="AK149" s="32"/>
      <c r="AL149" s="34">
        <f>SUM(G149:AK149)</f>
      </c>
      <c r="AM149" s="35"/>
    </row>
    <row r="150" ht="13.5" customHeight="1" spans="2:39" x14ac:dyDescent="0.25">
      <c r="B150" s="48" t="s">
        <v>3</v>
      </c>
      <c r="C150" s="49" t="s">
        <v>898</v>
      </c>
      <c r="D150" s="50" t="s">
        <v>42</v>
      </c>
      <c r="E150" s="32" t="s">
        <v>649</v>
      </c>
      <c r="F150" s="32" t="s">
        <v>985</v>
      </c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3">
        <v>12.32</v>
      </c>
      <c r="AI150" s="33">
        <v>30.8</v>
      </c>
      <c r="AJ150" s="33">
        <v>30.8</v>
      </c>
      <c r="AK150" s="32"/>
      <c r="AL150" s="34">
        <f>SUM(G150:AK150)</f>
      </c>
      <c r="AM150" s="35"/>
    </row>
    <row r="151" ht="13.5" customHeight="1" spans="2:39" x14ac:dyDescent="0.25">
      <c r="B151" s="48" t="s">
        <v>3</v>
      </c>
      <c r="C151" s="49" t="s">
        <v>898</v>
      </c>
      <c r="D151" s="50" t="s">
        <v>42</v>
      </c>
      <c r="E151" s="32" t="s">
        <v>649</v>
      </c>
      <c r="F151" s="32" t="s">
        <v>986</v>
      </c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3">
        <v>26.58</v>
      </c>
      <c r="AI151" s="33">
        <v>39.47</v>
      </c>
      <c r="AJ151" s="33">
        <v>33.34</v>
      </c>
      <c r="AK151" s="32"/>
      <c r="AL151" s="34">
        <f>SUM(G151:AK151)</f>
      </c>
      <c r="AM151" s="35"/>
    </row>
    <row r="152" ht="13.5" customHeight="1" spans="2:39" x14ac:dyDescent="0.25">
      <c r="B152" s="48" t="s">
        <v>3</v>
      </c>
      <c r="C152" s="49" t="s">
        <v>898</v>
      </c>
      <c r="D152" s="50" t="s">
        <v>42</v>
      </c>
      <c r="E152" s="32" t="s">
        <v>649</v>
      </c>
      <c r="F152" s="32" t="s">
        <v>987</v>
      </c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3">
        <v>14.37</v>
      </c>
      <c r="AI152" s="33">
        <v>30.8</v>
      </c>
      <c r="AJ152" s="33">
        <v>30.8</v>
      </c>
      <c r="AK152" s="32"/>
      <c r="AL152" s="34">
        <f>SUM(G152:AK152)</f>
      </c>
      <c r="AM152" s="35"/>
    </row>
    <row r="153" ht="13.5" customHeight="1" spans="2:39" x14ac:dyDescent="0.25">
      <c r="B153" s="48" t="s">
        <v>3</v>
      </c>
      <c r="C153" s="49" t="s">
        <v>898</v>
      </c>
      <c r="D153" s="50" t="s">
        <v>42</v>
      </c>
      <c r="E153" s="32" t="s">
        <v>649</v>
      </c>
      <c r="F153" s="32" t="s">
        <v>988</v>
      </c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3">
        <v>12.32</v>
      </c>
      <c r="AI153" s="33">
        <v>30.8</v>
      </c>
      <c r="AJ153" s="33">
        <v>30.8</v>
      </c>
      <c r="AK153" s="32"/>
      <c r="AL153" s="34">
        <f>SUM(G153:AK153)</f>
      </c>
      <c r="AM153" s="35"/>
    </row>
    <row r="154" ht="13.5" customHeight="1" spans="2:39" x14ac:dyDescent="0.25">
      <c r="B154" s="48" t="s">
        <v>3</v>
      </c>
      <c r="C154" s="49" t="s">
        <v>898</v>
      </c>
      <c r="D154" s="50" t="s">
        <v>42</v>
      </c>
      <c r="E154" s="32" t="s">
        <v>649</v>
      </c>
      <c r="F154" s="32" t="s">
        <v>989</v>
      </c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3">
        <v>16.32</v>
      </c>
      <c r="AI154" s="33">
        <v>30.8</v>
      </c>
      <c r="AJ154" s="33">
        <v>30.8</v>
      </c>
      <c r="AK154" s="32"/>
      <c r="AL154" s="34">
        <f>SUM(G154:AK154)</f>
      </c>
      <c r="AM154" s="35"/>
    </row>
    <row r="155" ht="13.5" customHeight="1" spans="2:39" x14ac:dyDescent="0.25">
      <c r="B155" s="48" t="s">
        <v>3</v>
      </c>
      <c r="C155" s="49" t="s">
        <v>898</v>
      </c>
      <c r="D155" s="50" t="s">
        <v>42</v>
      </c>
      <c r="E155" s="32" t="s">
        <v>649</v>
      </c>
      <c r="F155" s="32" t="s">
        <v>990</v>
      </c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3">
        <v>16.32</v>
      </c>
      <c r="AI155" s="33">
        <v>30.8</v>
      </c>
      <c r="AJ155" s="33">
        <v>30.8</v>
      </c>
      <c r="AK155" s="32"/>
      <c r="AL155" s="34">
        <f>SUM(G155:AK155)</f>
      </c>
      <c r="AM155" s="35"/>
    </row>
    <row r="156" ht="13.5" customHeight="1" spans="2:39" x14ac:dyDescent="0.25">
      <c r="B156" s="48" t="s">
        <v>3</v>
      </c>
      <c r="C156" s="49" t="s">
        <v>898</v>
      </c>
      <c r="D156" s="50" t="s">
        <v>42</v>
      </c>
      <c r="E156" s="32" t="s">
        <v>649</v>
      </c>
      <c r="F156" s="32" t="s">
        <v>991</v>
      </c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3">
        <v>16.32</v>
      </c>
      <c r="AI156" s="33">
        <v>30.8</v>
      </c>
      <c r="AJ156" s="33">
        <v>66.46</v>
      </c>
      <c r="AK156" s="32"/>
      <c r="AL156" s="34">
        <f>SUM(G156:AK156)</f>
      </c>
      <c r="AM156" s="35"/>
    </row>
    <row r="157" ht="13.5" customHeight="1" spans="2:39" x14ac:dyDescent="0.25">
      <c r="B157" s="48" t="s">
        <v>3</v>
      </c>
      <c r="C157" s="49" t="s">
        <v>898</v>
      </c>
      <c r="D157" s="50" t="s">
        <v>42</v>
      </c>
      <c r="E157" s="32" t="s">
        <v>649</v>
      </c>
      <c r="F157" s="32" t="s">
        <v>992</v>
      </c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3">
        <v>18.83</v>
      </c>
      <c r="AI157" s="33">
        <v>121.85</v>
      </c>
      <c r="AJ157" s="33">
        <v>99.99</v>
      </c>
      <c r="AK157" s="32"/>
      <c r="AL157" s="34">
        <f>SUM(G157:AK157)</f>
      </c>
      <c r="AM157" s="35"/>
    </row>
    <row r="158" ht="13.5" customHeight="1" spans="2:39" x14ac:dyDescent="0.25">
      <c r="B158" s="48" t="s">
        <v>3</v>
      </c>
      <c r="C158" s="49" t="s">
        <v>898</v>
      </c>
      <c r="D158" s="50" t="s">
        <v>42</v>
      </c>
      <c r="E158" s="32" t="s">
        <v>649</v>
      </c>
      <c r="F158" s="32" t="s">
        <v>993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3">
        <v>16.32</v>
      </c>
      <c r="AI158" s="33">
        <v>30.8</v>
      </c>
      <c r="AJ158" s="33">
        <v>30.8</v>
      </c>
      <c r="AK158" s="32"/>
      <c r="AL158" s="34">
        <f>SUM(G158:AK158)</f>
      </c>
      <c r="AM158" s="35"/>
    </row>
    <row r="159" ht="13.5" customHeight="1" spans="2:39" x14ac:dyDescent="0.25">
      <c r="B159" s="48" t="s">
        <v>3</v>
      </c>
      <c r="C159" s="49" t="s">
        <v>898</v>
      </c>
      <c r="D159" s="50" t="s">
        <v>42</v>
      </c>
      <c r="E159" s="32" t="s">
        <v>649</v>
      </c>
      <c r="F159" s="32" t="s">
        <v>994</v>
      </c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3">
        <v>12.32</v>
      </c>
      <c r="AI159" s="33">
        <v>92.99</v>
      </c>
      <c r="AJ159" s="33">
        <v>87.52</v>
      </c>
      <c r="AK159" s="32"/>
      <c r="AL159" s="34">
        <f>SUM(G159:AK159)</f>
      </c>
      <c r="AM159" s="35"/>
    </row>
    <row r="160" ht="13.5" customHeight="1" spans="2:39" x14ac:dyDescent="0.25">
      <c r="B160" s="48" t="s">
        <v>3</v>
      </c>
      <c r="C160" s="49" t="s">
        <v>898</v>
      </c>
      <c r="D160" s="50" t="s">
        <v>42</v>
      </c>
      <c r="E160" s="32" t="s">
        <v>649</v>
      </c>
      <c r="F160" s="32" t="s">
        <v>995</v>
      </c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3">
        <v>18.37</v>
      </c>
      <c r="AI160" s="33">
        <v>30.8</v>
      </c>
      <c r="AJ160" s="33">
        <v>30.8</v>
      </c>
      <c r="AK160" s="32"/>
      <c r="AL160" s="34">
        <f>SUM(G160:AK160)</f>
      </c>
      <c r="AM160" s="35"/>
    </row>
    <row r="161" ht="13.5" customHeight="1" spans="2:39" x14ac:dyDescent="0.25">
      <c r="B161" s="48" t="s">
        <v>3</v>
      </c>
      <c r="C161" s="49" t="s">
        <v>898</v>
      </c>
      <c r="D161" s="50" t="s">
        <v>42</v>
      </c>
      <c r="E161" s="32" t="s">
        <v>649</v>
      </c>
      <c r="F161" s="32" t="s">
        <v>996</v>
      </c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3">
        <v>16.32</v>
      </c>
      <c r="AI161" s="33">
        <v>30.8</v>
      </c>
      <c r="AJ161" s="33">
        <v>30.8</v>
      </c>
      <c r="AK161" s="32"/>
      <c r="AL161" s="34">
        <f>SUM(G161:AK161)</f>
      </c>
      <c r="AM161" s="35"/>
    </row>
    <row r="162" ht="13.5" customHeight="1" spans="2:39" x14ac:dyDescent="0.25">
      <c r="B162" s="48" t="s">
        <v>3</v>
      </c>
      <c r="C162" s="49" t="s">
        <v>898</v>
      </c>
      <c r="D162" s="50" t="s">
        <v>42</v>
      </c>
      <c r="E162" s="32" t="s">
        <v>649</v>
      </c>
      <c r="F162" s="32" t="s">
        <v>997</v>
      </c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3">
        <f>-496.45+461.04</f>
        <v>-35.40999999999997</v>
      </c>
      <c r="AI162" s="33">
        <f>224.96+-27.39</f>
        <v>197.57</v>
      </c>
      <c r="AJ162" s="33">
        <v>183.32</v>
      </c>
      <c r="AK162" s="32"/>
      <c r="AL162" s="34">
        <f>SUM(G162:AK162)</f>
      </c>
      <c r="AM162" s="35"/>
    </row>
    <row r="163" ht="13.5" customHeight="1" spans="2:39" x14ac:dyDescent="0.25">
      <c r="B163" s="48" t="s">
        <v>3</v>
      </c>
      <c r="C163" s="49" t="s">
        <v>898</v>
      </c>
      <c r="D163" s="50" t="s">
        <v>42</v>
      </c>
      <c r="E163" s="32" t="s">
        <v>649</v>
      </c>
      <c r="F163" s="32" t="s">
        <v>998</v>
      </c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3">
        <v>13.34</v>
      </c>
      <c r="AJ163" s="32"/>
      <c r="AK163" s="32"/>
      <c r="AL163" s="34">
        <f>SUM(G163:AK163)</f>
      </c>
      <c r="AM163" s="35"/>
    </row>
    <row r="164" ht="13.5" customHeight="1" spans="2:39" x14ac:dyDescent="0.25">
      <c r="B164" s="48" t="s">
        <v>3</v>
      </c>
      <c r="C164" s="49" t="s">
        <v>898</v>
      </c>
      <c r="D164" s="50" t="s">
        <v>42</v>
      </c>
      <c r="E164" s="32" t="s">
        <v>649</v>
      </c>
      <c r="F164" s="32" t="s">
        <v>999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3">
        <v>16.32</v>
      </c>
      <c r="AI164" s="33">
        <v>30.8</v>
      </c>
      <c r="AJ164" s="33">
        <v>30.8</v>
      </c>
      <c r="AK164" s="32"/>
      <c r="AL164" s="34">
        <f>SUM(G164:AK164)</f>
      </c>
      <c r="AM164" s="35"/>
    </row>
    <row r="165" ht="13.5" customHeight="1" spans="2:39" x14ac:dyDescent="0.25">
      <c r="B165" s="48" t="s">
        <v>3</v>
      </c>
      <c r="C165" s="49" t="s">
        <v>898</v>
      </c>
      <c r="D165" s="50" t="s">
        <v>42</v>
      </c>
      <c r="E165" s="32" t="s">
        <v>649</v>
      </c>
      <c r="F165" s="32" t="s">
        <v>1000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3">
        <v>16.32</v>
      </c>
      <c r="AI165" s="33">
        <v>30.8</v>
      </c>
      <c r="AJ165" s="33">
        <v>30.8</v>
      </c>
      <c r="AK165" s="32"/>
      <c r="AL165" s="34">
        <f>SUM(G165:AK165)</f>
      </c>
      <c r="AM165" s="35"/>
    </row>
    <row r="166" ht="13.5" customHeight="1" spans="2:39" x14ac:dyDescent="0.25">
      <c r="B166" s="48" t="s">
        <v>3</v>
      </c>
      <c r="C166" s="49" t="s">
        <v>898</v>
      </c>
      <c r="D166" s="50" t="s">
        <v>42</v>
      </c>
      <c r="E166" s="32" t="s">
        <v>649</v>
      </c>
      <c r="F166" s="32" t="s">
        <v>1001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3">
        <v>12.32</v>
      </c>
      <c r="AI166" s="33">
        <v>30.8</v>
      </c>
      <c r="AJ166" s="33">
        <v>30.8</v>
      </c>
      <c r="AK166" s="32"/>
      <c r="AL166" s="34">
        <f>SUM(G166:AK166)</f>
      </c>
      <c r="AM166" s="35"/>
    </row>
    <row r="167" ht="13.5" customHeight="1" spans="2:39" x14ac:dyDescent="0.25">
      <c r="B167" s="48" t="s">
        <v>3</v>
      </c>
      <c r="C167" s="49" t="s">
        <v>898</v>
      </c>
      <c r="D167" s="50" t="s">
        <v>42</v>
      </c>
      <c r="E167" s="32" t="s">
        <v>649</v>
      </c>
      <c r="F167" s="32" t="s">
        <v>1002</v>
      </c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3">
        <v>14.37</v>
      </c>
      <c r="AI167" s="33">
        <v>30.8</v>
      </c>
      <c r="AJ167" s="33">
        <v>30.8</v>
      </c>
      <c r="AK167" s="32"/>
      <c r="AL167" s="34">
        <f>SUM(G167:AK167)</f>
      </c>
      <c r="AM167" s="35"/>
    </row>
    <row r="168" ht="13.5" customHeight="1" spans="2:39" x14ac:dyDescent="0.25">
      <c r="B168" s="48" t="s">
        <v>3</v>
      </c>
      <c r="C168" s="49" t="s">
        <v>898</v>
      </c>
      <c r="D168" s="50" t="s">
        <v>42</v>
      </c>
      <c r="E168" s="32" t="s">
        <v>649</v>
      </c>
      <c r="F168" s="32" t="s">
        <v>1003</v>
      </c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3">
        <v>12.32</v>
      </c>
      <c r="AI168" s="33">
        <v>30.8</v>
      </c>
      <c r="AJ168" s="33">
        <v>30.8</v>
      </c>
      <c r="AK168" s="32"/>
      <c r="AL168" s="34">
        <f>SUM(G168:AK168)</f>
      </c>
      <c r="AM168" s="35"/>
    </row>
    <row r="169" ht="13.5" customHeight="1" spans="2:39" x14ac:dyDescent="0.25">
      <c r="B169" s="48" t="s">
        <v>3</v>
      </c>
      <c r="C169" s="49" t="s">
        <v>898</v>
      </c>
      <c r="D169" s="50" t="s">
        <v>42</v>
      </c>
      <c r="E169" s="32" t="s">
        <v>649</v>
      </c>
      <c r="F169" s="32" t="s">
        <v>1004</v>
      </c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3">
        <f>-1450.20+331.57</f>
        <v>-1118.63</v>
      </c>
      <c r="AI169" s="33">
        <f>0.00+504.37</f>
        <v>504.37</v>
      </c>
      <c r="AJ169" s="33">
        <v>510.74</v>
      </c>
      <c r="AK169" s="32"/>
      <c r="AL169" s="34">
        <f>SUM(G169:AK169)</f>
      </c>
      <c r="AM169" s="35"/>
    </row>
    <row r="170" ht="13.5" customHeight="1" spans="2:39" x14ac:dyDescent="0.25">
      <c r="B170" s="48" t="s">
        <v>3</v>
      </c>
      <c r="C170" s="49" t="s">
        <v>898</v>
      </c>
      <c r="D170" s="50" t="s">
        <v>42</v>
      </c>
      <c r="E170" s="32" t="s">
        <v>649</v>
      </c>
      <c r="F170" s="32" t="s">
        <v>1005</v>
      </c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3">
        <v>915</v>
      </c>
      <c r="AI170" s="32"/>
      <c r="AJ170" s="32"/>
      <c r="AK170" s="32"/>
      <c r="AL170" s="34">
        <f>SUM(G170:AK170)</f>
      </c>
      <c r="AM170" s="35"/>
    </row>
    <row r="171" ht="13.5" customHeight="1" spans="2:39" x14ac:dyDescent="0.25">
      <c r="B171" s="48" t="s">
        <v>3</v>
      </c>
      <c r="C171" s="49" t="s">
        <v>898</v>
      </c>
      <c r="D171" s="50" t="s">
        <v>42</v>
      </c>
      <c r="E171" s="32" t="s">
        <v>649</v>
      </c>
      <c r="F171" s="32" t="s">
        <v>1006</v>
      </c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3">
        <v>12.32</v>
      </c>
      <c r="AI171" s="33">
        <v>30.8</v>
      </c>
      <c r="AJ171" s="33">
        <v>30.8</v>
      </c>
      <c r="AK171" s="32"/>
      <c r="AL171" s="34">
        <f>SUM(G171:AK171)</f>
      </c>
      <c r="AM171" s="35"/>
    </row>
    <row r="172" ht="13.5" customHeight="1" spans="2:39" x14ac:dyDescent="0.25">
      <c r="B172" s="48" t="s">
        <v>3</v>
      </c>
      <c r="C172" s="49" t="s">
        <v>898</v>
      </c>
      <c r="D172" s="50" t="s">
        <v>42</v>
      </c>
      <c r="E172" s="32" t="s">
        <v>649</v>
      </c>
      <c r="F172" s="32" t="s">
        <v>1007</v>
      </c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3">
        <v>22.04</v>
      </c>
      <c r="AI172" s="33">
        <v>60.17</v>
      </c>
      <c r="AJ172" s="33">
        <v>63.53</v>
      </c>
      <c r="AK172" s="32"/>
      <c r="AL172" s="34">
        <f>SUM(G172:AK172)</f>
      </c>
      <c r="AM172" s="35"/>
    </row>
    <row r="173" ht="13.5" customHeight="1" spans="2:39" x14ac:dyDescent="0.25">
      <c r="B173" s="48" t="s">
        <v>3</v>
      </c>
      <c r="C173" s="49" t="s">
        <v>898</v>
      </c>
      <c r="D173" s="50" t="s">
        <v>42</v>
      </c>
      <c r="E173" s="32" t="s">
        <v>649</v>
      </c>
      <c r="F173" s="32" t="s">
        <v>1008</v>
      </c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3">
        <v>135</v>
      </c>
      <c r="AI173" s="32"/>
      <c r="AJ173" s="32"/>
      <c r="AK173" s="32"/>
      <c r="AL173" s="34">
        <f>SUM(G173:AK173)</f>
      </c>
      <c r="AM173" s="35"/>
    </row>
    <row r="174" ht="13.5" customHeight="1" spans="2:39" x14ac:dyDescent="0.25">
      <c r="B174" s="48" t="s">
        <v>3</v>
      </c>
      <c r="C174" s="49" t="s">
        <v>898</v>
      </c>
      <c r="D174" s="50" t="s">
        <v>42</v>
      </c>
      <c r="E174" s="32" t="s">
        <v>649</v>
      </c>
      <c r="F174" s="32" t="s">
        <v>1009</v>
      </c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3">
        <v>29.21</v>
      </c>
      <c r="AI174" s="33">
        <v>71.64</v>
      </c>
      <c r="AJ174" s="33">
        <v>63.64</v>
      </c>
      <c r="AK174" s="32"/>
      <c r="AL174" s="34">
        <f>SUM(G174:AK174)</f>
      </c>
      <c r="AM174" s="35"/>
    </row>
    <row r="175" ht="13.5" customHeight="1" spans="2:39" x14ac:dyDescent="0.25">
      <c r="B175" s="48" t="s">
        <v>3</v>
      </c>
      <c r="C175" s="49" t="s">
        <v>898</v>
      </c>
      <c r="D175" s="50" t="s">
        <v>42</v>
      </c>
      <c r="E175" s="32" t="s">
        <v>649</v>
      </c>
      <c r="F175" s="32" t="s">
        <v>1010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3">
        <v>165</v>
      </c>
      <c r="AI175" s="32"/>
      <c r="AJ175" s="32"/>
      <c r="AK175" s="32"/>
      <c r="AL175" s="34">
        <f>SUM(G175:AK175)</f>
      </c>
      <c r="AM175" s="35"/>
    </row>
    <row r="176" ht="13.5" customHeight="1" spans="2:39" x14ac:dyDescent="0.25">
      <c r="B176" s="48" t="s">
        <v>3</v>
      </c>
      <c r="C176" s="49" t="s">
        <v>898</v>
      </c>
      <c r="D176" s="50" t="s">
        <v>42</v>
      </c>
      <c r="E176" s="32" t="s">
        <v>649</v>
      </c>
      <c r="F176" s="32" t="s">
        <v>1011</v>
      </c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3">
        <v>12.32</v>
      </c>
      <c r="AI176" s="33">
        <v>30.8</v>
      </c>
      <c r="AJ176" s="33">
        <v>30.8</v>
      </c>
      <c r="AK176" s="32"/>
      <c r="AL176" s="34">
        <f>SUM(G176:AK176)</f>
      </c>
      <c r="AM176" s="35"/>
    </row>
    <row r="177" ht="13.5" customHeight="1" spans="2:39" x14ac:dyDescent="0.25">
      <c r="B177" s="48" t="s">
        <v>3</v>
      </c>
      <c r="C177" s="49" t="s">
        <v>898</v>
      </c>
      <c r="D177" s="50" t="s">
        <v>42</v>
      </c>
      <c r="E177" s="32" t="s">
        <v>649</v>
      </c>
      <c r="F177" s="32" t="s">
        <v>1012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3">
        <v>12.32</v>
      </c>
      <c r="AI177" s="33">
        <v>30.8</v>
      </c>
      <c r="AJ177" s="33">
        <v>30.8</v>
      </c>
      <c r="AK177" s="32"/>
      <c r="AL177" s="34">
        <f>SUM(G177:AK177)</f>
      </c>
      <c r="AM177" s="35"/>
    </row>
    <row r="178" ht="13.5" customHeight="1" spans="2:39" x14ac:dyDescent="0.25">
      <c r="B178" s="48" t="s">
        <v>3</v>
      </c>
      <c r="C178" s="49" t="s">
        <v>898</v>
      </c>
      <c r="D178" s="50" t="s">
        <v>42</v>
      </c>
      <c r="E178" s="32" t="s">
        <v>649</v>
      </c>
      <c r="F178" s="32" t="s">
        <v>1013</v>
      </c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3">
        <f>-420.11+65.97</f>
        <v>-354.14</v>
      </c>
      <c r="AI178" s="33">
        <f>144.79+-2.79</f>
        <v>142</v>
      </c>
      <c r="AJ178" s="33">
        <v>72.43</v>
      </c>
      <c r="AK178" s="32"/>
      <c r="AL178" s="34">
        <f>SUM(G178:AK178)</f>
      </c>
      <c r="AM178" s="35"/>
    </row>
    <row r="179" ht="13.5" customHeight="1" spans="2:39" x14ac:dyDescent="0.25">
      <c r="B179" s="48" t="s">
        <v>3</v>
      </c>
      <c r="C179" s="49" t="s">
        <v>898</v>
      </c>
      <c r="D179" s="50" t="s">
        <v>42</v>
      </c>
      <c r="E179" s="32" t="s">
        <v>649</v>
      </c>
      <c r="F179" s="32" t="s">
        <v>1014</v>
      </c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3">
        <v>280</v>
      </c>
      <c r="AI179" s="32"/>
      <c r="AJ179" s="32"/>
      <c r="AK179" s="32"/>
      <c r="AL179" s="34">
        <f>SUM(G179:AK179)</f>
      </c>
      <c r="AM179" s="35"/>
    </row>
    <row r="180" ht="13.5" customHeight="1" spans="2:39" x14ac:dyDescent="0.25">
      <c r="B180" s="48" t="s">
        <v>3</v>
      </c>
      <c r="C180" s="49" t="s">
        <v>898</v>
      </c>
      <c r="D180" s="50" t="s">
        <v>42</v>
      </c>
      <c r="E180" s="32" t="s">
        <v>649</v>
      </c>
      <c r="F180" s="32" t="s">
        <v>1015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3">
        <v>12.32</v>
      </c>
      <c r="AI180" s="33">
        <v>50.07</v>
      </c>
      <c r="AJ180" s="33">
        <v>61.75</v>
      </c>
      <c r="AK180" s="32"/>
      <c r="AL180" s="34">
        <f>SUM(G180:AK180)</f>
      </c>
      <c r="AM180" s="35"/>
    </row>
    <row r="181" ht="13.5" customHeight="1" spans="2:39" x14ac:dyDescent="0.25">
      <c r="B181" s="48" t="s">
        <v>3</v>
      </c>
      <c r="C181" s="49" t="s">
        <v>898</v>
      </c>
      <c r="D181" s="50" t="s">
        <v>42</v>
      </c>
      <c r="E181" s="32" t="s">
        <v>649</v>
      </c>
      <c r="F181" s="32" t="s">
        <v>1016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3">
        <v>12.32</v>
      </c>
      <c r="AI181" s="33">
        <v>30.8</v>
      </c>
      <c r="AJ181" s="33">
        <v>30.8</v>
      </c>
      <c r="AK181" s="32"/>
      <c r="AL181" s="34">
        <f>SUM(G181:AK181)</f>
      </c>
      <c r="AM181" s="35"/>
    </row>
    <row r="182" ht="13.5" customHeight="1" spans="2:39" x14ac:dyDescent="0.25">
      <c r="B182" s="48" t="s">
        <v>3</v>
      </c>
      <c r="C182" s="49" t="s">
        <v>898</v>
      </c>
      <c r="D182" s="50" t="s">
        <v>42</v>
      </c>
      <c r="E182" s="32" t="s">
        <v>649</v>
      </c>
      <c r="F182" s="32" t="s">
        <v>1017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3">
        <v>235.96</v>
      </c>
      <c r="AI182" s="33">
        <v>517.54</v>
      </c>
      <c r="AJ182" s="33">
        <v>517.44</v>
      </c>
      <c r="AK182" s="32"/>
      <c r="AL182" s="34">
        <f>SUM(G182:AK182)</f>
      </c>
      <c r="AM182" s="35"/>
    </row>
    <row r="183" ht="13.5" customHeight="1" spans="2:39" x14ac:dyDescent="0.25">
      <c r="B183" s="48" t="s">
        <v>3</v>
      </c>
      <c r="C183" s="49" t="s">
        <v>898</v>
      </c>
      <c r="D183" s="50" t="s">
        <v>42</v>
      </c>
      <c r="E183" s="32" t="s">
        <v>649</v>
      </c>
      <c r="F183" s="32" t="s">
        <v>1018</v>
      </c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3">
        <v>1005</v>
      </c>
      <c r="AI183" s="32"/>
      <c r="AJ183" s="32"/>
      <c r="AK183" s="32"/>
      <c r="AL183" s="34">
        <f>SUM(G183:AK183)</f>
      </c>
      <c r="AM183" s="35"/>
    </row>
    <row r="184" ht="13.5" customHeight="1" spans="2:39" x14ac:dyDescent="0.25">
      <c r="B184" s="48" t="s">
        <v>3</v>
      </c>
      <c r="C184" s="49" t="s">
        <v>898</v>
      </c>
      <c r="D184" s="50" t="s">
        <v>42</v>
      </c>
      <c r="E184" s="32" t="s">
        <v>649</v>
      </c>
      <c r="F184" s="32" t="s">
        <v>1019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3">
        <v>255.15</v>
      </c>
      <c r="AI184" s="33">
        <v>354.87</v>
      </c>
      <c r="AJ184" s="33">
        <v>-926.11</v>
      </c>
      <c r="AK184" s="32"/>
      <c r="AL184" s="34">
        <f>SUM(G184:AK184)</f>
      </c>
      <c r="AM184" s="35"/>
    </row>
    <row r="185" ht="13.5" customHeight="1" spans="2:39" x14ac:dyDescent="0.25">
      <c r="B185" s="48" t="s">
        <v>3</v>
      </c>
      <c r="C185" s="49" t="s">
        <v>898</v>
      </c>
      <c r="D185" s="50" t="s">
        <v>42</v>
      </c>
      <c r="E185" s="32" t="s">
        <v>649</v>
      </c>
      <c r="F185" s="32" t="s">
        <v>1020</v>
      </c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3">
        <v>670</v>
      </c>
      <c r="AI185" s="32"/>
      <c r="AJ185" s="32"/>
      <c r="AK185" s="32"/>
      <c r="AL185" s="34">
        <f>SUM(G185:AK185)</f>
      </c>
      <c r="AM185" s="35"/>
    </row>
    <row r="186" ht="13.5" customHeight="1" spans="2:39" x14ac:dyDescent="0.25">
      <c r="B186" s="51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40"/>
    </row>
    <row r="187" ht="13.5" customHeight="1" spans="2:39" x14ac:dyDescent="0.25">
      <c r="B187" s="20"/>
      <c r="C187" s="21"/>
      <c r="D187" s="21" t="s">
        <v>85</v>
      </c>
      <c r="E187" s="21"/>
      <c r="F187" s="21"/>
      <c r="G187" s="22">
        <f>SUM(G14:G185)</f>
      </c>
      <c r="H187" s="22">
        <f>SUM(H14:H185)</f>
      </c>
      <c r="I187" s="22">
        <f>SUM(I14:I185)</f>
      </c>
      <c r="J187" s="22">
        <f>SUM(J14:J185)</f>
      </c>
      <c r="K187" s="22">
        <f>SUM(K14:K185)</f>
      </c>
      <c r="L187" s="22">
        <f>SUM(L14:L185)</f>
      </c>
      <c r="M187" s="22">
        <f>SUM(M14:M185)</f>
      </c>
      <c r="N187" s="22">
        <f>SUM(N14:N185)</f>
      </c>
      <c r="O187" s="22">
        <f>SUM(O14:O185)</f>
      </c>
      <c r="P187" s="22">
        <f>SUM(P14:P185)</f>
      </c>
      <c r="Q187" s="22">
        <f>SUM(Q14:Q185)</f>
      </c>
      <c r="R187" s="22">
        <f>SUM(R14:R185)</f>
      </c>
      <c r="S187" s="22">
        <f>SUM(S14:S185)</f>
      </c>
      <c r="T187" s="22">
        <f>SUM(T14:T185)</f>
      </c>
      <c r="U187" s="22">
        <f>SUM(U14:U185)</f>
      </c>
      <c r="V187" s="22">
        <f>SUM(V14:V185)</f>
      </c>
      <c r="W187" s="22">
        <f>SUM(W14:W185)</f>
      </c>
      <c r="X187" s="22">
        <f>SUM(X14:X185)</f>
      </c>
      <c r="Y187" s="22">
        <f>SUM(Y14:Y185)</f>
      </c>
      <c r="Z187" s="22">
        <f>SUM(Z14:Z185)</f>
      </c>
      <c r="AA187" s="22">
        <f>SUM(AA14:AA185)</f>
      </c>
      <c r="AB187" s="22">
        <f>SUM(AB14:AB185)</f>
      </c>
      <c r="AC187" s="22">
        <f>SUM(AC14:AC185)</f>
      </c>
      <c r="AD187" s="22">
        <f>SUM(AD14:AD185)</f>
      </c>
      <c r="AE187" s="22">
        <f>SUM(AE14:AE185)</f>
      </c>
      <c r="AF187" s="22">
        <f>SUM(AF14:AF185)</f>
      </c>
      <c r="AG187" s="22">
        <f>SUM(AG14:AG185)</f>
      </c>
      <c r="AH187" s="22">
        <f>SUM(AH14:AH185)</f>
      </c>
      <c r="AI187" s="22">
        <f>SUM(AI14:AI185)</f>
      </c>
      <c r="AJ187" s="22">
        <f>SUM(AJ14:AJ185)</f>
      </c>
      <c r="AK187" s="22">
        <f>SUM(AK14:AK185)</f>
      </c>
      <c r="AL187" s="22">
        <f>SUM(AL14:AL185)</f>
      </c>
      <c r="AM187" s="23"/>
    </row>
    <row r="189" ht="13.5" customHeight="1" spans="2:39" x14ac:dyDescent="0.25">
      <c r="B189" s="46"/>
      <c r="C189" s="28"/>
      <c r="D189" s="47" t="s">
        <v>43</v>
      </c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9"/>
    </row>
    <row r="190" ht="13.5" customHeight="1" spans="2:39" x14ac:dyDescent="0.25">
      <c r="B190" s="48" t="s">
        <v>3</v>
      </c>
      <c r="C190" s="49" t="s">
        <v>898</v>
      </c>
      <c r="D190" s="50" t="s">
        <v>43</v>
      </c>
      <c r="E190" s="32" t="s">
        <v>1021</v>
      </c>
      <c r="F190" s="32" t="s">
        <v>885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3">
        <f>0.00+1644.14+4773.03</f>
        <v>6417.17</v>
      </c>
      <c r="W190" s="33">
        <f>0.00+2024.90+5564.19</f>
        <v>7589.09</v>
      </c>
      <c r="X190" s="33">
        <f>0.00+2011.54+5536.43</f>
        <v>7547.97</v>
      </c>
      <c r="Y190" s="33">
        <f>0.00+2018.22+5550.31</f>
        <v>7568.530000000001</v>
      </c>
      <c r="Z190" s="33">
        <f>0.00+1620.76+4724.45</f>
        <v>6345.21</v>
      </c>
      <c r="AA190" s="33">
        <f>0.00+1395.54+4217.83</f>
        <v>5613.37</v>
      </c>
      <c r="AB190" s="33">
        <f>0.00+1061.64+3114.37</f>
        <v>4176.01</v>
      </c>
      <c r="AC190" s="33">
        <f>0.00+1030.14+3010.27</f>
        <v>4040.41</v>
      </c>
      <c r="AD190" s="33">
        <f>0.00+954.54+2760.43</f>
        <v>3714.97</v>
      </c>
      <c r="AE190" s="33">
        <f>0.00+1130.07+3324.70</f>
        <v>4454.7699999999995</v>
      </c>
      <c r="AF190" s="33">
        <f>0.00+1171.49+3461.50</f>
        <v>4632.99</v>
      </c>
      <c r="AG190" s="33">
        <f>0.00+1450.53+4383.10</f>
        <v>5833.63</v>
      </c>
      <c r="AH190" s="33">
        <f>0.00+1789.88+5124.70</f>
        <v>6914.58</v>
      </c>
      <c r="AI190" s="33">
        <f>0.00+2109.12+5787.10</f>
        <v>7896.22</v>
      </c>
      <c r="AJ190" s="33">
        <f>0.00+2244.45+6067.90</f>
        <v>8312.349999999999</v>
      </c>
      <c r="AK190" s="32"/>
      <c r="AL190" s="34">
        <f>SUM(G190:AK190)</f>
      </c>
      <c r="AM190" s="35"/>
    </row>
    <row r="191" ht="13.5" customHeight="1" spans="2:39" x14ac:dyDescent="0.25">
      <c r="B191" s="51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40"/>
    </row>
    <row r="192" ht="13.5" customHeight="1" spans="2:39" x14ac:dyDescent="0.25">
      <c r="B192" s="20"/>
      <c r="C192" s="21"/>
      <c r="D192" s="21" t="s">
        <v>89</v>
      </c>
      <c r="E192" s="21"/>
      <c r="F192" s="21"/>
      <c r="G192" s="22">
        <f>SUM(G190:G190)</f>
      </c>
      <c r="H192" s="22">
        <f>SUM(H190:H190)</f>
      </c>
      <c r="I192" s="22">
        <f>SUM(I190:I190)</f>
      </c>
      <c r="J192" s="22">
        <f>SUM(J190:J190)</f>
      </c>
      <c r="K192" s="22">
        <f>SUM(K190:K190)</f>
      </c>
      <c r="L192" s="22">
        <f>SUM(L190:L190)</f>
      </c>
      <c r="M192" s="22">
        <f>SUM(M190:M190)</f>
      </c>
      <c r="N192" s="22">
        <f>SUM(N190:N190)</f>
      </c>
      <c r="O192" s="22">
        <f>SUM(O190:O190)</f>
      </c>
      <c r="P192" s="22">
        <f>SUM(P190:P190)</f>
      </c>
      <c r="Q192" s="22">
        <f>SUM(Q190:Q190)</f>
      </c>
      <c r="R192" s="22">
        <f>SUM(R190:R190)</f>
      </c>
      <c r="S192" s="22">
        <f>SUM(S190:S190)</f>
      </c>
      <c r="T192" s="22">
        <f>SUM(T190:T190)</f>
      </c>
      <c r="U192" s="22">
        <f>SUM(U190:U190)</f>
      </c>
      <c r="V192" s="22">
        <f>SUM(V190:V190)</f>
      </c>
      <c r="W192" s="22">
        <f>SUM(W190:W190)</f>
      </c>
      <c r="X192" s="22">
        <f>SUM(X190:X190)</f>
      </c>
      <c r="Y192" s="22">
        <f>SUM(Y190:Y190)</f>
      </c>
      <c r="Z192" s="22">
        <f>SUM(Z190:Z190)</f>
      </c>
      <c r="AA192" s="22">
        <f>SUM(AA190:AA190)</f>
      </c>
      <c r="AB192" s="22">
        <f>SUM(AB190:AB190)</f>
      </c>
      <c r="AC192" s="22">
        <f>SUM(AC190:AC190)</f>
      </c>
      <c r="AD192" s="22">
        <f>SUM(AD190:AD190)</f>
      </c>
      <c r="AE192" s="22">
        <f>SUM(AE190:AE190)</f>
      </c>
      <c r="AF192" s="22">
        <f>SUM(AF190:AF190)</f>
      </c>
      <c r="AG192" s="22">
        <f>SUM(AG190:AG190)</f>
      </c>
      <c r="AH192" s="22">
        <f>SUM(AH190:AH190)</f>
      </c>
      <c r="AI192" s="22">
        <f>SUM(AI190:AI190)</f>
      </c>
      <c r="AJ192" s="22">
        <f>SUM(AJ190:AJ190)</f>
      </c>
      <c r="AK192" s="22">
        <f>SUM(AK190:AK190)</f>
      </c>
      <c r="AL192" s="22">
        <f>SUM(AL190:AL190)</f>
      </c>
      <c r="AM192" s="23"/>
    </row>
    <row r="194" ht="13.5" customHeight="1" spans="2:39" x14ac:dyDescent="0.25">
      <c r="B194" s="46"/>
      <c r="C194" s="28"/>
      <c r="D194" s="47" t="s">
        <v>44</v>
      </c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9"/>
    </row>
    <row r="195" ht="13.5" customHeight="1" spans="2:39" x14ac:dyDescent="0.25">
      <c r="B195" s="51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40"/>
    </row>
    <row r="196" ht="13.5" customHeight="1" spans="2:39" x14ac:dyDescent="0.25">
      <c r="B196" s="20"/>
      <c r="C196" s="21"/>
      <c r="D196" s="21" t="s">
        <v>90</v>
      </c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3"/>
    </row>
    <row r="199" ht="12.75" customHeight="1" spans="2:39" x14ac:dyDescent="0.25">
      <c r="B199" s="11" t="s">
        <v>40</v>
      </c>
      <c r="C199" s="12"/>
      <c r="D199" s="12"/>
      <c r="E199" s="12"/>
      <c r="F199" s="12"/>
      <c r="G199" s="52" t="s">
        <v>7</v>
      </c>
      <c r="H199" s="52" t="s">
        <v>8</v>
      </c>
      <c r="I199" s="52" t="s">
        <v>9</v>
      </c>
      <c r="J199" s="52" t="s">
        <v>10</v>
      </c>
      <c r="K199" s="52" t="s">
        <v>11</v>
      </c>
      <c r="L199" s="52" t="s">
        <v>12</v>
      </c>
      <c r="M199" s="52" t="s">
        <v>13</v>
      </c>
      <c r="N199" s="52" t="s">
        <v>14</v>
      </c>
      <c r="O199" s="52" t="s">
        <v>15</v>
      </c>
      <c r="P199" s="52" t="s">
        <v>16</v>
      </c>
      <c r="Q199" s="52" t="s">
        <v>17</v>
      </c>
      <c r="R199" s="52" t="s">
        <v>18</v>
      </c>
      <c r="S199" s="52" t="s">
        <v>19</v>
      </c>
      <c r="T199" s="52" t="s">
        <v>20</v>
      </c>
      <c r="U199" s="52" t="s">
        <v>21</v>
      </c>
      <c r="V199" s="52" t="s">
        <v>22</v>
      </c>
      <c r="W199" s="52" t="s">
        <v>23</v>
      </c>
      <c r="X199" s="52" t="s">
        <v>24</v>
      </c>
      <c r="Y199" s="52" t="s">
        <v>25</v>
      </c>
      <c r="Z199" s="52" t="s">
        <v>26</v>
      </c>
      <c r="AA199" s="52" t="s">
        <v>27</v>
      </c>
      <c r="AB199" s="52" t="s">
        <v>28</v>
      </c>
      <c r="AC199" s="52" t="s">
        <v>29</v>
      </c>
      <c r="AD199" s="52" t="s">
        <v>30</v>
      </c>
      <c r="AE199" s="52" t="s">
        <v>31</v>
      </c>
      <c r="AF199" s="52" t="s">
        <v>32</v>
      </c>
      <c r="AG199" s="52" t="s">
        <v>33</v>
      </c>
      <c r="AH199" s="52" t="s">
        <v>34</v>
      </c>
      <c r="AI199" s="52" t="s">
        <v>35</v>
      </c>
      <c r="AJ199" s="52" t="s">
        <v>36</v>
      </c>
      <c r="AK199" s="52" t="s">
        <v>37</v>
      </c>
      <c r="AL199" s="52" t="s">
        <v>38</v>
      </c>
      <c r="AM199" s="15"/>
    </row>
    <row r="200" ht="12.75" customHeight="1" spans="2:39" x14ac:dyDescent="0.25">
      <c r="B200" s="16"/>
      <c r="C200" s="17"/>
      <c r="D200" s="17" t="s">
        <v>41</v>
      </c>
      <c r="E200" s="17"/>
      <c r="F200" s="17"/>
      <c r="G200" s="18">
        <f>G11</f>
      </c>
      <c r="H200" s="18">
        <f>H11</f>
      </c>
      <c r="I200" s="18">
        <f>I11</f>
      </c>
      <c r="J200" s="18">
        <f>J11</f>
      </c>
      <c r="K200" s="18">
        <f>K11</f>
      </c>
      <c r="L200" s="18">
        <f>L11</f>
      </c>
      <c r="M200" s="18">
        <f>M11</f>
      </c>
      <c r="N200" s="18">
        <f>N11</f>
      </c>
      <c r="O200" s="18">
        <f>O11</f>
      </c>
      <c r="P200" s="18">
        <f>P11</f>
      </c>
      <c r="Q200" s="18">
        <f>Q11</f>
      </c>
      <c r="R200" s="18">
        <f>R11</f>
      </c>
      <c r="S200" s="18">
        <f>S11</f>
      </c>
      <c r="T200" s="18">
        <f>T11</f>
      </c>
      <c r="U200" s="18">
        <f>U11</f>
      </c>
      <c r="V200" s="18">
        <f>V11</f>
      </c>
      <c r="W200" s="18">
        <f>W11</f>
      </c>
      <c r="X200" s="18">
        <f>X11</f>
      </c>
      <c r="Y200" s="18">
        <f>Y11</f>
      </c>
      <c r="Z200" s="18">
        <f>Z11</f>
      </c>
      <c r="AA200" s="18">
        <f>AA11</f>
      </c>
      <c r="AB200" s="18">
        <f>AB11</f>
      </c>
      <c r="AC200" s="18">
        <f>AC11</f>
      </c>
      <c r="AD200" s="18">
        <f>AD11</f>
      </c>
      <c r="AE200" s="18">
        <f>AE11</f>
      </c>
      <c r="AF200" s="18">
        <f>AF11</f>
      </c>
      <c r="AG200" s="18">
        <f>AG11</f>
      </c>
      <c r="AH200" s="18">
        <f>AH11</f>
      </c>
      <c r="AI200" s="18">
        <f>AI11</f>
      </c>
      <c r="AJ200" s="18">
        <f>AJ11</f>
      </c>
      <c r="AK200" s="18">
        <f>AK11</f>
      </c>
      <c r="AL200" s="18">
        <f>AL11</f>
      </c>
      <c r="AM200" s="19"/>
    </row>
    <row r="201" ht="12.75" customHeight="1" spans="2:39" x14ac:dyDescent="0.25">
      <c r="B201" s="16"/>
      <c r="C201" s="17"/>
      <c r="D201" s="17" t="s">
        <v>42</v>
      </c>
      <c r="E201" s="17"/>
      <c r="F201" s="17"/>
      <c r="G201" s="18">
        <f>G187</f>
      </c>
      <c r="H201" s="18">
        <f>H187</f>
      </c>
      <c r="I201" s="18">
        <f>I187</f>
      </c>
      <c r="J201" s="18">
        <f>J187</f>
      </c>
      <c r="K201" s="18">
        <f>K187</f>
      </c>
      <c r="L201" s="18">
        <f>L187</f>
      </c>
      <c r="M201" s="18">
        <f>M187</f>
      </c>
      <c r="N201" s="18">
        <f>N187</f>
      </c>
      <c r="O201" s="18">
        <f>O187</f>
      </c>
      <c r="P201" s="18">
        <f>P187</f>
      </c>
      <c r="Q201" s="18">
        <f>Q187</f>
      </c>
      <c r="R201" s="18">
        <f>R187</f>
      </c>
      <c r="S201" s="18">
        <f>S187</f>
      </c>
      <c r="T201" s="18">
        <f>T187</f>
      </c>
      <c r="U201" s="18">
        <f>U187</f>
      </c>
      <c r="V201" s="18">
        <f>V187</f>
      </c>
      <c r="W201" s="18">
        <f>W187</f>
      </c>
      <c r="X201" s="18">
        <f>X187</f>
      </c>
      <c r="Y201" s="18">
        <f>Y187</f>
      </c>
      <c r="Z201" s="18">
        <f>Z187</f>
      </c>
      <c r="AA201" s="18">
        <f>AA187</f>
      </c>
      <c r="AB201" s="18">
        <f>AB187</f>
      </c>
      <c r="AC201" s="18">
        <f>AC187</f>
      </c>
      <c r="AD201" s="18">
        <f>AD187</f>
      </c>
      <c r="AE201" s="18">
        <f>AE187</f>
      </c>
      <c r="AF201" s="18">
        <f>AF187</f>
      </c>
      <c r="AG201" s="18">
        <f>AG187</f>
      </c>
      <c r="AH201" s="18">
        <f>AH187</f>
      </c>
      <c r="AI201" s="18">
        <f>AI187</f>
      </c>
      <c r="AJ201" s="18">
        <f>AJ187</f>
      </c>
      <c r="AK201" s="18">
        <f>AK187</f>
      </c>
      <c r="AL201" s="18">
        <f>AL187</f>
      </c>
      <c r="AM201" s="19"/>
    </row>
    <row r="202" ht="12.75" customHeight="1" spans="2:39" x14ac:dyDescent="0.25">
      <c r="B202" s="16"/>
      <c r="C202" s="17"/>
      <c r="D202" s="17" t="s">
        <v>43</v>
      </c>
      <c r="E202" s="17"/>
      <c r="F202" s="17"/>
      <c r="G202" s="18">
        <f>G192</f>
      </c>
      <c r="H202" s="18">
        <f>H192</f>
      </c>
      <c r="I202" s="18">
        <f>I192</f>
      </c>
      <c r="J202" s="18">
        <f>J192</f>
      </c>
      <c r="K202" s="18">
        <f>K192</f>
      </c>
      <c r="L202" s="18">
        <f>L192</f>
      </c>
      <c r="M202" s="18">
        <f>M192</f>
      </c>
      <c r="N202" s="18">
        <f>N192</f>
      </c>
      <c r="O202" s="18">
        <f>O192</f>
      </c>
      <c r="P202" s="18">
        <f>P192</f>
      </c>
      <c r="Q202" s="18">
        <f>Q192</f>
      </c>
      <c r="R202" s="18">
        <f>R192</f>
      </c>
      <c r="S202" s="18">
        <f>S192</f>
      </c>
      <c r="T202" s="18">
        <f>T192</f>
      </c>
      <c r="U202" s="18">
        <f>U192</f>
      </c>
      <c r="V202" s="18">
        <f>V192</f>
      </c>
      <c r="W202" s="18">
        <f>W192</f>
      </c>
      <c r="X202" s="18">
        <f>X192</f>
      </c>
      <c r="Y202" s="18">
        <f>Y192</f>
      </c>
      <c r="Z202" s="18">
        <f>Z192</f>
      </c>
      <c r="AA202" s="18">
        <f>AA192</f>
      </c>
      <c r="AB202" s="18">
        <f>AB192</f>
      </c>
      <c r="AC202" s="18">
        <f>AC192</f>
      </c>
      <c r="AD202" s="18">
        <f>AD192</f>
      </c>
      <c r="AE202" s="18">
        <f>AE192</f>
      </c>
      <c r="AF202" s="18">
        <f>AF192</f>
      </c>
      <c r="AG202" s="18">
        <f>AG192</f>
      </c>
      <c r="AH202" s="18">
        <f>AH192</f>
      </c>
      <c r="AI202" s="18">
        <f>AI192</f>
      </c>
      <c r="AJ202" s="18">
        <f>AJ192</f>
      </c>
      <c r="AK202" s="18">
        <f>AK192</f>
      </c>
      <c r="AL202" s="18">
        <f>AL192</f>
      </c>
      <c r="AM202" s="19"/>
    </row>
    <row r="203" ht="12.75" customHeight="1" spans="2:39" x14ac:dyDescent="0.25">
      <c r="B203" s="16"/>
      <c r="C203" s="17"/>
      <c r="D203" s="17" t="s">
        <v>44</v>
      </c>
      <c r="E203" s="17"/>
      <c r="F203" s="17"/>
      <c r="G203" s="18">
        <f>G196</f>
      </c>
      <c r="H203" s="18">
        <f>H196</f>
      </c>
      <c r="I203" s="18">
        <f>I196</f>
      </c>
      <c r="J203" s="18">
        <f>J196</f>
      </c>
      <c r="K203" s="18">
        <f>K196</f>
      </c>
      <c r="L203" s="18">
        <f>L196</f>
      </c>
      <c r="M203" s="18">
        <f>M196</f>
      </c>
      <c r="N203" s="18">
        <f>N196</f>
      </c>
      <c r="O203" s="18">
        <f>O196</f>
      </c>
      <c r="P203" s="18">
        <f>P196</f>
      </c>
      <c r="Q203" s="18">
        <f>Q196</f>
      </c>
      <c r="R203" s="18">
        <f>R196</f>
      </c>
      <c r="S203" s="18">
        <f>S196</f>
      </c>
      <c r="T203" s="18">
        <f>T196</f>
      </c>
      <c r="U203" s="18">
        <f>U196</f>
      </c>
      <c r="V203" s="18">
        <f>V196</f>
      </c>
      <c r="W203" s="18">
        <f>W196</f>
      </c>
      <c r="X203" s="18">
        <f>X196</f>
      </c>
      <c r="Y203" s="18">
        <f>Y196</f>
      </c>
      <c r="Z203" s="18">
        <f>Z196</f>
      </c>
      <c r="AA203" s="18">
        <f>AA196</f>
      </c>
      <c r="AB203" s="18">
        <f>AB196</f>
      </c>
      <c r="AC203" s="18">
        <f>AC196</f>
      </c>
      <c r="AD203" s="18">
        <f>AD196</f>
      </c>
      <c r="AE203" s="18">
        <f>AE196</f>
      </c>
      <c r="AF203" s="18">
        <f>AF196</f>
      </c>
      <c r="AG203" s="18">
        <f>AG196</f>
      </c>
      <c r="AH203" s="18">
        <f>AH196</f>
      </c>
      <c r="AI203" s="18">
        <f>AI196</f>
      </c>
      <c r="AJ203" s="18">
        <f>AJ196</f>
      </c>
      <c r="AK203" s="18">
        <f>AK196</f>
      </c>
      <c r="AL203" s="18">
        <f>AL196</f>
      </c>
      <c r="AM203" s="19"/>
    </row>
    <row r="204" ht="12.75" customHeight="1" spans="2:39" x14ac:dyDescent="0.25">
      <c r="B204" s="20"/>
      <c r="C204" s="21"/>
      <c r="D204" s="21" t="s">
        <v>45</v>
      </c>
      <c r="E204" s="21"/>
      <c r="F204" s="21"/>
      <c r="G204" s="22">
        <f>G200+G201+G202+G203</f>
      </c>
      <c r="H204" s="22">
        <f>H200+H201+H202+H203</f>
      </c>
      <c r="I204" s="22">
        <f>I200+I201+I202+I203</f>
      </c>
      <c r="J204" s="22">
        <f>J200+J201+J202+J203</f>
      </c>
      <c r="K204" s="22">
        <f>K200+K201+K202+K203</f>
      </c>
      <c r="L204" s="22">
        <f>L200+L201+L202+L203</f>
      </c>
      <c r="M204" s="22">
        <f>M200+M201+M202+M203</f>
      </c>
      <c r="N204" s="22">
        <f>N200+N201+N202+N203</f>
      </c>
      <c r="O204" s="22">
        <f>O200+O201+O202+O203</f>
      </c>
      <c r="P204" s="22">
        <f>P200+P201+P202+P203</f>
      </c>
      <c r="Q204" s="22">
        <f>Q200+Q201+Q202+Q203</f>
      </c>
      <c r="R204" s="22">
        <f>R200+R201+R202+R203</f>
      </c>
      <c r="S204" s="22">
        <f>S200+S201+S202+S203</f>
      </c>
      <c r="T204" s="22">
        <f>T200+T201+T202+T203</f>
      </c>
      <c r="U204" s="22">
        <f>U200+U201+U202+U203</f>
      </c>
      <c r="V204" s="22">
        <f>V200+V201+V202+V203</f>
      </c>
      <c r="W204" s="22">
        <f>W200+W201+W202+W203</f>
      </c>
      <c r="X204" s="22">
        <f>X200+X201+X202+X203</f>
      </c>
      <c r="Y204" s="22">
        <f>Y200+Y201+Y202+Y203</f>
      </c>
      <c r="Z204" s="22">
        <f>Z200+Z201+Z202+Z203</f>
      </c>
      <c r="AA204" s="22">
        <f>AA200+AA201+AA202+AA203</f>
      </c>
      <c r="AB204" s="22">
        <f>AB200+AB201+AB202+AB203</f>
      </c>
      <c r="AC204" s="22">
        <f>AC200+AC201+AC202+AC203</f>
      </c>
      <c r="AD204" s="22">
        <f>AD200+AD201+AD202+AD203</f>
      </c>
      <c r="AE204" s="22">
        <f>AE200+AE201+AE202+AE203</f>
      </c>
      <c r="AF204" s="22">
        <f>AF200+AF201+AF202+AF203</f>
      </c>
      <c r="AG204" s="22">
        <f>AG200+AG201+AG202+AG203</f>
      </c>
      <c r="AH204" s="22">
        <f>AH200+AH201+AH202+AH203</f>
      </c>
      <c r="AI204" s="22">
        <f>AI200+AI201+AI202+AI203</f>
      </c>
      <c r="AJ204" s="22">
        <f>AJ200+AJ201+AJ202+AJ203</f>
      </c>
      <c r="AK204" s="22">
        <f>AK200+AK201+AK202+AK203</f>
      </c>
      <c r="AL204" s="22">
        <f>AL200+AL201+AL202+AL203</f>
      </c>
      <c r="AM204" s="23"/>
    </row>
    <row r="206" ht="12.75" customHeight="1" spans="2:39" x14ac:dyDescent="0.25">
      <c r="B206" s="11" t="s">
        <v>46</v>
      </c>
      <c r="C206" s="12"/>
      <c r="D206" s="12"/>
      <c r="E206" s="12"/>
      <c r="F206" s="12"/>
      <c r="G206" s="52" t="s">
        <v>7</v>
      </c>
      <c r="H206" s="52" t="s">
        <v>8</v>
      </c>
      <c r="I206" s="52" t="s">
        <v>9</v>
      </c>
      <c r="J206" s="52" t="s">
        <v>10</v>
      </c>
      <c r="K206" s="52" t="s">
        <v>11</v>
      </c>
      <c r="L206" s="52" t="s">
        <v>12</v>
      </c>
      <c r="M206" s="52" t="s">
        <v>13</v>
      </c>
      <c r="N206" s="52" t="s">
        <v>14</v>
      </c>
      <c r="O206" s="52" t="s">
        <v>15</v>
      </c>
      <c r="P206" s="52" t="s">
        <v>16</v>
      </c>
      <c r="Q206" s="52" t="s">
        <v>17</v>
      </c>
      <c r="R206" s="52" t="s">
        <v>18</v>
      </c>
      <c r="S206" s="52" t="s">
        <v>19</v>
      </c>
      <c r="T206" s="52" t="s">
        <v>20</v>
      </c>
      <c r="U206" s="52" t="s">
        <v>21</v>
      </c>
      <c r="V206" s="52" t="s">
        <v>22</v>
      </c>
      <c r="W206" s="52" t="s">
        <v>23</v>
      </c>
      <c r="X206" s="52" t="s">
        <v>24</v>
      </c>
      <c r="Y206" s="52" t="s">
        <v>25</v>
      </c>
      <c r="Z206" s="52" t="s">
        <v>26</v>
      </c>
      <c r="AA206" s="52" t="s">
        <v>27</v>
      </c>
      <c r="AB206" s="52" t="s">
        <v>28</v>
      </c>
      <c r="AC206" s="52" t="s">
        <v>29</v>
      </c>
      <c r="AD206" s="52" t="s">
        <v>30</v>
      </c>
      <c r="AE206" s="52" t="s">
        <v>31</v>
      </c>
      <c r="AF206" s="52" t="s">
        <v>32</v>
      </c>
      <c r="AG206" s="52" t="s">
        <v>33</v>
      </c>
      <c r="AH206" s="52" t="s">
        <v>34</v>
      </c>
      <c r="AI206" s="52" t="s">
        <v>35</v>
      </c>
      <c r="AJ206" s="52" t="s">
        <v>36</v>
      </c>
      <c r="AK206" s="52" t="s">
        <v>37</v>
      </c>
      <c r="AL206" s="52" t="s">
        <v>38</v>
      </c>
      <c r="AM206" s="15"/>
    </row>
    <row r="207" ht="12.75" customHeight="1" spans="2:39" x14ac:dyDescent="0.25">
      <c r="B207" s="16"/>
      <c r="C207" s="17"/>
      <c r="D207" s="17" t="s">
        <v>41</v>
      </c>
      <c r="E207" s="17"/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9"/>
    </row>
    <row r="208" ht="12.75" customHeight="1" spans="2:39" x14ac:dyDescent="0.25">
      <c r="B208" s="16"/>
      <c r="C208" s="17"/>
      <c r="D208" s="17" t="s">
        <v>42</v>
      </c>
      <c r="E208" s="17"/>
      <c r="F208" s="1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9"/>
    </row>
    <row r="209" ht="12.75" customHeight="1" spans="2:39" x14ac:dyDescent="0.25">
      <c r="B209" s="16"/>
      <c r="C209" s="17"/>
      <c r="D209" s="17" t="s">
        <v>43</v>
      </c>
      <c r="E209" s="17"/>
      <c r="F209" s="1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9"/>
    </row>
    <row r="210" ht="12.75" customHeight="1" spans="2:39" x14ac:dyDescent="0.25">
      <c r="B210" s="16"/>
      <c r="C210" s="17"/>
      <c r="D210" s="17" t="s">
        <v>44</v>
      </c>
      <c r="E210" s="17"/>
      <c r="F210" s="1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9"/>
    </row>
    <row r="211" ht="12.75" customHeight="1" spans="2:39" x14ac:dyDescent="0.25">
      <c r="B211" s="20"/>
      <c r="C211" s="21"/>
      <c r="D211" s="21" t="s">
        <v>45</v>
      </c>
      <c r="E211" s="21"/>
      <c r="F211" s="21"/>
      <c r="G211" s="22">
        <f>G207+G208+G209+G210</f>
      </c>
      <c r="H211" s="22">
        <f>H207+H208+H209+H210</f>
      </c>
      <c r="I211" s="22">
        <f>I207+I208+I209+I210</f>
      </c>
      <c r="J211" s="22">
        <f>J207+J208+J209+J210</f>
      </c>
      <c r="K211" s="22">
        <f>K207+K208+K209+K210</f>
      </c>
      <c r="L211" s="22">
        <f>L207+L208+L209+L210</f>
      </c>
      <c r="M211" s="22">
        <f>M207+M208+M209+M210</f>
      </c>
      <c r="N211" s="22">
        <f>N207+N208+N209+N210</f>
      </c>
      <c r="O211" s="22">
        <f>O207+O208+O209+O210</f>
      </c>
      <c r="P211" s="22">
        <f>P207+P208+P209+P210</f>
      </c>
      <c r="Q211" s="22">
        <f>Q207+Q208+Q209+Q210</f>
      </c>
      <c r="R211" s="22">
        <f>R207+R208+R209+R210</f>
      </c>
      <c r="S211" s="22">
        <f>S207+S208+S209+S210</f>
      </c>
      <c r="T211" s="22">
        <f>T207+T208+T209+T210</f>
      </c>
      <c r="U211" s="22">
        <f>U207+U208+U209+U210</f>
      </c>
      <c r="V211" s="22">
        <f>V207+V208+V209+V210</f>
      </c>
      <c r="W211" s="22">
        <f>W207+W208+W209+W210</f>
      </c>
      <c r="X211" s="22">
        <f>X207+X208+X209+X210</f>
      </c>
      <c r="Y211" s="22">
        <f>Y207+Y208+Y209+Y210</f>
      </c>
      <c r="Z211" s="22">
        <f>Z207+Z208+Z209+Z210</f>
      </c>
      <c r="AA211" s="22">
        <f>AA207+AA208+AA209+AA210</f>
      </c>
      <c r="AB211" s="22">
        <f>AB207+AB208+AB209+AB210</f>
      </c>
      <c r="AC211" s="22">
        <f>AC207+AC208+AC209+AC210</f>
      </c>
      <c r="AD211" s="22">
        <f>AD207+AD208+AD209+AD210</f>
      </c>
      <c r="AE211" s="22">
        <f>AE207+AE208+AE209+AE210</f>
      </c>
      <c r="AF211" s="22">
        <f>AF207+AF208+AF209+AF210</f>
      </c>
      <c r="AG211" s="22">
        <f>AG207+AG208+AG209+AG210</f>
      </c>
      <c r="AH211" s="22">
        <f>AH207+AH208+AH209+AH210</f>
      </c>
      <c r="AI211" s="22">
        <f>AI207+AI208+AI209+AI210</f>
      </c>
      <c r="AJ211" s="22">
        <f>AJ207+AJ208+AJ209+AJ210</f>
      </c>
      <c r="AK211" s="22">
        <f>AK207+AK208+AK209+AK210</f>
      </c>
      <c r="AL211" s="22">
        <f>AL207+AL208+AL209+AL210</f>
      </c>
      <c r="AM211" s="23"/>
    </row>
    <row r="213" ht="12.75" customHeight="1" spans="2:39" x14ac:dyDescent="0.25">
      <c r="B213" s="11" t="s">
        <v>47</v>
      </c>
      <c r="C213" s="12"/>
      <c r="D213" s="12"/>
      <c r="E213" s="12"/>
      <c r="F213" s="12"/>
      <c r="G213" s="52" t="s">
        <v>7</v>
      </c>
      <c r="H213" s="52" t="s">
        <v>8</v>
      </c>
      <c r="I213" s="52" t="s">
        <v>9</v>
      </c>
      <c r="J213" s="52" t="s">
        <v>10</v>
      </c>
      <c r="K213" s="52" t="s">
        <v>11</v>
      </c>
      <c r="L213" s="52" t="s">
        <v>12</v>
      </c>
      <c r="M213" s="52" t="s">
        <v>13</v>
      </c>
      <c r="N213" s="52" t="s">
        <v>14</v>
      </c>
      <c r="O213" s="52" t="s">
        <v>15</v>
      </c>
      <c r="P213" s="52" t="s">
        <v>16</v>
      </c>
      <c r="Q213" s="52" t="s">
        <v>17</v>
      </c>
      <c r="R213" s="52" t="s">
        <v>18</v>
      </c>
      <c r="S213" s="52" t="s">
        <v>19</v>
      </c>
      <c r="T213" s="52" t="s">
        <v>20</v>
      </c>
      <c r="U213" s="52" t="s">
        <v>21</v>
      </c>
      <c r="V213" s="52" t="s">
        <v>22</v>
      </c>
      <c r="W213" s="52" t="s">
        <v>23</v>
      </c>
      <c r="X213" s="52" t="s">
        <v>24</v>
      </c>
      <c r="Y213" s="52" t="s">
        <v>25</v>
      </c>
      <c r="Z213" s="52" t="s">
        <v>26</v>
      </c>
      <c r="AA213" s="52" t="s">
        <v>27</v>
      </c>
      <c r="AB213" s="52" t="s">
        <v>28</v>
      </c>
      <c r="AC213" s="52" t="s">
        <v>29</v>
      </c>
      <c r="AD213" s="52" t="s">
        <v>30</v>
      </c>
      <c r="AE213" s="52" t="s">
        <v>31</v>
      </c>
      <c r="AF213" s="52" t="s">
        <v>32</v>
      </c>
      <c r="AG213" s="52" t="s">
        <v>33</v>
      </c>
      <c r="AH213" s="52" t="s">
        <v>34</v>
      </c>
      <c r="AI213" s="52" t="s">
        <v>35</v>
      </c>
      <c r="AJ213" s="52" t="s">
        <v>36</v>
      </c>
      <c r="AK213" s="52" t="s">
        <v>37</v>
      </c>
      <c r="AL213" s="52" t="s">
        <v>38</v>
      </c>
      <c r="AM213" s="15"/>
    </row>
    <row r="214" ht="12.75" customHeight="1" spans="2:39" x14ac:dyDescent="0.25">
      <c r="B214" s="16"/>
      <c r="C214" s="17"/>
      <c r="D214" s="17" t="s">
        <v>41</v>
      </c>
      <c r="E214" s="17"/>
      <c r="F214" s="17"/>
      <c r="G214" s="24">
        <f>G207-G200</f>
      </c>
      <c r="H214" s="24">
        <f>H207-H200</f>
      </c>
      <c r="I214" s="24">
        <f>I207-I200</f>
      </c>
      <c r="J214" s="24">
        <f>J207-J200</f>
      </c>
      <c r="K214" s="24">
        <f>K207-K200</f>
      </c>
      <c r="L214" s="24">
        <f>L207-L200</f>
      </c>
      <c r="M214" s="24">
        <f>M207-M200</f>
      </c>
      <c r="N214" s="24">
        <f>N207-N200</f>
      </c>
      <c r="O214" s="24">
        <f>O207-O200</f>
      </c>
      <c r="P214" s="24">
        <f>P207-P200</f>
      </c>
      <c r="Q214" s="24">
        <f>Q207-Q200</f>
      </c>
      <c r="R214" s="24">
        <f>R207-R200</f>
      </c>
      <c r="S214" s="24">
        <f>S207-S200</f>
      </c>
      <c r="T214" s="24">
        <f>T207-T200</f>
      </c>
      <c r="U214" s="24">
        <f>U207-U200</f>
      </c>
      <c r="V214" s="24">
        <f>V207-V200</f>
      </c>
      <c r="W214" s="24">
        <f>W207-W200</f>
      </c>
      <c r="X214" s="24">
        <f>X207-X200</f>
      </c>
      <c r="Y214" s="24">
        <f>Y207-Y200</f>
      </c>
      <c r="Z214" s="24">
        <f>Z207-Z200</f>
      </c>
      <c r="AA214" s="24">
        <f>AA207-AA200</f>
      </c>
      <c r="AB214" s="24">
        <f>AB207-AB200</f>
      </c>
      <c r="AC214" s="24">
        <f>AC207-AC200</f>
      </c>
      <c r="AD214" s="24">
        <f>AD207-AD200</f>
      </c>
      <c r="AE214" s="24">
        <f>AE207-AE200</f>
      </c>
      <c r="AF214" s="24">
        <f>AF207-AF200</f>
      </c>
      <c r="AG214" s="24">
        <f>AG207-AG200</f>
      </c>
      <c r="AH214" s="24">
        <f>AH207-AH200</f>
      </c>
      <c r="AI214" s="24">
        <f>AI207-AI200</f>
      </c>
      <c r="AJ214" s="24">
        <f>AJ207-AJ200</f>
      </c>
      <c r="AK214" s="24">
        <f>AK207-AK200</f>
      </c>
      <c r="AL214" s="24">
        <f>AL207-AL200</f>
      </c>
      <c r="AM214" s="19"/>
    </row>
    <row r="215" ht="12.75" customHeight="1" spans="2:39" x14ac:dyDescent="0.25">
      <c r="B215" s="16"/>
      <c r="C215" s="17"/>
      <c r="D215" s="17" t="s">
        <v>42</v>
      </c>
      <c r="E215" s="17"/>
      <c r="F215" s="17"/>
      <c r="G215" s="24">
        <f>G208-G201</f>
      </c>
      <c r="H215" s="24">
        <f>H208-H201</f>
      </c>
      <c r="I215" s="24">
        <f>I208-I201</f>
      </c>
      <c r="J215" s="24">
        <f>J208-J201</f>
      </c>
      <c r="K215" s="24">
        <f>K208-K201</f>
      </c>
      <c r="L215" s="24">
        <f>L208-L201</f>
      </c>
      <c r="M215" s="24">
        <f>M208-M201</f>
      </c>
      <c r="N215" s="24">
        <f>N208-N201</f>
      </c>
      <c r="O215" s="24">
        <f>O208-O201</f>
      </c>
      <c r="P215" s="24">
        <f>P208-P201</f>
      </c>
      <c r="Q215" s="24">
        <f>Q208-Q201</f>
      </c>
      <c r="R215" s="24">
        <f>R208-R201</f>
      </c>
      <c r="S215" s="24">
        <f>S208-S201</f>
      </c>
      <c r="T215" s="24">
        <f>T208-T201</f>
      </c>
      <c r="U215" s="24">
        <f>U208-U201</f>
      </c>
      <c r="V215" s="24">
        <f>V208-V201</f>
      </c>
      <c r="W215" s="24">
        <f>W208-W201</f>
      </c>
      <c r="X215" s="24">
        <f>X208-X201</f>
      </c>
      <c r="Y215" s="24">
        <f>Y208-Y201</f>
      </c>
      <c r="Z215" s="24">
        <f>Z208-Z201</f>
      </c>
      <c r="AA215" s="24">
        <f>AA208-AA201</f>
      </c>
      <c r="AB215" s="24">
        <f>AB208-AB201</f>
      </c>
      <c r="AC215" s="24">
        <f>AC208-AC201</f>
      </c>
      <c r="AD215" s="24">
        <f>AD208-AD201</f>
      </c>
      <c r="AE215" s="24">
        <f>AE208-AE201</f>
      </c>
      <c r="AF215" s="24">
        <f>AF208-AF201</f>
      </c>
      <c r="AG215" s="24">
        <f>AG208-AG201</f>
      </c>
      <c r="AH215" s="24">
        <f>AH208-AH201</f>
      </c>
      <c r="AI215" s="24">
        <f>AI208-AI201</f>
      </c>
      <c r="AJ215" s="24">
        <f>AJ208-AJ201</f>
      </c>
      <c r="AK215" s="24">
        <f>AK208-AK201</f>
      </c>
      <c r="AL215" s="24">
        <f>AL208-AL201</f>
      </c>
      <c r="AM215" s="19"/>
    </row>
    <row r="216" ht="12.75" customHeight="1" spans="2:39" x14ac:dyDescent="0.25">
      <c r="B216" s="16"/>
      <c r="C216" s="17"/>
      <c r="D216" s="17" t="s">
        <v>43</v>
      </c>
      <c r="E216" s="17"/>
      <c r="F216" s="17"/>
      <c r="G216" s="24">
        <f>G209-G202</f>
      </c>
      <c r="H216" s="24">
        <f>H209-H202</f>
      </c>
      <c r="I216" s="24">
        <f>I209-I202</f>
      </c>
      <c r="J216" s="24">
        <f>J209-J202</f>
      </c>
      <c r="K216" s="24">
        <f>K209-K202</f>
      </c>
      <c r="L216" s="24">
        <f>L209-L202</f>
      </c>
      <c r="M216" s="24">
        <f>M209-M202</f>
      </c>
      <c r="N216" s="24">
        <f>N209-N202</f>
      </c>
      <c r="O216" s="24">
        <f>O209-O202</f>
      </c>
      <c r="P216" s="24">
        <f>P209-P202</f>
      </c>
      <c r="Q216" s="24">
        <f>Q209-Q202</f>
      </c>
      <c r="R216" s="24">
        <f>R209-R202</f>
      </c>
      <c r="S216" s="24">
        <f>S209-S202</f>
      </c>
      <c r="T216" s="24">
        <f>T209-T202</f>
      </c>
      <c r="U216" s="24">
        <f>U209-U202</f>
      </c>
      <c r="V216" s="24">
        <f>V209-V202</f>
      </c>
      <c r="W216" s="24">
        <f>W209-W202</f>
      </c>
      <c r="X216" s="24">
        <f>X209-X202</f>
      </c>
      <c r="Y216" s="24">
        <f>Y209-Y202</f>
      </c>
      <c r="Z216" s="24">
        <f>Z209-Z202</f>
      </c>
      <c r="AA216" s="24">
        <f>AA209-AA202</f>
      </c>
      <c r="AB216" s="24">
        <f>AB209-AB202</f>
      </c>
      <c r="AC216" s="24">
        <f>AC209-AC202</f>
      </c>
      <c r="AD216" s="24">
        <f>AD209-AD202</f>
      </c>
      <c r="AE216" s="24">
        <f>AE209-AE202</f>
      </c>
      <c r="AF216" s="24">
        <f>AF209-AF202</f>
      </c>
      <c r="AG216" s="24">
        <f>AG209-AG202</f>
      </c>
      <c r="AH216" s="24">
        <f>AH209-AH202</f>
      </c>
      <c r="AI216" s="24">
        <f>AI209-AI202</f>
      </c>
      <c r="AJ216" s="24">
        <f>AJ209-AJ202</f>
      </c>
      <c r="AK216" s="24">
        <f>AK209-AK202</f>
      </c>
      <c r="AL216" s="24">
        <f>AL209-AL202</f>
      </c>
      <c r="AM216" s="19"/>
    </row>
    <row r="217" ht="12.75" customHeight="1" spans="2:39" x14ac:dyDescent="0.25">
      <c r="B217" s="16"/>
      <c r="C217" s="17"/>
      <c r="D217" s="17" t="s">
        <v>44</v>
      </c>
      <c r="E217" s="17"/>
      <c r="F217" s="17"/>
      <c r="G217" s="24">
        <f>G210-G203</f>
      </c>
      <c r="H217" s="24">
        <f>H210-H203</f>
      </c>
      <c r="I217" s="24">
        <f>I210-I203</f>
      </c>
      <c r="J217" s="24">
        <f>J210-J203</f>
      </c>
      <c r="K217" s="24">
        <f>K210-K203</f>
      </c>
      <c r="L217" s="24">
        <f>L210-L203</f>
      </c>
      <c r="M217" s="24">
        <f>M210-M203</f>
      </c>
      <c r="N217" s="24">
        <f>N210-N203</f>
      </c>
      <c r="O217" s="24">
        <f>O210-O203</f>
      </c>
      <c r="P217" s="24">
        <f>P210-P203</f>
      </c>
      <c r="Q217" s="24">
        <f>Q210-Q203</f>
      </c>
      <c r="R217" s="24">
        <f>R210-R203</f>
      </c>
      <c r="S217" s="24">
        <f>S210-S203</f>
      </c>
      <c r="T217" s="24">
        <f>T210-T203</f>
      </c>
      <c r="U217" s="24">
        <f>U210-U203</f>
      </c>
      <c r="V217" s="24">
        <f>V210-V203</f>
      </c>
      <c r="W217" s="24">
        <f>W210-W203</f>
      </c>
      <c r="X217" s="24">
        <f>X210-X203</f>
      </c>
      <c r="Y217" s="24">
        <f>Y210-Y203</f>
      </c>
      <c r="Z217" s="24">
        <f>Z210-Z203</f>
      </c>
      <c r="AA217" s="24">
        <f>AA210-AA203</f>
      </c>
      <c r="AB217" s="24">
        <f>AB210-AB203</f>
      </c>
      <c r="AC217" s="24">
        <f>AC210-AC203</f>
      </c>
      <c r="AD217" s="24">
        <f>AD210-AD203</f>
      </c>
      <c r="AE217" s="24">
        <f>AE210-AE203</f>
      </c>
      <c r="AF217" s="24">
        <f>AF210-AF203</f>
      </c>
      <c r="AG217" s="24">
        <f>AG210-AG203</f>
      </c>
      <c r="AH217" s="24">
        <f>AH210-AH203</f>
      </c>
      <c r="AI217" s="24">
        <f>AI210-AI203</f>
      </c>
      <c r="AJ217" s="24">
        <f>AJ210-AJ203</f>
      </c>
      <c r="AK217" s="24">
        <f>AK210-AK203</f>
      </c>
      <c r="AL217" s="24">
        <f>AL210-AL203</f>
      </c>
      <c r="AM217" s="19"/>
    </row>
    <row r="218" ht="12.75" customHeight="1" spans="2:39" x14ac:dyDescent="0.25">
      <c r="B218" s="20"/>
      <c r="C218" s="21"/>
      <c r="D218" s="21" t="s">
        <v>45</v>
      </c>
      <c r="E218" s="21"/>
      <c r="F218" s="21"/>
      <c r="G218" s="25">
        <f>G214+G215+G216+G217</f>
      </c>
      <c r="H218" s="25">
        <f>H214+H215+H216+H217</f>
      </c>
      <c r="I218" s="25">
        <f>I214+I215+I216+I217</f>
      </c>
      <c r="J218" s="25">
        <f>J214+J215+J216+J217</f>
      </c>
      <c r="K218" s="25">
        <f>K214+K215+K216+K217</f>
      </c>
      <c r="L218" s="25">
        <f>L214+L215+L216+L217</f>
      </c>
      <c r="M218" s="25">
        <f>M214+M215+M216+M217</f>
      </c>
      <c r="N218" s="25">
        <f>N214+N215+N216+N217</f>
      </c>
      <c r="O218" s="25">
        <f>O214+O215+O216+O217</f>
      </c>
      <c r="P218" s="25">
        <f>P214+P215+P216+P217</f>
      </c>
      <c r="Q218" s="25">
        <f>Q214+Q215+Q216+Q217</f>
      </c>
      <c r="R218" s="25">
        <f>R214+R215+R216+R217</f>
      </c>
      <c r="S218" s="25">
        <f>S214+S215+S216+S217</f>
      </c>
      <c r="T218" s="25">
        <f>T214+T215+T216+T217</f>
      </c>
      <c r="U218" s="25">
        <f>U214+U215+U216+U217</f>
      </c>
      <c r="V218" s="25">
        <f>V214+V215+V216+V217</f>
      </c>
      <c r="W218" s="25">
        <f>W214+W215+W216+W217</f>
      </c>
      <c r="X218" s="25">
        <f>X214+X215+X216+X217</f>
      </c>
      <c r="Y218" s="25">
        <f>Y214+Y215+Y216+Y217</f>
      </c>
      <c r="Z218" s="25">
        <f>Z214+Z215+Z216+Z217</f>
      </c>
      <c r="AA218" s="25">
        <f>AA214+AA215+AA216+AA217</f>
      </c>
      <c r="AB218" s="25">
        <f>AB214+AB215+AB216+AB217</f>
      </c>
      <c r="AC218" s="25">
        <f>AC214+AC215+AC216+AC217</f>
      </c>
      <c r="AD218" s="25">
        <f>AD214+AD215+AD216+AD217</f>
      </c>
      <c r="AE218" s="25">
        <f>AE214+AE215+AE216+AE217</f>
      </c>
      <c r="AF218" s="25">
        <f>AF214+AF215+AF216+AF217</f>
      </c>
      <c r="AG218" s="25">
        <f>AG214+AG215+AG216+AG217</f>
      </c>
      <c r="AH218" s="25">
        <f>AH214+AH215+AH216+AH217</f>
      </c>
      <c r="AI218" s="25">
        <f>AI214+AI215+AI216+AI217</f>
      </c>
      <c r="AJ218" s="25">
        <f>AJ214+AJ215+AJ216+AJ217</f>
      </c>
      <c r="AK218" s="25">
        <f>AK214+AK215+AK216+AK217</f>
      </c>
      <c r="AL218" s="25">
        <f>AL214+AL215+AL216+AL217</f>
      </c>
      <c r="AM21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1038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666</v>
      </c>
      <c r="D13" s="32" t="s">
        <v>1039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6">
        <f>54.50+645.86</f>
        <v>700.36</v>
      </c>
      <c r="AB13" s="36">
        <f>74.17+782.49</f>
        <v>856.66</v>
      </c>
      <c r="AC13" s="36">
        <f>67.06+607.26</f>
        <v>674.3199999999999</v>
      </c>
      <c r="AD13" s="36">
        <f>76.79+760.66</f>
        <v>837.4499999999999</v>
      </c>
      <c r="AE13" s="36">
        <f>80.77+637.11</f>
        <v>717.88</v>
      </c>
      <c r="AF13" s="36">
        <f>81.66+563.58</f>
        <v>645.24</v>
      </c>
      <c r="AG13" s="36">
        <f>84.43+595.95</f>
        <v>680.3800000000001</v>
      </c>
      <c r="AH13" s="36">
        <f>82.25+772.42</f>
        <v>854.67</v>
      </c>
      <c r="AI13" s="36">
        <f>72.08+563.58</f>
        <v>635.6600000000001</v>
      </c>
      <c r="AJ13" s="34">
        <f>SUM(E13:AI13)</f>
      </c>
      <c r="AK13" s="35"/>
    </row>
    <row r="14" ht="12.75" customHeight="1" spans="2:37" x14ac:dyDescent="0.25">
      <c r="B14" s="37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40"/>
    </row>
    <row r="15" ht="12.75" customHeight="1" spans="2:37" x14ac:dyDescent="0.25">
      <c r="B15" s="20" t="s">
        <v>85</v>
      </c>
      <c r="C15" s="21"/>
      <c r="D15" s="21"/>
      <c r="E15" s="22">
        <f>SUM(E13:E13)</f>
      </c>
      <c r="F15" s="22">
        <f>SUM(F13:F13)</f>
      </c>
      <c r="G15" s="22">
        <f>SUM(G13:G13)</f>
      </c>
      <c r="H15" s="22">
        <f>SUM(H13:H13)</f>
      </c>
      <c r="I15" s="22">
        <f>SUM(I13:I13)</f>
      </c>
      <c r="J15" s="22">
        <f>SUM(J13:J13)</f>
      </c>
      <c r="K15" s="22">
        <f>SUM(K13:K13)</f>
      </c>
      <c r="L15" s="22">
        <f>SUM(L13:L13)</f>
      </c>
      <c r="M15" s="22">
        <f>SUM(M13:M13)</f>
      </c>
      <c r="N15" s="22">
        <f>SUM(N13:N13)</f>
      </c>
      <c r="O15" s="22">
        <f>SUM(O13:O13)</f>
      </c>
      <c r="P15" s="22">
        <f>SUM(P13:P13)</f>
      </c>
      <c r="Q15" s="22">
        <f>SUM(Q13:Q13)</f>
      </c>
      <c r="R15" s="22">
        <f>SUM(R13:R13)</f>
      </c>
      <c r="S15" s="22">
        <f>SUM(S13:S13)</f>
      </c>
      <c r="T15" s="22">
        <f>SUM(T13:T13)</f>
      </c>
      <c r="U15" s="22">
        <f>SUM(U13:U13)</f>
      </c>
      <c r="V15" s="22">
        <f>SUM(V13:V13)</f>
      </c>
      <c r="W15" s="22">
        <f>SUM(W13:W13)</f>
      </c>
      <c r="X15" s="22">
        <f>SUM(X13:X13)</f>
      </c>
      <c r="Y15" s="22">
        <f>SUM(Y13:Y13)</f>
      </c>
      <c r="Z15" s="22">
        <f>SUM(Z13:Z13)</f>
      </c>
      <c r="AA15" s="22">
        <f>SUM(AA13:AA13)</f>
      </c>
      <c r="AB15" s="22">
        <f>SUM(AB13:AB13)</f>
      </c>
      <c r="AC15" s="22">
        <f>SUM(AC13:AC13)</f>
      </c>
      <c r="AD15" s="22">
        <f>SUM(AD13:AD13)</f>
      </c>
      <c r="AE15" s="22">
        <f>SUM(AE13:AE13)</f>
      </c>
      <c r="AF15" s="22">
        <f>SUM(AF13:AF13)</f>
      </c>
      <c r="AG15" s="22">
        <f>SUM(AG13:AG13)</f>
      </c>
      <c r="AH15" s="22">
        <f>SUM(AH13:AH13)</f>
      </c>
      <c r="AI15" s="22">
        <f>SUM(AI13:AI13)</f>
      </c>
      <c r="AJ15" s="22">
        <f>SUM(AJ13:AJ13)</f>
      </c>
      <c r="AK15" s="23"/>
    </row>
    <row r="17" ht="12.75" customHeight="1" spans="2:37" x14ac:dyDescent="0.25">
      <c r="B17" s="26" t="s">
        <v>43</v>
      </c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9"/>
    </row>
    <row r="18" ht="12.75" customHeight="1" spans="2:37" x14ac:dyDescent="0.25">
      <c r="B18" s="30" t="s">
        <v>43</v>
      </c>
      <c r="C18" s="31" t="s">
        <v>668</v>
      </c>
      <c r="D18" s="32" t="s">
        <v>1040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6">
        <f>0.00+127.01+648.23+0.00+2174.21+0.00</f>
        <v>2949.45</v>
      </c>
      <c r="AA18" s="36">
        <f>-2331.38+0.00+2073.33</f>
        <v>-258.0500000000002</v>
      </c>
      <c r="AB18" s="36">
        <f>278.82+0.00+1801.73</f>
        <v>2080.55</v>
      </c>
      <c r="AC18" s="36">
        <f>631.99+46.40+2275.09</f>
        <v>2953.48</v>
      </c>
      <c r="AD18" s="36">
        <f>0.00+571.67+1918.13</f>
        <v>2489.8</v>
      </c>
      <c r="AE18" s="36">
        <f>790.47+0.00+2653.70</f>
        <v>3444.17</v>
      </c>
      <c r="AF18" s="36">
        <f>0.00+613.68+2061.56</f>
        <v>2675.24</v>
      </c>
      <c r="AG18" s="36">
        <f>0.00+715.77+2403.50+97.22+0.00+0.00</f>
        <v>3216.49</v>
      </c>
      <c r="AH18" s="36">
        <f>773.04+0.00+2595.32</f>
        <v>3368.36</v>
      </c>
      <c r="AI18" s="32"/>
      <c r="AJ18" s="34">
        <f>SUM(E18:AI18)</f>
      </c>
      <c r="AK18" s="35"/>
    </row>
    <row r="19" ht="12.75" customHeight="1" spans="2:37" x14ac:dyDescent="0.25"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ht="12.75" customHeight="1" spans="2:37" x14ac:dyDescent="0.25">
      <c r="B20" s="20" t="s">
        <v>89</v>
      </c>
      <c r="C20" s="21"/>
      <c r="D20" s="21"/>
      <c r="E20" s="22">
        <f>SUM(E18:E18)</f>
      </c>
      <c r="F20" s="22">
        <f>SUM(F18:F18)</f>
      </c>
      <c r="G20" s="22">
        <f>SUM(G18:G18)</f>
      </c>
      <c r="H20" s="22">
        <f>SUM(H18:H18)</f>
      </c>
      <c r="I20" s="22">
        <f>SUM(I18:I18)</f>
      </c>
      <c r="J20" s="22">
        <f>SUM(J18:J18)</f>
      </c>
      <c r="K20" s="22">
        <f>SUM(K18:K18)</f>
      </c>
      <c r="L20" s="22">
        <f>SUM(L18:L18)</f>
      </c>
      <c r="M20" s="22">
        <f>SUM(M18:M18)</f>
      </c>
      <c r="N20" s="22">
        <f>SUM(N18:N18)</f>
      </c>
      <c r="O20" s="22">
        <f>SUM(O18:O18)</f>
      </c>
      <c r="P20" s="22">
        <f>SUM(P18:P18)</f>
      </c>
      <c r="Q20" s="22">
        <f>SUM(Q18:Q18)</f>
      </c>
      <c r="R20" s="22">
        <f>SUM(R18:R18)</f>
      </c>
      <c r="S20" s="22">
        <f>SUM(S18:S18)</f>
      </c>
      <c r="T20" s="22">
        <f>SUM(T18:T18)</f>
      </c>
      <c r="U20" s="22">
        <f>SUM(U18:U18)</f>
      </c>
      <c r="V20" s="22">
        <f>SUM(V18:V18)</f>
      </c>
      <c r="W20" s="22">
        <f>SUM(W18:W18)</f>
      </c>
      <c r="X20" s="22">
        <f>SUM(X18:X18)</f>
      </c>
      <c r="Y20" s="22">
        <f>SUM(Y18:Y18)</f>
      </c>
      <c r="Z20" s="22">
        <f>SUM(Z18:Z18)</f>
      </c>
      <c r="AA20" s="22">
        <f>SUM(AA18:AA18)</f>
      </c>
      <c r="AB20" s="22">
        <f>SUM(AB18:AB18)</f>
      </c>
      <c r="AC20" s="22">
        <f>SUM(AC18:AC18)</f>
      </c>
      <c r="AD20" s="22">
        <f>SUM(AD18:AD18)</f>
      </c>
      <c r="AE20" s="22">
        <f>SUM(AE18:AE18)</f>
      </c>
      <c r="AF20" s="22">
        <f>SUM(AF18:AF18)</f>
      </c>
      <c r="AG20" s="22">
        <f>SUM(AG18:AG18)</f>
      </c>
      <c r="AH20" s="22">
        <f>SUM(AH18:AH18)</f>
      </c>
      <c r="AI20" s="22">
        <f>SUM(AI18:AI18)</f>
      </c>
      <c r="AJ20" s="22">
        <f>SUM(AJ18:AJ18)</f>
      </c>
      <c r="AK20" s="23"/>
    </row>
    <row r="22" ht="12.75" customHeight="1" spans="2:37" x14ac:dyDescent="0.25">
      <c r="B22" s="26" t="s">
        <v>44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9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90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3"/>
    </row>
    <row r="27" ht="12.75" customHeight="1" spans="2:37" x14ac:dyDescent="0.25">
      <c r="B27" s="11" t="s">
        <v>40</v>
      </c>
      <c r="C27" s="12"/>
      <c r="D27" s="13"/>
      <c r="E27" s="14" t="s">
        <v>7</v>
      </c>
      <c r="F27" s="14" t="s">
        <v>8</v>
      </c>
      <c r="G27" s="14" t="s">
        <v>9</v>
      </c>
      <c r="H27" s="14" t="s">
        <v>10</v>
      </c>
      <c r="I27" s="14" t="s">
        <v>11</v>
      </c>
      <c r="J27" s="14" t="s">
        <v>12</v>
      </c>
      <c r="K27" s="14" t="s">
        <v>13</v>
      </c>
      <c r="L27" s="14" t="s">
        <v>14</v>
      </c>
      <c r="M27" s="14" t="s">
        <v>15</v>
      </c>
      <c r="N27" s="14" t="s">
        <v>16</v>
      </c>
      <c r="O27" s="14" t="s">
        <v>17</v>
      </c>
      <c r="P27" s="14" t="s">
        <v>18</v>
      </c>
      <c r="Q27" s="14" t="s">
        <v>19</v>
      </c>
      <c r="R27" s="14" t="s">
        <v>20</v>
      </c>
      <c r="S27" s="14" t="s">
        <v>21</v>
      </c>
      <c r="T27" s="14" t="s">
        <v>22</v>
      </c>
      <c r="U27" s="14" t="s">
        <v>23</v>
      </c>
      <c r="V27" s="14" t="s">
        <v>24</v>
      </c>
      <c r="W27" s="14" t="s">
        <v>25</v>
      </c>
      <c r="X27" s="14" t="s">
        <v>26</v>
      </c>
      <c r="Y27" s="14" t="s">
        <v>27</v>
      </c>
      <c r="Z27" s="14" t="s">
        <v>28</v>
      </c>
      <c r="AA27" s="14" t="s">
        <v>29</v>
      </c>
      <c r="AB27" s="14" t="s">
        <v>30</v>
      </c>
      <c r="AC27" s="14" t="s">
        <v>31</v>
      </c>
      <c r="AD27" s="14" t="s">
        <v>32</v>
      </c>
      <c r="AE27" s="14" t="s">
        <v>33</v>
      </c>
      <c r="AF27" s="14" t="s">
        <v>34</v>
      </c>
      <c r="AG27" s="14" t="s">
        <v>35</v>
      </c>
      <c r="AH27" s="14" t="s">
        <v>36</v>
      </c>
      <c r="AI27" s="14" t="s">
        <v>37</v>
      </c>
      <c r="AJ27" s="14" t="s">
        <v>38</v>
      </c>
      <c r="AK27" s="15"/>
    </row>
    <row r="28" ht="12.75" customHeight="1" spans="2:37" x14ac:dyDescent="0.25">
      <c r="B28" s="16" t="s">
        <v>41</v>
      </c>
      <c r="C28" s="17"/>
      <c r="D28" s="17"/>
      <c r="E28" s="18">
        <f>E10</f>
      </c>
      <c r="F28" s="18">
        <f>F10</f>
      </c>
      <c r="G28" s="18">
        <f>G10</f>
      </c>
      <c r="H28" s="18">
        <f>H10</f>
      </c>
      <c r="I28" s="18">
        <f>I10</f>
      </c>
      <c r="J28" s="18">
        <f>J10</f>
      </c>
      <c r="K28" s="18">
        <f>K10</f>
      </c>
      <c r="L28" s="18">
        <f>L10</f>
      </c>
      <c r="M28" s="18">
        <f>M10</f>
      </c>
      <c r="N28" s="18">
        <f>N10</f>
      </c>
      <c r="O28" s="18">
        <f>O10</f>
      </c>
      <c r="P28" s="18">
        <f>P10</f>
      </c>
      <c r="Q28" s="18">
        <f>Q10</f>
      </c>
      <c r="R28" s="18">
        <f>R10</f>
      </c>
      <c r="S28" s="18">
        <f>S10</f>
      </c>
      <c r="T28" s="18">
        <f>T10</f>
      </c>
      <c r="U28" s="18">
        <f>U10</f>
      </c>
      <c r="V28" s="18">
        <f>V10</f>
      </c>
      <c r="W28" s="18">
        <f>W10</f>
      </c>
      <c r="X28" s="18">
        <f>X10</f>
      </c>
      <c r="Y28" s="18">
        <f>Y10</f>
      </c>
      <c r="Z28" s="18">
        <f>Z10</f>
      </c>
      <c r="AA28" s="18">
        <f>AA10</f>
      </c>
      <c r="AB28" s="18">
        <f>AB10</f>
      </c>
      <c r="AC28" s="18">
        <f>AC10</f>
      </c>
      <c r="AD28" s="18">
        <f>AD10</f>
      </c>
      <c r="AE28" s="18">
        <f>AE10</f>
      </c>
      <c r="AF28" s="18">
        <f>AF10</f>
      </c>
      <c r="AG28" s="18">
        <f>AG10</f>
      </c>
      <c r="AH28" s="18">
        <f>AH10</f>
      </c>
      <c r="AI28" s="18">
        <f>AI10</f>
      </c>
      <c r="AJ28" s="18">
        <f>AJ10</f>
      </c>
      <c r="AK28" s="19"/>
    </row>
    <row r="29" ht="12.75" customHeight="1" spans="2:37" x14ac:dyDescent="0.25">
      <c r="B29" s="16" t="s">
        <v>42</v>
      </c>
      <c r="C29" s="17"/>
      <c r="D29" s="17"/>
      <c r="E29" s="18">
        <f>E15</f>
      </c>
      <c r="F29" s="18">
        <f>F15</f>
      </c>
      <c r="G29" s="18">
        <f>G15</f>
      </c>
      <c r="H29" s="18">
        <f>H15</f>
      </c>
      <c r="I29" s="18">
        <f>I15</f>
      </c>
      <c r="J29" s="18">
        <f>J15</f>
      </c>
      <c r="K29" s="18">
        <f>K15</f>
      </c>
      <c r="L29" s="18">
        <f>L15</f>
      </c>
      <c r="M29" s="18">
        <f>M15</f>
      </c>
      <c r="N29" s="18">
        <f>N15</f>
      </c>
      <c r="O29" s="18">
        <f>O15</f>
      </c>
      <c r="P29" s="18">
        <f>P15</f>
      </c>
      <c r="Q29" s="18">
        <f>Q15</f>
      </c>
      <c r="R29" s="18">
        <f>R15</f>
      </c>
      <c r="S29" s="18">
        <f>S15</f>
      </c>
      <c r="T29" s="18">
        <f>T15</f>
      </c>
      <c r="U29" s="18">
        <f>U15</f>
      </c>
      <c r="V29" s="18">
        <f>V15</f>
      </c>
      <c r="W29" s="18">
        <f>W15</f>
      </c>
      <c r="X29" s="18">
        <f>X15</f>
      </c>
      <c r="Y29" s="18">
        <f>Y15</f>
      </c>
      <c r="Z29" s="18">
        <f>Z15</f>
      </c>
      <c r="AA29" s="18">
        <f>AA15</f>
      </c>
      <c r="AB29" s="18">
        <f>AB15</f>
      </c>
      <c r="AC29" s="18">
        <f>AC15</f>
      </c>
      <c r="AD29" s="18">
        <f>AD15</f>
      </c>
      <c r="AE29" s="18">
        <f>AE15</f>
      </c>
      <c r="AF29" s="18">
        <f>AF15</f>
      </c>
      <c r="AG29" s="18">
        <f>AG15</f>
      </c>
      <c r="AH29" s="18">
        <f>AH15</f>
      </c>
      <c r="AI29" s="18">
        <f>AI15</f>
      </c>
      <c r="AJ29" s="18">
        <f>AJ15</f>
      </c>
      <c r="AK29" s="19"/>
    </row>
    <row r="30" ht="12.75" customHeight="1" spans="2:37" x14ac:dyDescent="0.25">
      <c r="B30" s="16" t="s">
        <v>43</v>
      </c>
      <c r="C30" s="17"/>
      <c r="D30" s="17"/>
      <c r="E30" s="18">
        <f>E20</f>
      </c>
      <c r="F30" s="18">
        <f>F20</f>
      </c>
      <c r="G30" s="18">
        <f>G20</f>
      </c>
      <c r="H30" s="18">
        <f>H20</f>
      </c>
      <c r="I30" s="18">
        <f>I20</f>
      </c>
      <c r="J30" s="18">
        <f>J20</f>
      </c>
      <c r="K30" s="18">
        <f>K20</f>
      </c>
      <c r="L30" s="18">
        <f>L20</f>
      </c>
      <c r="M30" s="18">
        <f>M20</f>
      </c>
      <c r="N30" s="18">
        <f>N20</f>
      </c>
      <c r="O30" s="18">
        <f>O20</f>
      </c>
      <c r="P30" s="18">
        <f>P20</f>
      </c>
      <c r="Q30" s="18">
        <f>Q20</f>
      </c>
      <c r="R30" s="18">
        <f>R20</f>
      </c>
      <c r="S30" s="18">
        <f>S20</f>
      </c>
      <c r="T30" s="18">
        <f>T20</f>
      </c>
      <c r="U30" s="18">
        <f>U20</f>
      </c>
      <c r="V30" s="18">
        <f>V20</f>
      </c>
      <c r="W30" s="18">
        <f>W20</f>
      </c>
      <c r="X30" s="18">
        <f>X20</f>
      </c>
      <c r="Y30" s="18">
        <f>Y20</f>
      </c>
      <c r="Z30" s="18">
        <f>Z20</f>
      </c>
      <c r="AA30" s="18">
        <f>AA20</f>
      </c>
      <c r="AB30" s="18">
        <f>AB20</f>
      </c>
      <c r="AC30" s="18">
        <f>AC20</f>
      </c>
      <c r="AD30" s="18">
        <f>AD20</f>
      </c>
      <c r="AE30" s="18">
        <f>AE20</f>
      </c>
      <c r="AF30" s="18">
        <f>AF20</f>
      </c>
      <c r="AG30" s="18">
        <f>AG20</f>
      </c>
      <c r="AH30" s="18">
        <f>AH20</f>
      </c>
      <c r="AI30" s="18">
        <f>AI20</f>
      </c>
      <c r="AJ30" s="18">
        <f>AJ20</f>
      </c>
      <c r="AK30" s="19"/>
    </row>
    <row r="31" ht="12.75" customHeight="1" spans="2:37" x14ac:dyDescent="0.25">
      <c r="B31" s="16" t="s">
        <v>44</v>
      </c>
      <c r="C31" s="17"/>
      <c r="D31" s="17"/>
      <c r="E31" s="18">
        <f>E24</f>
      </c>
      <c r="F31" s="18">
        <f>F24</f>
      </c>
      <c r="G31" s="18">
        <f>G24</f>
      </c>
      <c r="H31" s="18">
        <f>H24</f>
      </c>
      <c r="I31" s="18">
        <f>I24</f>
      </c>
      <c r="J31" s="18">
        <f>J24</f>
      </c>
      <c r="K31" s="18">
        <f>K24</f>
      </c>
      <c r="L31" s="18">
        <f>L24</f>
      </c>
      <c r="M31" s="18">
        <f>M24</f>
      </c>
      <c r="N31" s="18">
        <f>N24</f>
      </c>
      <c r="O31" s="18">
        <f>O24</f>
      </c>
      <c r="P31" s="18">
        <f>P24</f>
      </c>
      <c r="Q31" s="18">
        <f>Q24</f>
      </c>
      <c r="R31" s="18">
        <f>R24</f>
      </c>
      <c r="S31" s="18">
        <f>S24</f>
      </c>
      <c r="T31" s="18">
        <f>T24</f>
      </c>
      <c r="U31" s="18">
        <f>U24</f>
      </c>
      <c r="V31" s="18">
        <f>V24</f>
      </c>
      <c r="W31" s="18">
        <f>W24</f>
      </c>
      <c r="X31" s="18">
        <f>X24</f>
      </c>
      <c r="Y31" s="18">
        <f>Y24</f>
      </c>
      <c r="Z31" s="18">
        <f>Z24</f>
      </c>
      <c r="AA31" s="18">
        <f>AA24</f>
      </c>
      <c r="AB31" s="18">
        <f>AB24</f>
      </c>
      <c r="AC31" s="18">
        <f>AC24</f>
      </c>
      <c r="AD31" s="18">
        <f>AD24</f>
      </c>
      <c r="AE31" s="18">
        <f>AE24</f>
      </c>
      <c r="AF31" s="18">
        <f>AF24</f>
      </c>
      <c r="AG31" s="18">
        <f>AG24</f>
      </c>
      <c r="AH31" s="18">
        <f>AH24</f>
      </c>
      <c r="AI31" s="18">
        <f>AI24</f>
      </c>
      <c r="AJ31" s="18">
        <f>AJ24</f>
      </c>
      <c r="AK31" s="19"/>
    </row>
    <row r="32" ht="12.75" customHeight="1" spans="2:37" x14ac:dyDescent="0.25">
      <c r="B32" s="20" t="s">
        <v>45</v>
      </c>
      <c r="C32" s="21"/>
      <c r="D32" s="21"/>
      <c r="E32" s="22">
        <f>E28+E29+E30+E31</f>
      </c>
      <c r="F32" s="22">
        <f>F28+F29+F30+F31</f>
      </c>
      <c r="G32" s="22">
        <f>G28+G29+G30+G31</f>
      </c>
      <c r="H32" s="22">
        <f>H28+H29+H30+H31</f>
      </c>
      <c r="I32" s="22">
        <f>I28+I29+I30+I31</f>
      </c>
      <c r="J32" s="22">
        <f>J28+J29+J30+J31</f>
      </c>
      <c r="K32" s="22">
        <f>K28+K29+K30+K31</f>
      </c>
      <c r="L32" s="22">
        <f>L28+L29+L30+L31</f>
      </c>
      <c r="M32" s="22">
        <f>M28+M29+M30+M31</f>
      </c>
      <c r="N32" s="22">
        <f>N28+N29+N30+N31</f>
      </c>
      <c r="O32" s="22">
        <f>O28+O29+O30+O31</f>
      </c>
      <c r="P32" s="22">
        <f>P28+P29+P30+P31</f>
      </c>
      <c r="Q32" s="22">
        <f>Q28+Q29+Q30+Q31</f>
      </c>
      <c r="R32" s="22">
        <f>R28+R29+R30+R31</f>
      </c>
      <c r="S32" s="22">
        <f>S28+S29+S30+S31</f>
      </c>
      <c r="T32" s="22">
        <f>T28+T29+T30+T31</f>
      </c>
      <c r="U32" s="22">
        <f>U28+U29+U30+U31</f>
      </c>
      <c r="V32" s="22">
        <f>V28+V29+V30+V31</f>
      </c>
      <c r="W32" s="22">
        <f>W28+W29+W30+W31</f>
      </c>
      <c r="X32" s="22">
        <f>X28+X29+X30+X31</f>
      </c>
      <c r="Y32" s="22">
        <f>Y28+Y29+Y30+Y31</f>
      </c>
      <c r="Z32" s="22">
        <f>Z28+Z29+Z30+Z31</f>
      </c>
      <c r="AA32" s="22">
        <f>AA28+AA29+AA30+AA31</f>
      </c>
      <c r="AB32" s="22">
        <f>AB28+AB29+AB30+AB31</f>
      </c>
      <c r="AC32" s="22">
        <f>AC28+AC29+AC30+AC31</f>
      </c>
      <c r="AD32" s="22">
        <f>AD28+AD29+AD30+AD31</f>
      </c>
      <c r="AE32" s="22">
        <f>AE28+AE29+AE30+AE31</f>
      </c>
      <c r="AF32" s="22">
        <f>AF28+AF29+AF30+AF31</f>
      </c>
      <c r="AG32" s="22">
        <f>AG28+AG29+AG30+AG31</f>
      </c>
      <c r="AH32" s="22">
        <f>AH28+AH29+AH30+AH31</f>
      </c>
      <c r="AI32" s="22">
        <f>AI28+AI29+AI30+AI31</f>
      </c>
      <c r="AJ32" s="22">
        <f>AJ28+AJ29+AJ30+AJ31</f>
      </c>
      <c r="AK32" s="23"/>
    </row>
    <row r="34" ht="12.75" customHeight="1" spans="2:37" x14ac:dyDescent="0.25">
      <c r="B34" s="11" t="s">
        <v>46</v>
      </c>
      <c r="C34" s="12"/>
      <c r="D34" s="13"/>
      <c r="E34" s="14" t="s">
        <v>7</v>
      </c>
      <c r="F34" s="14" t="s">
        <v>8</v>
      </c>
      <c r="G34" s="14" t="s">
        <v>9</v>
      </c>
      <c r="H34" s="14" t="s">
        <v>10</v>
      </c>
      <c r="I34" s="14" t="s">
        <v>11</v>
      </c>
      <c r="J34" s="14" t="s">
        <v>12</v>
      </c>
      <c r="K34" s="14" t="s">
        <v>13</v>
      </c>
      <c r="L34" s="14" t="s">
        <v>14</v>
      </c>
      <c r="M34" s="14" t="s">
        <v>15</v>
      </c>
      <c r="N34" s="14" t="s">
        <v>16</v>
      </c>
      <c r="O34" s="14" t="s">
        <v>17</v>
      </c>
      <c r="P34" s="14" t="s">
        <v>18</v>
      </c>
      <c r="Q34" s="14" t="s">
        <v>19</v>
      </c>
      <c r="R34" s="14" t="s">
        <v>20</v>
      </c>
      <c r="S34" s="14" t="s">
        <v>21</v>
      </c>
      <c r="T34" s="14" t="s">
        <v>22</v>
      </c>
      <c r="U34" s="14" t="s">
        <v>23</v>
      </c>
      <c r="V34" s="14" t="s">
        <v>24</v>
      </c>
      <c r="W34" s="14" t="s">
        <v>25</v>
      </c>
      <c r="X34" s="14" t="s">
        <v>26</v>
      </c>
      <c r="Y34" s="14" t="s">
        <v>27</v>
      </c>
      <c r="Z34" s="14" t="s">
        <v>28</v>
      </c>
      <c r="AA34" s="14" t="s">
        <v>29</v>
      </c>
      <c r="AB34" s="14" t="s">
        <v>30</v>
      </c>
      <c r="AC34" s="14" t="s">
        <v>31</v>
      </c>
      <c r="AD34" s="14" t="s">
        <v>32</v>
      </c>
      <c r="AE34" s="14" t="s">
        <v>33</v>
      </c>
      <c r="AF34" s="14" t="s">
        <v>34</v>
      </c>
      <c r="AG34" s="14" t="s">
        <v>35</v>
      </c>
      <c r="AH34" s="14" t="s">
        <v>36</v>
      </c>
      <c r="AI34" s="14" t="s">
        <v>37</v>
      </c>
      <c r="AJ34" s="14" t="s">
        <v>38</v>
      </c>
      <c r="AK34" s="15"/>
    </row>
    <row r="35" ht="12.75" customHeight="1" spans="2:37" x14ac:dyDescent="0.25">
      <c r="B35" s="16" t="s">
        <v>41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9"/>
    </row>
    <row r="36" ht="12.75" customHeight="1" spans="2:37" x14ac:dyDescent="0.25">
      <c r="B36" s="16" t="s">
        <v>42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9"/>
    </row>
    <row r="37" ht="12.75" customHeight="1" spans="2:37" x14ac:dyDescent="0.25">
      <c r="B37" s="16" t="s">
        <v>43</v>
      </c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ht="12.75" customHeight="1" spans="2:37" x14ac:dyDescent="0.25">
      <c r="B38" s="16" t="s">
        <v>44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20" t="s">
        <v>45</v>
      </c>
      <c r="C39" s="21"/>
      <c r="D39" s="21"/>
      <c r="E39" s="22">
        <f>E35+E36+E37+E38</f>
      </c>
      <c r="F39" s="22">
        <f>F35+F36+F37+F38</f>
      </c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3"/>
    </row>
    <row r="41" ht="12.75" customHeight="1" spans="2:37" x14ac:dyDescent="0.25">
      <c r="B41" s="11" t="s">
        <v>47</v>
      </c>
      <c r="C41" s="12"/>
      <c r="D41" s="13"/>
      <c r="E41" s="14" t="s">
        <v>7</v>
      </c>
      <c r="F41" s="14" t="s">
        <v>8</v>
      </c>
      <c r="G41" s="14" t="s">
        <v>9</v>
      </c>
      <c r="H41" s="14" t="s">
        <v>10</v>
      </c>
      <c r="I41" s="14" t="s">
        <v>11</v>
      </c>
      <c r="J41" s="14" t="s">
        <v>12</v>
      </c>
      <c r="K41" s="14" t="s">
        <v>13</v>
      </c>
      <c r="L41" s="14" t="s">
        <v>14</v>
      </c>
      <c r="M41" s="14" t="s">
        <v>15</v>
      </c>
      <c r="N41" s="14" t="s">
        <v>16</v>
      </c>
      <c r="O41" s="14" t="s">
        <v>17</v>
      </c>
      <c r="P41" s="14" t="s">
        <v>18</v>
      </c>
      <c r="Q41" s="14" t="s">
        <v>19</v>
      </c>
      <c r="R41" s="14" t="s">
        <v>20</v>
      </c>
      <c r="S41" s="14" t="s">
        <v>21</v>
      </c>
      <c r="T41" s="14" t="s">
        <v>22</v>
      </c>
      <c r="U41" s="14" t="s">
        <v>23</v>
      </c>
      <c r="V41" s="14" t="s">
        <v>24</v>
      </c>
      <c r="W41" s="14" t="s">
        <v>25</v>
      </c>
      <c r="X41" s="14" t="s">
        <v>26</v>
      </c>
      <c r="Y41" s="14" t="s">
        <v>27</v>
      </c>
      <c r="Z41" s="14" t="s">
        <v>28</v>
      </c>
      <c r="AA41" s="14" t="s">
        <v>29</v>
      </c>
      <c r="AB41" s="14" t="s">
        <v>30</v>
      </c>
      <c r="AC41" s="14" t="s">
        <v>31</v>
      </c>
      <c r="AD41" s="14" t="s">
        <v>32</v>
      </c>
      <c r="AE41" s="14" t="s">
        <v>33</v>
      </c>
      <c r="AF41" s="14" t="s">
        <v>34</v>
      </c>
      <c r="AG41" s="14" t="s">
        <v>35</v>
      </c>
      <c r="AH41" s="14" t="s">
        <v>36</v>
      </c>
      <c r="AI41" s="14" t="s">
        <v>37</v>
      </c>
      <c r="AJ41" s="14" t="s">
        <v>38</v>
      </c>
      <c r="AK41" s="15"/>
    </row>
    <row r="42" ht="12.75" customHeight="1" spans="2:37" x14ac:dyDescent="0.25">
      <c r="B42" s="16" t="s">
        <v>41</v>
      </c>
      <c r="C42" s="17"/>
      <c r="D42" s="17"/>
      <c r="E42" s="24">
        <f>E35-E28</f>
      </c>
      <c r="F42" s="24">
        <f>F35-F28</f>
      </c>
      <c r="G42" s="24">
        <f>G35-G28</f>
      </c>
      <c r="H42" s="24">
        <f>H35-H28</f>
      </c>
      <c r="I42" s="24">
        <f>I35-I28</f>
      </c>
      <c r="J42" s="24">
        <f>J35-J28</f>
      </c>
      <c r="K42" s="24">
        <f>K35-K28</f>
      </c>
      <c r="L42" s="24">
        <f>L35-L28</f>
      </c>
      <c r="M42" s="24">
        <f>M35-M28</f>
      </c>
      <c r="N42" s="24">
        <f>N35-N28</f>
      </c>
      <c r="O42" s="24">
        <f>O35-O28</f>
      </c>
      <c r="P42" s="24">
        <f>P35-P28</f>
      </c>
      <c r="Q42" s="24">
        <f>Q35-Q28</f>
      </c>
      <c r="R42" s="24">
        <f>R35-R28</f>
      </c>
      <c r="S42" s="24">
        <f>S35-S28</f>
      </c>
      <c r="T42" s="24">
        <f>T35-T28</f>
      </c>
      <c r="U42" s="24">
        <f>U35-U28</f>
      </c>
      <c r="V42" s="24">
        <f>V35-V28</f>
      </c>
      <c r="W42" s="24">
        <f>W35-W28</f>
      </c>
      <c r="X42" s="24">
        <f>X35-X28</f>
      </c>
      <c r="Y42" s="24">
        <f>Y35-Y28</f>
      </c>
      <c r="Z42" s="24">
        <f>Z35-Z28</f>
      </c>
      <c r="AA42" s="24">
        <f>AA35-AA28</f>
      </c>
      <c r="AB42" s="24">
        <f>AB35-AB28</f>
      </c>
      <c r="AC42" s="24">
        <f>AC35-AC28</f>
      </c>
      <c r="AD42" s="24">
        <f>AD35-AD28</f>
      </c>
      <c r="AE42" s="24">
        <f>AE35-AE28</f>
      </c>
      <c r="AF42" s="24">
        <f>AF35-AF28</f>
      </c>
      <c r="AG42" s="24">
        <f>AG35-AG28</f>
      </c>
      <c r="AH42" s="24">
        <f>AH35-AH28</f>
      </c>
      <c r="AI42" s="24">
        <f>AI35-AI28</f>
      </c>
      <c r="AJ42" s="24">
        <f>AJ35-AJ28</f>
      </c>
      <c r="AK42" s="19"/>
    </row>
    <row r="43" ht="12.75" customHeight="1" spans="2:37" x14ac:dyDescent="0.25">
      <c r="B43" s="16" t="s">
        <v>42</v>
      </c>
      <c r="C43" s="17"/>
      <c r="D43" s="17"/>
      <c r="E43" s="24">
        <f>E36-E29</f>
      </c>
      <c r="F43" s="24">
        <f>F36-F29</f>
      </c>
      <c r="G43" s="24">
        <f>G36-G29</f>
      </c>
      <c r="H43" s="24">
        <f>H36-H29</f>
      </c>
      <c r="I43" s="24">
        <f>I36-I29</f>
      </c>
      <c r="J43" s="24">
        <f>J36-J29</f>
      </c>
      <c r="K43" s="24">
        <f>K36-K29</f>
      </c>
      <c r="L43" s="24">
        <f>L36-L29</f>
      </c>
      <c r="M43" s="24">
        <f>M36-M29</f>
      </c>
      <c r="N43" s="24">
        <f>N36-N29</f>
      </c>
      <c r="O43" s="24">
        <f>O36-O29</f>
      </c>
      <c r="P43" s="24">
        <f>P36-P29</f>
      </c>
      <c r="Q43" s="24">
        <f>Q36-Q29</f>
      </c>
      <c r="R43" s="24">
        <f>R36-R29</f>
      </c>
      <c r="S43" s="24">
        <f>S36-S29</f>
      </c>
      <c r="T43" s="24">
        <f>T36-T29</f>
      </c>
      <c r="U43" s="24">
        <f>U36-U29</f>
      </c>
      <c r="V43" s="24">
        <f>V36-V29</f>
      </c>
      <c r="W43" s="24">
        <f>W36-W29</f>
      </c>
      <c r="X43" s="24">
        <f>X36-X29</f>
      </c>
      <c r="Y43" s="24">
        <f>Y36-Y29</f>
      </c>
      <c r="Z43" s="24">
        <f>Z36-Z29</f>
      </c>
      <c r="AA43" s="24">
        <f>AA36-AA29</f>
      </c>
      <c r="AB43" s="24">
        <f>AB36-AB29</f>
      </c>
      <c r="AC43" s="24">
        <f>AC36-AC29</f>
      </c>
      <c r="AD43" s="24">
        <f>AD36-AD29</f>
      </c>
      <c r="AE43" s="24">
        <f>AE36-AE29</f>
      </c>
      <c r="AF43" s="24">
        <f>AF36-AF29</f>
      </c>
      <c r="AG43" s="24">
        <f>AG36-AG29</f>
      </c>
      <c r="AH43" s="24">
        <f>AH36-AH29</f>
      </c>
      <c r="AI43" s="24">
        <f>AI36-AI29</f>
      </c>
      <c r="AJ43" s="24">
        <f>AJ36-AJ29</f>
      </c>
      <c r="AK43" s="19"/>
    </row>
    <row r="44" ht="12.75" customHeight="1" spans="2:37" x14ac:dyDescent="0.25">
      <c r="B44" s="16" t="s">
        <v>43</v>
      </c>
      <c r="C44" s="17"/>
      <c r="D44" s="17"/>
      <c r="E44" s="24">
        <f>E37-E30</f>
      </c>
      <c r="F44" s="24">
        <f>F37-F30</f>
      </c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19"/>
    </row>
    <row r="45" ht="12.75" customHeight="1" spans="2:37" x14ac:dyDescent="0.25">
      <c r="B45" s="16" t="s">
        <v>44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20" t="s">
        <v>45</v>
      </c>
      <c r="C46" s="21"/>
      <c r="D46" s="21"/>
      <c r="E46" s="25">
        <f>E42+E43+E44+E45</f>
      </c>
      <c r="F46" s="25">
        <f>F42+F43+F44+F45</f>
      </c>
      <c r="G46" s="25">
        <f>G42+G43+G44+G45</f>
      </c>
      <c r="H46" s="25">
        <f>H42+H43+H44+H45</f>
      </c>
      <c r="I46" s="25">
        <f>I42+I43+I44+I45</f>
      </c>
      <c r="J46" s="25">
        <f>J42+J43+J44+J45</f>
      </c>
      <c r="K46" s="25">
        <f>K42+K43+K44+K45</f>
      </c>
      <c r="L46" s="25">
        <f>L42+L43+L44+L45</f>
      </c>
      <c r="M46" s="25">
        <f>M42+M43+M44+M45</f>
      </c>
      <c r="N46" s="25">
        <f>N42+N43+N44+N45</f>
      </c>
      <c r="O46" s="25">
        <f>O42+O43+O44+O45</f>
      </c>
      <c r="P46" s="25">
        <f>P42+P43+P44+P45</f>
      </c>
      <c r="Q46" s="25">
        <f>Q42+Q43+Q44+Q45</f>
      </c>
      <c r="R46" s="25">
        <f>R42+R43+R44+R45</f>
      </c>
      <c r="S46" s="25">
        <f>S42+S43+S44+S45</f>
      </c>
      <c r="T46" s="25">
        <f>T42+T43+T44+T45</f>
      </c>
      <c r="U46" s="25">
        <f>U42+U43+U44+U45</f>
      </c>
      <c r="V46" s="25">
        <f>V42+V43+V44+V45</f>
      </c>
      <c r="W46" s="25">
        <f>W42+W43+W44+W45</f>
      </c>
      <c r="X46" s="25">
        <f>X42+X43+X44+X45</f>
      </c>
      <c r="Y46" s="25">
        <f>Y42+Y43+Y44+Y45</f>
      </c>
      <c r="Z46" s="25">
        <f>Z42+Z43+Z44+Z45</f>
      </c>
      <c r="AA46" s="25">
        <f>AA42+AA43+AA44+AA45</f>
      </c>
      <c r="AB46" s="25">
        <f>AB42+AB43+AB44+AB45</f>
      </c>
      <c r="AC46" s="25">
        <f>AC42+AC43+AC44+AC45</f>
      </c>
      <c r="AD46" s="25">
        <f>AD42+AD43+AD44+AD45</f>
      </c>
      <c r="AE46" s="25">
        <f>AE42+AE43+AE44+AE45</f>
      </c>
      <c r="AF46" s="25">
        <f>AF42+AF43+AF44+AF45</f>
      </c>
      <c r="AG46" s="25">
        <f>AG42+AG43+AG44+AG45</f>
      </c>
      <c r="AH46" s="25">
        <f>AH42+AH43+AH44+AH45</f>
      </c>
      <c r="AI46" s="25">
        <f>AI42+AI43+AI44+AI45</f>
      </c>
      <c r="AJ46" s="25">
        <f>AJ42+AJ43+AJ44+AJ45</f>
      </c>
      <c r="AK46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1038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3</v>
      </c>
      <c r="AB8" s="44" t="s">
        <v>1041</v>
      </c>
      <c r="AC8" s="44" t="s">
        <v>1042</v>
      </c>
      <c r="AD8" s="44" t="s">
        <v>1043</v>
      </c>
      <c r="AE8" s="44" t="s">
        <v>1044</v>
      </c>
      <c r="AF8" s="44" t="s">
        <v>1045</v>
      </c>
      <c r="AG8" s="44" t="s">
        <v>514</v>
      </c>
      <c r="AH8" s="44" t="s">
        <v>1046</v>
      </c>
      <c r="AI8" s="44" t="s">
        <v>1047</v>
      </c>
      <c r="AJ8" s="44" t="s">
        <v>1048</v>
      </c>
      <c r="AK8" s="44" t="s">
        <v>250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1038</v>
      </c>
      <c r="D14" s="50" t="s">
        <v>42</v>
      </c>
      <c r="E14" s="32" t="s">
        <v>666</v>
      </c>
      <c r="F14" s="32" t="s">
        <v>1039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3">
        <f>54.50+645.86</f>
        <v>700.36</v>
      </c>
      <c r="AD14" s="33">
        <f>74.17+782.49</f>
        <v>856.66</v>
      </c>
      <c r="AE14" s="33">
        <f>67.06+607.26</f>
        <v>674.3199999999999</v>
      </c>
      <c r="AF14" s="33">
        <f>76.79+760.66</f>
        <v>837.4499999999999</v>
      </c>
      <c r="AG14" s="33">
        <f>80.77+637.11</f>
        <v>717.88</v>
      </c>
      <c r="AH14" s="33">
        <f>81.66+563.58</f>
        <v>645.24</v>
      </c>
      <c r="AI14" s="33">
        <f>84.43+595.95</f>
        <v>680.3800000000001</v>
      </c>
      <c r="AJ14" s="33">
        <f>82.25+772.42</f>
        <v>854.67</v>
      </c>
      <c r="AK14" s="33">
        <f>72.08+563.58</f>
        <v>635.6600000000001</v>
      </c>
      <c r="AL14" s="34">
        <f>SUM(G14:AK14)</f>
      </c>
      <c r="AM14" s="35"/>
    </row>
    <row r="15" ht="13.5" customHeight="1" spans="2:39" x14ac:dyDescent="0.25">
      <c r="B15" s="5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40"/>
    </row>
    <row r="16" ht="13.5" customHeight="1" spans="2:39" x14ac:dyDescent="0.25">
      <c r="B16" s="20"/>
      <c r="C16" s="21"/>
      <c r="D16" s="21" t="s">
        <v>85</v>
      </c>
      <c r="E16" s="21"/>
      <c r="F16" s="21"/>
      <c r="G16" s="22">
        <f>SUM(G14:G14)</f>
      </c>
      <c r="H16" s="22">
        <f>SUM(H14:H14)</f>
      </c>
      <c r="I16" s="22">
        <f>SUM(I14:I14)</f>
      </c>
      <c r="J16" s="22">
        <f>SUM(J14:J14)</f>
      </c>
      <c r="K16" s="22">
        <f>SUM(K14:K14)</f>
      </c>
      <c r="L16" s="22">
        <f>SUM(L14:L14)</f>
      </c>
      <c r="M16" s="22">
        <f>SUM(M14:M14)</f>
      </c>
      <c r="N16" s="22">
        <f>SUM(N14:N14)</f>
      </c>
      <c r="O16" s="22">
        <f>SUM(O14:O14)</f>
      </c>
      <c r="P16" s="22">
        <f>SUM(P14:P14)</f>
      </c>
      <c r="Q16" s="22">
        <f>SUM(Q14:Q14)</f>
      </c>
      <c r="R16" s="22">
        <f>SUM(R14:R14)</f>
      </c>
      <c r="S16" s="22">
        <f>SUM(S14:S14)</f>
      </c>
      <c r="T16" s="22">
        <f>SUM(T14:T14)</f>
      </c>
      <c r="U16" s="22">
        <f>SUM(U14:U14)</f>
      </c>
      <c r="V16" s="22">
        <f>SUM(V14:V14)</f>
      </c>
      <c r="W16" s="22">
        <f>SUM(W14:W14)</f>
      </c>
      <c r="X16" s="22">
        <f>SUM(X14:X14)</f>
      </c>
      <c r="Y16" s="22">
        <f>SUM(Y14:Y14)</f>
      </c>
      <c r="Z16" s="22">
        <f>SUM(Z14:Z14)</f>
      </c>
      <c r="AA16" s="22">
        <f>SUM(AA14:AA14)</f>
      </c>
      <c r="AB16" s="22">
        <f>SUM(AB14:AB14)</f>
      </c>
      <c r="AC16" s="22">
        <f>SUM(AC14:AC14)</f>
      </c>
      <c r="AD16" s="22">
        <f>SUM(AD14:AD14)</f>
      </c>
      <c r="AE16" s="22">
        <f>SUM(AE14:AE14)</f>
      </c>
      <c r="AF16" s="22">
        <f>SUM(AF14:AF14)</f>
      </c>
      <c r="AG16" s="22">
        <f>SUM(AG14:AG14)</f>
      </c>
      <c r="AH16" s="22">
        <f>SUM(AH14:AH14)</f>
      </c>
      <c r="AI16" s="22">
        <f>SUM(AI14:AI14)</f>
      </c>
      <c r="AJ16" s="22">
        <f>SUM(AJ14:AJ14)</f>
      </c>
      <c r="AK16" s="22">
        <f>SUM(AK14:AK14)</f>
      </c>
      <c r="AL16" s="22">
        <f>SUM(AL14:AL14)</f>
      </c>
      <c r="AM16" s="23"/>
    </row>
    <row r="18" ht="13.5" customHeight="1" spans="2:39" x14ac:dyDescent="0.25">
      <c r="B18" s="46"/>
      <c r="C18" s="28"/>
      <c r="D18" s="47" t="s">
        <v>43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/>
    </row>
    <row r="19" ht="13.5" customHeight="1" spans="2:39" x14ac:dyDescent="0.25">
      <c r="B19" s="48" t="s">
        <v>3</v>
      </c>
      <c r="C19" s="49" t="s">
        <v>1038</v>
      </c>
      <c r="D19" s="50" t="s">
        <v>43</v>
      </c>
      <c r="E19" s="32" t="s">
        <v>668</v>
      </c>
      <c r="F19" s="32" t="s">
        <v>1040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>
        <f>0.00+127.01+648.23+0.00+2174.21+0.00</f>
        <v>2949.45</v>
      </c>
      <c r="AC19" s="33">
        <f>-2331.38+0.00+2073.33</f>
        <v>-258.0500000000002</v>
      </c>
      <c r="AD19" s="33">
        <f>278.82+0.00+1801.73</f>
        <v>2080.55</v>
      </c>
      <c r="AE19" s="33">
        <f>631.99+46.40+2275.09</f>
        <v>2953.48</v>
      </c>
      <c r="AF19" s="33">
        <f>0.00+571.67+1918.13</f>
        <v>2489.8</v>
      </c>
      <c r="AG19" s="33">
        <f>790.47+0.00+2653.70</f>
        <v>3444.17</v>
      </c>
      <c r="AH19" s="33">
        <f>0.00+613.68+2061.56</f>
        <v>2675.24</v>
      </c>
      <c r="AI19" s="33">
        <f>0.00+715.77+2403.50+97.22+0.00+0.00</f>
        <v>3216.49</v>
      </c>
      <c r="AJ19" s="33">
        <f>773.04+0.00+2595.32</f>
        <v>3368.36</v>
      </c>
      <c r="AK19" s="32"/>
      <c r="AL19" s="34">
        <f>SUM(G19:AK19)</f>
      </c>
      <c r="AM19" s="35"/>
    </row>
    <row r="20" ht="13.5" customHeight="1" spans="2:39" x14ac:dyDescent="0.25">
      <c r="B20" s="51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0"/>
    </row>
    <row r="21" ht="13.5" customHeight="1" spans="2:39" x14ac:dyDescent="0.25">
      <c r="B21" s="20"/>
      <c r="C21" s="21"/>
      <c r="D21" s="21" t="s">
        <v>89</v>
      </c>
      <c r="E21" s="21"/>
      <c r="F21" s="21"/>
      <c r="G21" s="22">
        <f>SUM(G19:G19)</f>
      </c>
      <c r="H21" s="22">
        <f>SUM(H19:H19)</f>
      </c>
      <c r="I21" s="22">
        <f>SUM(I19:I19)</f>
      </c>
      <c r="J21" s="22">
        <f>SUM(J19:J19)</f>
      </c>
      <c r="K21" s="22">
        <f>SUM(K19:K19)</f>
      </c>
      <c r="L21" s="22">
        <f>SUM(L19:L19)</f>
      </c>
      <c r="M21" s="22">
        <f>SUM(M19:M19)</f>
      </c>
      <c r="N21" s="22">
        <f>SUM(N19:N19)</f>
      </c>
      <c r="O21" s="22">
        <f>SUM(O19:O19)</f>
      </c>
      <c r="P21" s="22">
        <f>SUM(P19:P19)</f>
      </c>
      <c r="Q21" s="22">
        <f>SUM(Q19:Q19)</f>
      </c>
      <c r="R21" s="22">
        <f>SUM(R19:R19)</f>
      </c>
      <c r="S21" s="22">
        <f>SUM(S19:S19)</f>
      </c>
      <c r="T21" s="22">
        <f>SUM(T19:T19)</f>
      </c>
      <c r="U21" s="22">
        <f>SUM(U19:U19)</f>
      </c>
      <c r="V21" s="22">
        <f>SUM(V19:V19)</f>
      </c>
      <c r="W21" s="22">
        <f>SUM(W19:W19)</f>
      </c>
      <c r="X21" s="22">
        <f>SUM(X19:X19)</f>
      </c>
      <c r="Y21" s="22">
        <f>SUM(Y19:Y19)</f>
      </c>
      <c r="Z21" s="22">
        <f>SUM(Z19:Z19)</f>
      </c>
      <c r="AA21" s="22">
        <f>SUM(AA19:AA19)</f>
      </c>
      <c r="AB21" s="22">
        <f>SUM(AB19:AB19)</f>
      </c>
      <c r="AC21" s="22">
        <f>SUM(AC19:AC19)</f>
      </c>
      <c r="AD21" s="22">
        <f>SUM(AD19:AD19)</f>
      </c>
      <c r="AE21" s="22">
        <f>SUM(AE19:AE19)</f>
      </c>
      <c r="AF21" s="22">
        <f>SUM(AF19:AF19)</f>
      </c>
      <c r="AG21" s="22">
        <f>SUM(AG19:AG19)</f>
      </c>
      <c r="AH21" s="22">
        <f>SUM(AH19:AH19)</f>
      </c>
      <c r="AI21" s="22">
        <f>SUM(AI19:AI19)</f>
      </c>
      <c r="AJ21" s="22">
        <f>SUM(AJ19:AJ19)</f>
      </c>
      <c r="AK21" s="22">
        <f>SUM(AK19:AK19)</f>
      </c>
      <c r="AL21" s="22">
        <f>SUM(AL19:AL19)</f>
      </c>
      <c r="AM21" s="23"/>
    </row>
    <row r="23" ht="13.5" customHeight="1" spans="2:39" x14ac:dyDescent="0.25">
      <c r="B23" s="46"/>
      <c r="C23" s="28"/>
      <c r="D23" s="47" t="s">
        <v>44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90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3"/>
    </row>
    <row r="28" ht="12.75" customHeight="1" spans="2:39" x14ac:dyDescent="0.25">
      <c r="B28" s="11" t="s">
        <v>40</v>
      </c>
      <c r="C28" s="12"/>
      <c r="D28" s="12"/>
      <c r="E28" s="12"/>
      <c r="F28" s="12"/>
      <c r="G28" s="52" t="s">
        <v>7</v>
      </c>
      <c r="H28" s="52" t="s">
        <v>8</v>
      </c>
      <c r="I28" s="52" t="s">
        <v>9</v>
      </c>
      <c r="J28" s="52" t="s">
        <v>10</v>
      </c>
      <c r="K28" s="52" t="s">
        <v>11</v>
      </c>
      <c r="L28" s="52" t="s">
        <v>12</v>
      </c>
      <c r="M28" s="52" t="s">
        <v>13</v>
      </c>
      <c r="N28" s="52" t="s">
        <v>14</v>
      </c>
      <c r="O28" s="52" t="s">
        <v>15</v>
      </c>
      <c r="P28" s="52" t="s">
        <v>16</v>
      </c>
      <c r="Q28" s="52" t="s">
        <v>17</v>
      </c>
      <c r="R28" s="52" t="s">
        <v>18</v>
      </c>
      <c r="S28" s="52" t="s">
        <v>19</v>
      </c>
      <c r="T28" s="52" t="s">
        <v>20</v>
      </c>
      <c r="U28" s="52" t="s">
        <v>21</v>
      </c>
      <c r="V28" s="52" t="s">
        <v>22</v>
      </c>
      <c r="W28" s="52" t="s">
        <v>23</v>
      </c>
      <c r="X28" s="52" t="s">
        <v>24</v>
      </c>
      <c r="Y28" s="52" t="s">
        <v>25</v>
      </c>
      <c r="Z28" s="52" t="s">
        <v>26</v>
      </c>
      <c r="AA28" s="52" t="s">
        <v>27</v>
      </c>
      <c r="AB28" s="52" t="s">
        <v>28</v>
      </c>
      <c r="AC28" s="52" t="s">
        <v>29</v>
      </c>
      <c r="AD28" s="52" t="s">
        <v>30</v>
      </c>
      <c r="AE28" s="52" t="s">
        <v>31</v>
      </c>
      <c r="AF28" s="52" t="s">
        <v>32</v>
      </c>
      <c r="AG28" s="52" t="s">
        <v>33</v>
      </c>
      <c r="AH28" s="52" t="s">
        <v>34</v>
      </c>
      <c r="AI28" s="52" t="s">
        <v>35</v>
      </c>
      <c r="AJ28" s="52" t="s">
        <v>36</v>
      </c>
      <c r="AK28" s="52" t="s">
        <v>37</v>
      </c>
      <c r="AL28" s="52" t="s">
        <v>38</v>
      </c>
      <c r="AM28" s="15"/>
    </row>
    <row r="29" ht="12.75" customHeight="1" spans="2:39" x14ac:dyDescent="0.25">
      <c r="B29" s="16"/>
      <c r="C29" s="17"/>
      <c r="D29" s="17" t="s">
        <v>41</v>
      </c>
      <c r="E29" s="17"/>
      <c r="F29" s="17"/>
      <c r="G29" s="18">
        <f>G11</f>
      </c>
      <c r="H29" s="18">
        <f>H11</f>
      </c>
      <c r="I29" s="18">
        <f>I11</f>
      </c>
      <c r="J29" s="18">
        <f>J11</f>
      </c>
      <c r="K29" s="18">
        <f>K11</f>
      </c>
      <c r="L29" s="18">
        <f>L11</f>
      </c>
      <c r="M29" s="18">
        <f>M11</f>
      </c>
      <c r="N29" s="18">
        <f>N11</f>
      </c>
      <c r="O29" s="18">
        <f>O11</f>
      </c>
      <c r="P29" s="18">
        <f>P11</f>
      </c>
      <c r="Q29" s="18">
        <f>Q11</f>
      </c>
      <c r="R29" s="18">
        <f>R11</f>
      </c>
      <c r="S29" s="18">
        <f>S11</f>
      </c>
      <c r="T29" s="18">
        <f>T11</f>
      </c>
      <c r="U29" s="18">
        <f>U11</f>
      </c>
      <c r="V29" s="18">
        <f>V11</f>
      </c>
      <c r="W29" s="18">
        <f>W11</f>
      </c>
      <c r="X29" s="18">
        <f>X11</f>
      </c>
      <c r="Y29" s="18">
        <f>Y11</f>
      </c>
      <c r="Z29" s="18">
        <f>Z11</f>
      </c>
      <c r="AA29" s="18">
        <f>AA11</f>
      </c>
      <c r="AB29" s="18">
        <f>AB11</f>
      </c>
      <c r="AC29" s="18">
        <f>AC11</f>
      </c>
      <c r="AD29" s="18">
        <f>AD11</f>
      </c>
      <c r="AE29" s="18">
        <f>AE11</f>
      </c>
      <c r="AF29" s="18">
        <f>AF11</f>
      </c>
      <c r="AG29" s="18">
        <f>AG11</f>
      </c>
      <c r="AH29" s="18">
        <f>AH11</f>
      </c>
      <c r="AI29" s="18">
        <f>AI11</f>
      </c>
      <c r="AJ29" s="18">
        <f>AJ11</f>
      </c>
      <c r="AK29" s="18">
        <f>AK11</f>
      </c>
      <c r="AL29" s="18">
        <f>AL11</f>
      </c>
      <c r="AM29" s="19"/>
    </row>
    <row r="30" ht="12.75" customHeight="1" spans="2:39" x14ac:dyDescent="0.25">
      <c r="B30" s="16"/>
      <c r="C30" s="17"/>
      <c r="D30" s="17" t="s">
        <v>42</v>
      </c>
      <c r="E30" s="17"/>
      <c r="F30" s="17"/>
      <c r="G30" s="18">
        <f>G16</f>
      </c>
      <c r="H30" s="18">
        <f>H16</f>
      </c>
      <c r="I30" s="18">
        <f>I16</f>
      </c>
      <c r="J30" s="18">
        <f>J16</f>
      </c>
      <c r="K30" s="18">
        <f>K16</f>
      </c>
      <c r="L30" s="18">
        <f>L16</f>
      </c>
      <c r="M30" s="18">
        <f>M16</f>
      </c>
      <c r="N30" s="18">
        <f>N16</f>
      </c>
      <c r="O30" s="18">
        <f>O16</f>
      </c>
      <c r="P30" s="18">
        <f>P16</f>
      </c>
      <c r="Q30" s="18">
        <f>Q16</f>
      </c>
      <c r="R30" s="18">
        <f>R16</f>
      </c>
      <c r="S30" s="18">
        <f>S16</f>
      </c>
      <c r="T30" s="18">
        <f>T16</f>
      </c>
      <c r="U30" s="18">
        <f>U16</f>
      </c>
      <c r="V30" s="18">
        <f>V16</f>
      </c>
      <c r="W30" s="18">
        <f>W16</f>
      </c>
      <c r="X30" s="18">
        <f>X16</f>
      </c>
      <c r="Y30" s="18">
        <f>Y16</f>
      </c>
      <c r="Z30" s="18">
        <f>Z16</f>
      </c>
      <c r="AA30" s="18">
        <f>AA16</f>
      </c>
      <c r="AB30" s="18">
        <f>AB16</f>
      </c>
      <c r="AC30" s="18">
        <f>AC16</f>
      </c>
      <c r="AD30" s="18">
        <f>AD16</f>
      </c>
      <c r="AE30" s="18">
        <f>AE16</f>
      </c>
      <c r="AF30" s="18">
        <f>AF16</f>
      </c>
      <c r="AG30" s="18">
        <f>AG16</f>
      </c>
      <c r="AH30" s="18">
        <f>AH16</f>
      </c>
      <c r="AI30" s="18">
        <f>AI16</f>
      </c>
      <c r="AJ30" s="18">
        <f>AJ16</f>
      </c>
      <c r="AK30" s="18">
        <f>AK16</f>
      </c>
      <c r="AL30" s="18">
        <f>AL16</f>
      </c>
      <c r="AM30" s="19"/>
    </row>
    <row r="31" ht="12.75" customHeight="1" spans="2:39" x14ac:dyDescent="0.25">
      <c r="B31" s="16"/>
      <c r="C31" s="17"/>
      <c r="D31" s="17" t="s">
        <v>43</v>
      </c>
      <c r="E31" s="17"/>
      <c r="F31" s="17"/>
      <c r="G31" s="18">
        <f>G21</f>
      </c>
      <c r="H31" s="18">
        <f>H21</f>
      </c>
      <c r="I31" s="18">
        <f>I21</f>
      </c>
      <c r="J31" s="18">
        <f>J21</f>
      </c>
      <c r="K31" s="18">
        <f>K21</f>
      </c>
      <c r="L31" s="18">
        <f>L21</f>
      </c>
      <c r="M31" s="18">
        <f>M21</f>
      </c>
      <c r="N31" s="18">
        <f>N21</f>
      </c>
      <c r="O31" s="18">
        <f>O21</f>
      </c>
      <c r="P31" s="18">
        <f>P21</f>
      </c>
      <c r="Q31" s="18">
        <f>Q21</f>
      </c>
      <c r="R31" s="18">
        <f>R21</f>
      </c>
      <c r="S31" s="18">
        <f>S21</f>
      </c>
      <c r="T31" s="18">
        <f>T21</f>
      </c>
      <c r="U31" s="18">
        <f>U21</f>
      </c>
      <c r="V31" s="18">
        <f>V21</f>
      </c>
      <c r="W31" s="18">
        <f>W21</f>
      </c>
      <c r="X31" s="18">
        <f>X21</f>
      </c>
      <c r="Y31" s="18">
        <f>Y21</f>
      </c>
      <c r="Z31" s="18">
        <f>Z21</f>
      </c>
      <c r="AA31" s="18">
        <f>AA21</f>
      </c>
      <c r="AB31" s="18">
        <f>AB21</f>
      </c>
      <c r="AC31" s="18">
        <f>AC21</f>
      </c>
      <c r="AD31" s="18">
        <f>AD21</f>
      </c>
      <c r="AE31" s="18">
        <f>AE21</f>
      </c>
      <c r="AF31" s="18">
        <f>AF21</f>
      </c>
      <c r="AG31" s="18">
        <f>AG21</f>
      </c>
      <c r="AH31" s="18">
        <f>AH21</f>
      </c>
      <c r="AI31" s="18">
        <f>AI21</f>
      </c>
      <c r="AJ31" s="18">
        <f>AJ21</f>
      </c>
      <c r="AK31" s="18">
        <f>AK21</f>
      </c>
      <c r="AL31" s="18">
        <f>AL21</f>
      </c>
      <c r="AM31" s="19"/>
    </row>
    <row r="32" ht="12.75" customHeight="1" spans="2:39" x14ac:dyDescent="0.25">
      <c r="B32" s="16"/>
      <c r="C32" s="17"/>
      <c r="D32" s="17" t="s">
        <v>44</v>
      </c>
      <c r="E32" s="17"/>
      <c r="F32" s="17"/>
      <c r="G32" s="18">
        <f>G25</f>
      </c>
      <c r="H32" s="18">
        <f>H25</f>
      </c>
      <c r="I32" s="18">
        <f>I25</f>
      </c>
      <c r="J32" s="18">
        <f>J25</f>
      </c>
      <c r="K32" s="18">
        <f>K25</f>
      </c>
      <c r="L32" s="18">
        <f>L25</f>
      </c>
      <c r="M32" s="18">
        <f>M25</f>
      </c>
      <c r="N32" s="18">
        <f>N25</f>
      </c>
      <c r="O32" s="18">
        <f>O25</f>
      </c>
      <c r="P32" s="18">
        <f>P25</f>
      </c>
      <c r="Q32" s="18">
        <f>Q25</f>
      </c>
      <c r="R32" s="18">
        <f>R25</f>
      </c>
      <c r="S32" s="18">
        <f>S25</f>
      </c>
      <c r="T32" s="18">
        <f>T25</f>
      </c>
      <c r="U32" s="18">
        <f>U25</f>
      </c>
      <c r="V32" s="18">
        <f>V25</f>
      </c>
      <c r="W32" s="18">
        <f>W25</f>
      </c>
      <c r="X32" s="18">
        <f>X25</f>
      </c>
      <c r="Y32" s="18">
        <f>Y25</f>
      </c>
      <c r="Z32" s="18">
        <f>Z25</f>
      </c>
      <c r="AA32" s="18">
        <f>AA25</f>
      </c>
      <c r="AB32" s="18">
        <f>AB25</f>
      </c>
      <c r="AC32" s="18">
        <f>AC25</f>
      </c>
      <c r="AD32" s="18">
        <f>AD25</f>
      </c>
      <c r="AE32" s="18">
        <f>AE25</f>
      </c>
      <c r="AF32" s="18">
        <f>AF25</f>
      </c>
      <c r="AG32" s="18">
        <f>AG25</f>
      </c>
      <c r="AH32" s="18">
        <f>AH25</f>
      </c>
      <c r="AI32" s="18">
        <f>AI25</f>
      </c>
      <c r="AJ32" s="18">
        <f>AJ25</f>
      </c>
      <c r="AK32" s="18">
        <f>AK25</f>
      </c>
      <c r="AL32" s="18">
        <f>AL25</f>
      </c>
      <c r="AM32" s="19"/>
    </row>
    <row r="33" ht="12.75" customHeight="1" spans="2:39" x14ac:dyDescent="0.25">
      <c r="B33" s="20"/>
      <c r="C33" s="21"/>
      <c r="D33" s="21" t="s">
        <v>45</v>
      </c>
      <c r="E33" s="21"/>
      <c r="F33" s="21"/>
      <c r="G33" s="22">
        <f>G29+G30+G31+G32</f>
      </c>
      <c r="H33" s="22">
        <f>H29+H30+H31+H32</f>
      </c>
      <c r="I33" s="22">
        <f>I29+I30+I31+I32</f>
      </c>
      <c r="J33" s="22">
        <f>J29+J30+J31+J32</f>
      </c>
      <c r="K33" s="22">
        <f>K29+K30+K31+K32</f>
      </c>
      <c r="L33" s="22">
        <f>L29+L30+L31+L32</f>
      </c>
      <c r="M33" s="22">
        <f>M29+M30+M31+M32</f>
      </c>
      <c r="N33" s="22">
        <f>N29+N30+N31+N32</f>
      </c>
      <c r="O33" s="22">
        <f>O29+O30+O31+O32</f>
      </c>
      <c r="P33" s="22">
        <f>P29+P30+P31+P32</f>
      </c>
      <c r="Q33" s="22">
        <f>Q29+Q30+Q31+Q32</f>
      </c>
      <c r="R33" s="22">
        <f>R29+R30+R31+R32</f>
      </c>
      <c r="S33" s="22">
        <f>S29+S30+S31+S32</f>
      </c>
      <c r="T33" s="22">
        <f>T29+T30+T31+T32</f>
      </c>
      <c r="U33" s="22">
        <f>U29+U30+U31+U32</f>
      </c>
      <c r="V33" s="22">
        <f>V29+V30+V31+V32</f>
      </c>
      <c r="W33" s="22">
        <f>W29+W30+W31+W32</f>
      </c>
      <c r="X33" s="22">
        <f>X29+X30+X31+X32</f>
      </c>
      <c r="Y33" s="22">
        <f>Y29+Y30+Y31+Y32</f>
      </c>
      <c r="Z33" s="22">
        <f>Z29+Z30+Z31+Z32</f>
      </c>
      <c r="AA33" s="22">
        <f>AA29+AA30+AA31+AA32</f>
      </c>
      <c r="AB33" s="22">
        <f>AB29+AB30+AB31+AB32</f>
      </c>
      <c r="AC33" s="22">
        <f>AC29+AC30+AC31+AC32</f>
      </c>
      <c r="AD33" s="22">
        <f>AD29+AD30+AD31+AD32</f>
      </c>
      <c r="AE33" s="22">
        <f>AE29+AE30+AE31+AE32</f>
      </c>
      <c r="AF33" s="22">
        <f>AF29+AF30+AF31+AF32</f>
      </c>
      <c r="AG33" s="22">
        <f>AG29+AG30+AG31+AG32</f>
      </c>
      <c r="AH33" s="22">
        <f>AH29+AH30+AH31+AH32</f>
      </c>
      <c r="AI33" s="22">
        <f>AI29+AI30+AI31+AI32</f>
      </c>
      <c r="AJ33" s="22">
        <f>AJ29+AJ30+AJ31+AJ32</f>
      </c>
      <c r="AK33" s="22">
        <f>AK29+AK30+AK31+AK32</f>
      </c>
      <c r="AL33" s="22">
        <f>AL29+AL30+AL31+AL32</f>
      </c>
      <c r="AM33" s="23"/>
    </row>
    <row r="35" ht="12.75" customHeight="1" spans="2:39" x14ac:dyDescent="0.25">
      <c r="B35" s="11" t="s">
        <v>46</v>
      </c>
      <c r="C35" s="12"/>
      <c r="D35" s="12"/>
      <c r="E35" s="12"/>
      <c r="F35" s="12"/>
      <c r="G35" s="52" t="s">
        <v>7</v>
      </c>
      <c r="H35" s="52" t="s">
        <v>8</v>
      </c>
      <c r="I35" s="52" t="s">
        <v>9</v>
      </c>
      <c r="J35" s="52" t="s">
        <v>10</v>
      </c>
      <c r="K35" s="52" t="s">
        <v>11</v>
      </c>
      <c r="L35" s="52" t="s">
        <v>12</v>
      </c>
      <c r="M35" s="52" t="s">
        <v>13</v>
      </c>
      <c r="N35" s="52" t="s">
        <v>14</v>
      </c>
      <c r="O35" s="52" t="s">
        <v>15</v>
      </c>
      <c r="P35" s="52" t="s">
        <v>16</v>
      </c>
      <c r="Q35" s="52" t="s">
        <v>17</v>
      </c>
      <c r="R35" s="52" t="s">
        <v>18</v>
      </c>
      <c r="S35" s="52" t="s">
        <v>19</v>
      </c>
      <c r="T35" s="52" t="s">
        <v>20</v>
      </c>
      <c r="U35" s="52" t="s">
        <v>21</v>
      </c>
      <c r="V35" s="52" t="s">
        <v>22</v>
      </c>
      <c r="W35" s="52" t="s">
        <v>23</v>
      </c>
      <c r="X35" s="52" t="s">
        <v>24</v>
      </c>
      <c r="Y35" s="52" t="s">
        <v>25</v>
      </c>
      <c r="Z35" s="52" t="s">
        <v>26</v>
      </c>
      <c r="AA35" s="52" t="s">
        <v>27</v>
      </c>
      <c r="AB35" s="52" t="s">
        <v>28</v>
      </c>
      <c r="AC35" s="52" t="s">
        <v>29</v>
      </c>
      <c r="AD35" s="52" t="s">
        <v>30</v>
      </c>
      <c r="AE35" s="52" t="s">
        <v>31</v>
      </c>
      <c r="AF35" s="52" t="s">
        <v>32</v>
      </c>
      <c r="AG35" s="52" t="s">
        <v>33</v>
      </c>
      <c r="AH35" s="52" t="s">
        <v>34</v>
      </c>
      <c r="AI35" s="52" t="s">
        <v>35</v>
      </c>
      <c r="AJ35" s="52" t="s">
        <v>36</v>
      </c>
      <c r="AK35" s="52" t="s">
        <v>37</v>
      </c>
      <c r="AL35" s="52" t="s">
        <v>38</v>
      </c>
      <c r="AM35" s="15"/>
    </row>
    <row r="36" ht="12.75" customHeight="1" spans="2:39" x14ac:dyDescent="0.25">
      <c r="B36" s="16"/>
      <c r="C36" s="17"/>
      <c r="D36" s="17" t="s">
        <v>41</v>
      </c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9"/>
    </row>
    <row r="37" ht="12.75" customHeight="1" spans="2:39" x14ac:dyDescent="0.25">
      <c r="B37" s="16"/>
      <c r="C37" s="17"/>
      <c r="D37" s="17" t="s">
        <v>42</v>
      </c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9"/>
    </row>
    <row r="38" ht="12.75" customHeight="1" spans="2:39" x14ac:dyDescent="0.25">
      <c r="B38" s="16"/>
      <c r="C38" s="17"/>
      <c r="D38" s="17" t="s">
        <v>43</v>
      </c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9"/>
    </row>
    <row r="39" ht="12.75" customHeight="1" spans="2:39" x14ac:dyDescent="0.25">
      <c r="B39" s="16"/>
      <c r="C39" s="17"/>
      <c r="D39" s="17" t="s">
        <v>44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20"/>
      <c r="C40" s="21"/>
      <c r="D40" s="21" t="s">
        <v>45</v>
      </c>
      <c r="E40" s="21"/>
      <c r="F40" s="21"/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2">
        <f>AK36+AK37+AK38+AK39</f>
      </c>
      <c r="AL40" s="22">
        <f>AL36+AL37+AL38+AL39</f>
      </c>
      <c r="AM40" s="23"/>
    </row>
    <row r="42" ht="12.75" customHeight="1" spans="2:39" x14ac:dyDescent="0.25">
      <c r="B42" s="11" t="s">
        <v>47</v>
      </c>
      <c r="C42" s="12"/>
      <c r="D42" s="12"/>
      <c r="E42" s="12"/>
      <c r="F42" s="12"/>
      <c r="G42" s="52" t="s">
        <v>7</v>
      </c>
      <c r="H42" s="52" t="s">
        <v>8</v>
      </c>
      <c r="I42" s="52" t="s">
        <v>9</v>
      </c>
      <c r="J42" s="52" t="s">
        <v>10</v>
      </c>
      <c r="K42" s="52" t="s">
        <v>11</v>
      </c>
      <c r="L42" s="52" t="s">
        <v>12</v>
      </c>
      <c r="M42" s="52" t="s">
        <v>13</v>
      </c>
      <c r="N42" s="52" t="s">
        <v>14</v>
      </c>
      <c r="O42" s="52" t="s">
        <v>15</v>
      </c>
      <c r="P42" s="52" t="s">
        <v>16</v>
      </c>
      <c r="Q42" s="52" t="s">
        <v>17</v>
      </c>
      <c r="R42" s="52" t="s">
        <v>18</v>
      </c>
      <c r="S42" s="52" t="s">
        <v>19</v>
      </c>
      <c r="T42" s="52" t="s">
        <v>20</v>
      </c>
      <c r="U42" s="52" t="s">
        <v>21</v>
      </c>
      <c r="V42" s="52" t="s">
        <v>22</v>
      </c>
      <c r="W42" s="52" t="s">
        <v>23</v>
      </c>
      <c r="X42" s="52" t="s">
        <v>24</v>
      </c>
      <c r="Y42" s="52" t="s">
        <v>25</v>
      </c>
      <c r="Z42" s="52" t="s">
        <v>26</v>
      </c>
      <c r="AA42" s="52" t="s">
        <v>27</v>
      </c>
      <c r="AB42" s="52" t="s">
        <v>28</v>
      </c>
      <c r="AC42" s="52" t="s">
        <v>29</v>
      </c>
      <c r="AD42" s="52" t="s">
        <v>30</v>
      </c>
      <c r="AE42" s="52" t="s">
        <v>31</v>
      </c>
      <c r="AF42" s="52" t="s">
        <v>32</v>
      </c>
      <c r="AG42" s="52" t="s">
        <v>33</v>
      </c>
      <c r="AH42" s="52" t="s">
        <v>34</v>
      </c>
      <c r="AI42" s="52" t="s">
        <v>35</v>
      </c>
      <c r="AJ42" s="52" t="s">
        <v>36</v>
      </c>
      <c r="AK42" s="52" t="s">
        <v>37</v>
      </c>
      <c r="AL42" s="52" t="s">
        <v>38</v>
      </c>
      <c r="AM42" s="15"/>
    </row>
    <row r="43" ht="12.75" customHeight="1" spans="2:39" x14ac:dyDescent="0.25">
      <c r="B43" s="16"/>
      <c r="C43" s="17"/>
      <c r="D43" s="17" t="s">
        <v>41</v>
      </c>
      <c r="E43" s="17"/>
      <c r="F43" s="17"/>
      <c r="G43" s="24">
        <f>G36-G29</f>
      </c>
      <c r="H43" s="24">
        <f>H36-H29</f>
      </c>
      <c r="I43" s="24">
        <f>I36-I29</f>
      </c>
      <c r="J43" s="24">
        <f>J36-J29</f>
      </c>
      <c r="K43" s="24">
        <f>K36-K29</f>
      </c>
      <c r="L43" s="24">
        <f>L36-L29</f>
      </c>
      <c r="M43" s="24">
        <f>M36-M29</f>
      </c>
      <c r="N43" s="24">
        <f>N36-N29</f>
      </c>
      <c r="O43" s="24">
        <f>O36-O29</f>
      </c>
      <c r="P43" s="24">
        <f>P36-P29</f>
      </c>
      <c r="Q43" s="24">
        <f>Q36-Q29</f>
      </c>
      <c r="R43" s="24">
        <f>R36-R29</f>
      </c>
      <c r="S43" s="24">
        <f>S36-S29</f>
      </c>
      <c r="T43" s="24">
        <f>T36-T29</f>
      </c>
      <c r="U43" s="24">
        <f>U36-U29</f>
      </c>
      <c r="V43" s="24">
        <f>V36-V29</f>
      </c>
      <c r="W43" s="24">
        <f>W36-W29</f>
      </c>
      <c r="X43" s="24">
        <f>X36-X29</f>
      </c>
      <c r="Y43" s="24">
        <f>Y36-Y29</f>
      </c>
      <c r="Z43" s="24">
        <f>Z36-Z29</f>
      </c>
      <c r="AA43" s="24">
        <f>AA36-AA29</f>
      </c>
      <c r="AB43" s="24">
        <f>AB36-AB29</f>
      </c>
      <c r="AC43" s="24">
        <f>AC36-AC29</f>
      </c>
      <c r="AD43" s="24">
        <f>AD36-AD29</f>
      </c>
      <c r="AE43" s="24">
        <f>AE36-AE29</f>
      </c>
      <c r="AF43" s="24">
        <f>AF36-AF29</f>
      </c>
      <c r="AG43" s="24">
        <f>AG36-AG29</f>
      </c>
      <c r="AH43" s="24">
        <f>AH36-AH29</f>
      </c>
      <c r="AI43" s="24">
        <f>AI36-AI29</f>
      </c>
      <c r="AJ43" s="24">
        <f>AJ36-AJ29</f>
      </c>
      <c r="AK43" s="24">
        <f>AK36-AK29</f>
      </c>
      <c r="AL43" s="24">
        <f>AL36-AL29</f>
      </c>
      <c r="AM43" s="19"/>
    </row>
    <row r="44" ht="12.75" customHeight="1" spans="2:39" x14ac:dyDescent="0.25">
      <c r="B44" s="16"/>
      <c r="C44" s="17"/>
      <c r="D44" s="17" t="s">
        <v>42</v>
      </c>
      <c r="E44" s="17"/>
      <c r="F44" s="17"/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24">
        <f>AK37-AK30</f>
      </c>
      <c r="AL44" s="24">
        <f>AL37-AL30</f>
      </c>
      <c r="AM44" s="19"/>
    </row>
    <row r="45" ht="12.75" customHeight="1" spans="2:39" x14ac:dyDescent="0.25">
      <c r="B45" s="16"/>
      <c r="C45" s="17"/>
      <c r="D45" s="17" t="s">
        <v>43</v>
      </c>
      <c r="E45" s="17"/>
      <c r="F45" s="17"/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24">
        <f>AK38-AK31</f>
      </c>
      <c r="AL45" s="24">
        <f>AL38-AL31</f>
      </c>
      <c r="AM45" s="19"/>
    </row>
    <row r="46" ht="12.75" customHeight="1" spans="2:39" x14ac:dyDescent="0.25">
      <c r="B46" s="16"/>
      <c r="C46" s="17"/>
      <c r="D46" s="17" t="s">
        <v>44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20"/>
      <c r="C47" s="21"/>
      <c r="D47" s="21" t="s">
        <v>45</v>
      </c>
      <c r="E47" s="21"/>
      <c r="F47" s="21"/>
      <c r="G47" s="25">
        <f>G43+G44+G45+G46</f>
      </c>
      <c r="H47" s="25">
        <f>H43+H44+H45+H46</f>
      </c>
      <c r="I47" s="25">
        <f>I43+I44+I45+I46</f>
      </c>
      <c r="J47" s="25">
        <f>J43+J44+J45+J46</f>
      </c>
      <c r="K47" s="25">
        <f>K43+K44+K45+K46</f>
      </c>
      <c r="L47" s="25">
        <f>L43+L44+L45+L46</f>
      </c>
      <c r="M47" s="25">
        <f>M43+M44+M45+M46</f>
      </c>
      <c r="N47" s="25">
        <f>N43+N44+N45+N46</f>
      </c>
      <c r="O47" s="25">
        <f>O43+O44+O45+O46</f>
      </c>
      <c r="P47" s="25">
        <f>P43+P44+P45+P46</f>
      </c>
      <c r="Q47" s="25">
        <f>Q43+Q44+Q45+Q46</f>
      </c>
      <c r="R47" s="25">
        <f>R43+R44+R45+R46</f>
      </c>
      <c r="S47" s="25">
        <f>S43+S44+S45+S46</f>
      </c>
      <c r="T47" s="25">
        <f>T43+T44+T45+T46</f>
      </c>
      <c r="U47" s="25">
        <f>U43+U44+U45+U46</f>
      </c>
      <c r="V47" s="25">
        <f>V43+V44+V45+V46</f>
      </c>
      <c r="W47" s="25">
        <f>W43+W44+W45+W46</f>
      </c>
      <c r="X47" s="25">
        <f>X43+X44+X45+X46</f>
      </c>
      <c r="Y47" s="25">
        <f>Y43+Y44+Y45+Y46</f>
      </c>
      <c r="Z47" s="25">
        <f>Z43+Z44+Z45+Z46</f>
      </c>
      <c r="AA47" s="25">
        <f>AA43+AA44+AA45+AA46</f>
      </c>
      <c r="AB47" s="25">
        <f>AB43+AB44+AB45+AB46</f>
      </c>
      <c r="AC47" s="25">
        <f>AC43+AC44+AC45+AC46</f>
      </c>
      <c r="AD47" s="25">
        <f>AD43+AD44+AD45+AD46</f>
      </c>
      <c r="AE47" s="25">
        <f>AE43+AE44+AE45+AE46</f>
      </c>
      <c r="AF47" s="25">
        <f>AF43+AF44+AF45+AF46</f>
      </c>
      <c r="AG47" s="25">
        <f>AG43+AG44+AG45+AG46</f>
      </c>
      <c r="AH47" s="25">
        <f>AH43+AH44+AH45+AH46</f>
      </c>
      <c r="AI47" s="25">
        <f>AI43+AI44+AI45+AI46</f>
      </c>
      <c r="AJ47" s="25">
        <f>AJ43+AJ44+AJ45+AJ46</f>
      </c>
      <c r="AK47" s="25">
        <f>AK43+AK44+AK45+AK46</f>
      </c>
      <c r="AL47" s="25">
        <f>AL43+AL44+AL45+AL46</f>
      </c>
      <c r="AM47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1049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1050</v>
      </c>
      <c r="E13" s="32"/>
      <c r="F13" s="32"/>
      <c r="G13" s="32"/>
      <c r="H13" s="32"/>
      <c r="I13" s="32"/>
      <c r="J13" s="32"/>
      <c r="K13" s="32"/>
      <c r="L13" s="32"/>
      <c r="M13" s="32"/>
      <c r="N13" s="33">
        <v>178.74</v>
      </c>
      <c r="O13" s="33">
        <v>20.16</v>
      </c>
      <c r="P13" s="33">
        <v>52.85</v>
      </c>
      <c r="Q13" s="33">
        <v>46.43</v>
      </c>
      <c r="R13" s="36">
        <f>41.11+0.00+16.19</f>
        <v>57.3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1051</v>
      </c>
      <c r="E14" s="32"/>
      <c r="F14" s="32"/>
      <c r="G14" s="32"/>
      <c r="H14" s="32"/>
      <c r="I14" s="33">
        <v>61.8</v>
      </c>
      <c r="J14" s="33">
        <v>60.05</v>
      </c>
      <c r="K14" s="33">
        <v>49.27</v>
      </c>
      <c r="L14" s="33">
        <v>46.51</v>
      </c>
      <c r="M14" s="33">
        <v>57.44</v>
      </c>
      <c r="N14" s="33">
        <v>51.01</v>
      </c>
      <c r="O14" s="33">
        <v>51.99</v>
      </c>
      <c r="P14" s="33">
        <v>58.86</v>
      </c>
      <c r="Q14" s="33">
        <v>60.23</v>
      </c>
      <c r="R14" s="33">
        <v>57.23</v>
      </c>
      <c r="S14" s="33">
        <v>58.32</v>
      </c>
      <c r="T14" s="33">
        <v>53.83</v>
      </c>
      <c r="U14" s="33">
        <v>57.65</v>
      </c>
      <c r="V14" s="33">
        <v>60.39</v>
      </c>
      <c r="W14" s="33">
        <v>53</v>
      </c>
      <c r="X14" s="33">
        <v>54.9</v>
      </c>
      <c r="Y14" s="33">
        <v>50.39</v>
      </c>
      <c r="Z14" s="33">
        <v>59.42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1052</v>
      </c>
      <c r="E15" s="32"/>
      <c r="F15" s="32"/>
      <c r="G15" s="32"/>
      <c r="H15" s="32"/>
      <c r="I15" s="33">
        <v>705.36</v>
      </c>
      <c r="J15" s="33">
        <v>725.76</v>
      </c>
      <c r="K15" s="33">
        <v>623.71</v>
      </c>
      <c r="L15" s="33">
        <v>638.3</v>
      </c>
      <c r="M15" s="33">
        <v>719.93</v>
      </c>
      <c r="N15" s="33">
        <v>711.19</v>
      </c>
      <c r="O15" s="33">
        <v>667.55</v>
      </c>
      <c r="P15" s="33">
        <v>750.14</v>
      </c>
      <c r="Q15" s="33">
        <v>722.61</v>
      </c>
      <c r="R15" s="33">
        <v>544.75</v>
      </c>
      <c r="S15" s="33">
        <v>656.8</v>
      </c>
      <c r="T15" s="33">
        <v>566.62</v>
      </c>
      <c r="U15" s="33">
        <v>621.25</v>
      </c>
      <c r="V15" s="33">
        <v>695.06</v>
      </c>
      <c r="W15" s="33">
        <v>550.22</v>
      </c>
      <c r="X15" s="33">
        <v>621.25</v>
      </c>
      <c r="Y15" s="33">
        <v>572.09</v>
      </c>
      <c r="Z15" s="33">
        <v>667.72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SUM(E13:E15)</f>
      </c>
      <c r="F17" s="22">
        <f>SUM(F13:F15)</f>
      </c>
      <c r="G17" s="22">
        <f>SUM(G13:G15)</f>
      </c>
      <c r="H17" s="22">
        <f>SUM(H13:H15)</f>
      </c>
      <c r="I17" s="22">
        <f>SUM(I13:I15)</f>
      </c>
      <c r="J17" s="22">
        <f>SUM(J13:J15)</f>
      </c>
      <c r="K17" s="22">
        <f>SUM(K13:K15)</f>
      </c>
      <c r="L17" s="22">
        <f>SUM(L13:L15)</f>
      </c>
      <c r="M17" s="22">
        <f>SUM(M13:M15)</f>
      </c>
      <c r="N17" s="22">
        <f>SUM(N13:N15)</f>
      </c>
      <c r="O17" s="22">
        <f>SUM(O13:O15)</f>
      </c>
      <c r="P17" s="22">
        <f>SUM(P13:P15)</f>
      </c>
      <c r="Q17" s="22">
        <f>SUM(Q13:Q15)</f>
      </c>
      <c r="R17" s="22">
        <f>SUM(R13:R15)</f>
      </c>
      <c r="S17" s="22">
        <f>SUM(S13:S15)</f>
      </c>
      <c r="T17" s="22">
        <f>SUM(T13:T15)</f>
      </c>
      <c r="U17" s="22">
        <f>SUM(U13:U15)</f>
      </c>
      <c r="V17" s="22">
        <f>SUM(V13:V15)</f>
      </c>
      <c r="W17" s="22">
        <f>SUM(W13:W15)</f>
      </c>
      <c r="X17" s="22">
        <f>SUM(X13:X15)</f>
      </c>
      <c r="Y17" s="22">
        <f>SUM(Y13:Y15)</f>
      </c>
      <c r="Z17" s="22">
        <f>SUM(Z13:Z15)</f>
      </c>
      <c r="AA17" s="22">
        <f>SUM(AA13:AA15)</f>
      </c>
      <c r="AB17" s="22">
        <f>SUM(AB13:AB15)</f>
      </c>
      <c r="AC17" s="22">
        <f>SUM(AC13:AC15)</f>
      </c>
      <c r="AD17" s="22">
        <f>SUM(AD13:AD15)</f>
      </c>
      <c r="AE17" s="22">
        <f>SUM(AE13:AE15)</f>
      </c>
      <c r="AF17" s="22">
        <f>SUM(AF13:AF15)</f>
      </c>
      <c r="AG17" s="22">
        <f>SUM(AG13:AG15)</f>
      </c>
      <c r="AH17" s="22">
        <f>SUM(AH13:AH15)</f>
      </c>
      <c r="AI17" s="22">
        <f>SUM(AI13:AI15)</f>
      </c>
      <c r="AJ17" s="22">
        <f>SUM(AJ13:AJ15)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3</v>
      </c>
      <c r="D20" s="32" t="s">
        <v>1053</v>
      </c>
      <c r="E20" s="32"/>
      <c r="F20" s="32"/>
      <c r="G20" s="32"/>
      <c r="H20" s="32"/>
      <c r="I20" s="36">
        <f>1723.23+513.61</f>
        <v>2236.84</v>
      </c>
      <c r="J20" s="36">
        <f>2085.34+621.90</f>
        <v>2707.2400000000002</v>
      </c>
      <c r="K20" s="36">
        <f>1893.20+564.44</f>
        <v>2457.6400000000003</v>
      </c>
      <c r="L20" s="36">
        <f>1878.42+560.02</f>
        <v>2438.44</v>
      </c>
      <c r="M20" s="36">
        <f>1604.99+478.25</f>
        <v>2083.24</v>
      </c>
      <c r="N20" s="36">
        <f>1730.62+515.82</f>
        <v>2246.44</v>
      </c>
      <c r="O20" s="36">
        <f>1568.04+467.20</f>
        <v>2035.24</v>
      </c>
      <c r="P20" s="36">
        <f>1619.77+482.67</f>
        <v>2102.44</v>
      </c>
      <c r="Q20" s="36">
        <f>1604.99+478.25</f>
        <v>2083.24</v>
      </c>
      <c r="R20" s="36">
        <f>1375.90+409.74</f>
        <v>1785.64</v>
      </c>
      <c r="S20" s="36">
        <f>1724.13+513.67</f>
        <v>2237.8</v>
      </c>
      <c r="T20" s="36">
        <f>1545.65+460.31</f>
        <v>2005.96</v>
      </c>
      <c r="U20" s="36">
        <f>1561.17+464.95</f>
        <v>2026.1200000000001</v>
      </c>
      <c r="V20" s="36">
        <f>1856.05+553.11</f>
        <v>2409.16</v>
      </c>
      <c r="W20" s="36">
        <f>1568.93+467.27</f>
        <v>2036.2</v>
      </c>
      <c r="X20" s="36">
        <f>1654.29+492.79</f>
        <v>2147.08</v>
      </c>
      <c r="Y20" s="36">
        <f>1956.93+583.27</f>
        <v>2540.2</v>
      </c>
      <c r="Z20" s="36">
        <f>2174.21+648.23</f>
        <v>2822.44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ht="12.75" customHeight="1" spans="2:37" x14ac:dyDescent="0.25">
      <c r="B26" s="20" t="s">
        <v>90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3"/>
    </row>
    <row r="29" ht="12.75" customHeight="1" spans="2:37" x14ac:dyDescent="0.25">
      <c r="B29" s="11" t="s">
        <v>40</v>
      </c>
      <c r="C29" s="12"/>
      <c r="D29" s="13"/>
      <c r="E29" s="14" t="s">
        <v>7</v>
      </c>
      <c r="F29" s="14" t="s">
        <v>8</v>
      </c>
      <c r="G29" s="14" t="s">
        <v>9</v>
      </c>
      <c r="H29" s="14" t="s">
        <v>10</v>
      </c>
      <c r="I29" s="14" t="s">
        <v>11</v>
      </c>
      <c r="J29" s="14" t="s">
        <v>12</v>
      </c>
      <c r="K29" s="14" t="s">
        <v>13</v>
      </c>
      <c r="L29" s="14" t="s">
        <v>14</v>
      </c>
      <c r="M29" s="14" t="s">
        <v>15</v>
      </c>
      <c r="N29" s="14" t="s">
        <v>16</v>
      </c>
      <c r="O29" s="14" t="s">
        <v>17</v>
      </c>
      <c r="P29" s="14" t="s">
        <v>18</v>
      </c>
      <c r="Q29" s="14" t="s">
        <v>19</v>
      </c>
      <c r="R29" s="14" t="s">
        <v>20</v>
      </c>
      <c r="S29" s="14" t="s">
        <v>21</v>
      </c>
      <c r="T29" s="14" t="s">
        <v>22</v>
      </c>
      <c r="U29" s="14" t="s">
        <v>23</v>
      </c>
      <c r="V29" s="14" t="s">
        <v>24</v>
      </c>
      <c r="W29" s="14" t="s">
        <v>25</v>
      </c>
      <c r="X29" s="14" t="s">
        <v>26</v>
      </c>
      <c r="Y29" s="14" t="s">
        <v>27</v>
      </c>
      <c r="Z29" s="14" t="s">
        <v>28</v>
      </c>
      <c r="AA29" s="14" t="s">
        <v>29</v>
      </c>
      <c r="AB29" s="14" t="s">
        <v>30</v>
      </c>
      <c r="AC29" s="14" t="s">
        <v>31</v>
      </c>
      <c r="AD29" s="14" t="s">
        <v>32</v>
      </c>
      <c r="AE29" s="14" t="s">
        <v>33</v>
      </c>
      <c r="AF29" s="14" t="s">
        <v>34</v>
      </c>
      <c r="AG29" s="14" t="s">
        <v>35</v>
      </c>
      <c r="AH29" s="14" t="s">
        <v>36</v>
      </c>
      <c r="AI29" s="14" t="s">
        <v>37</v>
      </c>
      <c r="AJ29" s="14" t="s">
        <v>38</v>
      </c>
      <c r="AK29" s="15"/>
    </row>
    <row r="30" ht="12.75" customHeight="1" spans="2:37" x14ac:dyDescent="0.25">
      <c r="B30" s="16" t="s">
        <v>41</v>
      </c>
      <c r="C30" s="17"/>
      <c r="D30" s="17"/>
      <c r="E30" s="18">
        <f>E10</f>
      </c>
      <c r="F30" s="18">
        <f>F10</f>
      </c>
      <c r="G30" s="18">
        <f>G10</f>
      </c>
      <c r="H30" s="18">
        <f>H10</f>
      </c>
      <c r="I30" s="18">
        <f>I10</f>
      </c>
      <c r="J30" s="18">
        <f>J10</f>
      </c>
      <c r="K30" s="18">
        <f>K10</f>
      </c>
      <c r="L30" s="18">
        <f>L10</f>
      </c>
      <c r="M30" s="18">
        <f>M10</f>
      </c>
      <c r="N30" s="18">
        <f>N10</f>
      </c>
      <c r="O30" s="18">
        <f>O10</f>
      </c>
      <c r="P30" s="18">
        <f>P10</f>
      </c>
      <c r="Q30" s="18">
        <f>Q10</f>
      </c>
      <c r="R30" s="18">
        <f>R10</f>
      </c>
      <c r="S30" s="18">
        <f>S10</f>
      </c>
      <c r="T30" s="18">
        <f>T10</f>
      </c>
      <c r="U30" s="18">
        <f>U10</f>
      </c>
      <c r="V30" s="18">
        <f>V10</f>
      </c>
      <c r="W30" s="18">
        <f>W10</f>
      </c>
      <c r="X30" s="18">
        <f>X10</f>
      </c>
      <c r="Y30" s="18">
        <f>Y10</f>
      </c>
      <c r="Z30" s="18">
        <f>Z10</f>
      </c>
      <c r="AA30" s="18">
        <f>AA10</f>
      </c>
      <c r="AB30" s="18">
        <f>AB10</f>
      </c>
      <c r="AC30" s="18">
        <f>AC10</f>
      </c>
      <c r="AD30" s="18">
        <f>AD10</f>
      </c>
      <c r="AE30" s="18">
        <f>AE10</f>
      </c>
      <c r="AF30" s="18">
        <f>AF10</f>
      </c>
      <c r="AG30" s="18">
        <f>AG10</f>
      </c>
      <c r="AH30" s="18">
        <f>AH10</f>
      </c>
      <c r="AI30" s="18">
        <f>AI10</f>
      </c>
      <c r="AJ30" s="18">
        <f>AJ10</f>
      </c>
      <c r="AK30" s="19"/>
    </row>
    <row r="31" ht="12.75" customHeight="1" spans="2:37" x14ac:dyDescent="0.25">
      <c r="B31" s="16" t="s">
        <v>42</v>
      </c>
      <c r="C31" s="17"/>
      <c r="D31" s="17"/>
      <c r="E31" s="18">
        <f>E17</f>
      </c>
      <c r="F31" s="18">
        <f>F17</f>
      </c>
      <c r="G31" s="18">
        <f>G17</f>
      </c>
      <c r="H31" s="18">
        <f>H17</f>
      </c>
      <c r="I31" s="18">
        <f>I17</f>
      </c>
      <c r="J31" s="18">
        <f>J17</f>
      </c>
      <c r="K31" s="18">
        <f>K17</f>
      </c>
      <c r="L31" s="18">
        <f>L17</f>
      </c>
      <c r="M31" s="18">
        <f>M17</f>
      </c>
      <c r="N31" s="18">
        <f>N17</f>
      </c>
      <c r="O31" s="18">
        <f>O17</f>
      </c>
      <c r="P31" s="18">
        <f>P17</f>
      </c>
      <c r="Q31" s="18">
        <f>Q17</f>
      </c>
      <c r="R31" s="18">
        <f>R17</f>
      </c>
      <c r="S31" s="18">
        <f>S17</f>
      </c>
      <c r="T31" s="18">
        <f>T17</f>
      </c>
      <c r="U31" s="18">
        <f>U17</f>
      </c>
      <c r="V31" s="18">
        <f>V17</f>
      </c>
      <c r="W31" s="18">
        <f>W17</f>
      </c>
      <c r="X31" s="18">
        <f>X17</f>
      </c>
      <c r="Y31" s="18">
        <f>Y17</f>
      </c>
      <c r="Z31" s="18">
        <f>Z17</f>
      </c>
      <c r="AA31" s="18">
        <f>AA17</f>
      </c>
      <c r="AB31" s="18">
        <f>AB17</f>
      </c>
      <c r="AC31" s="18">
        <f>AC17</f>
      </c>
      <c r="AD31" s="18">
        <f>AD17</f>
      </c>
      <c r="AE31" s="18">
        <f>AE17</f>
      </c>
      <c r="AF31" s="18">
        <f>AF17</f>
      </c>
      <c r="AG31" s="18">
        <f>AG17</f>
      </c>
      <c r="AH31" s="18">
        <f>AH17</f>
      </c>
      <c r="AI31" s="18">
        <f>AI17</f>
      </c>
      <c r="AJ31" s="18">
        <f>AJ17</f>
      </c>
      <c r="AK31" s="19"/>
    </row>
    <row r="32" ht="12.75" customHeight="1" spans="2:37" x14ac:dyDescent="0.25">
      <c r="B32" s="16" t="s">
        <v>43</v>
      </c>
      <c r="C32" s="17"/>
      <c r="D32" s="17"/>
      <c r="E32" s="18">
        <f>E22</f>
      </c>
      <c r="F32" s="18">
        <f>F22</f>
      </c>
      <c r="G32" s="18">
        <f>G22</f>
      </c>
      <c r="H32" s="18">
        <f>H22</f>
      </c>
      <c r="I32" s="18">
        <f>I22</f>
      </c>
      <c r="J32" s="18">
        <f>J22</f>
      </c>
      <c r="K32" s="18">
        <f>K22</f>
      </c>
      <c r="L32" s="18">
        <f>L22</f>
      </c>
      <c r="M32" s="18">
        <f>M22</f>
      </c>
      <c r="N32" s="18">
        <f>N22</f>
      </c>
      <c r="O32" s="18">
        <f>O22</f>
      </c>
      <c r="P32" s="18">
        <f>P22</f>
      </c>
      <c r="Q32" s="18">
        <f>Q22</f>
      </c>
      <c r="R32" s="18">
        <f>R22</f>
      </c>
      <c r="S32" s="18">
        <f>S22</f>
      </c>
      <c r="T32" s="18">
        <f>T22</f>
      </c>
      <c r="U32" s="18">
        <f>U22</f>
      </c>
      <c r="V32" s="18">
        <f>V22</f>
      </c>
      <c r="W32" s="18">
        <f>W22</f>
      </c>
      <c r="X32" s="18">
        <f>X22</f>
      </c>
      <c r="Y32" s="18">
        <f>Y22</f>
      </c>
      <c r="Z32" s="18">
        <f>Z22</f>
      </c>
      <c r="AA32" s="18">
        <f>AA22</f>
      </c>
      <c r="AB32" s="18">
        <f>AB22</f>
      </c>
      <c r="AC32" s="18">
        <f>AC22</f>
      </c>
      <c r="AD32" s="18">
        <f>AD22</f>
      </c>
      <c r="AE32" s="18">
        <f>AE22</f>
      </c>
      <c r="AF32" s="18">
        <f>AF22</f>
      </c>
      <c r="AG32" s="18">
        <f>AG22</f>
      </c>
      <c r="AH32" s="18">
        <f>AH22</f>
      </c>
      <c r="AI32" s="18">
        <f>AI22</f>
      </c>
      <c r="AJ32" s="18">
        <f>AJ22</f>
      </c>
      <c r="AK32" s="19"/>
    </row>
    <row r="33" ht="12.75" customHeight="1" spans="2:37" x14ac:dyDescent="0.25">
      <c r="B33" s="16" t="s">
        <v>44</v>
      </c>
      <c r="C33" s="17"/>
      <c r="D33" s="17"/>
      <c r="E33" s="18">
        <f>E26</f>
      </c>
      <c r="F33" s="18">
        <f>F26</f>
      </c>
      <c r="G33" s="18">
        <f>G26</f>
      </c>
      <c r="H33" s="18">
        <f>H26</f>
      </c>
      <c r="I33" s="18">
        <f>I26</f>
      </c>
      <c r="J33" s="18">
        <f>J26</f>
      </c>
      <c r="K33" s="18">
        <f>K26</f>
      </c>
      <c r="L33" s="18">
        <f>L26</f>
      </c>
      <c r="M33" s="18">
        <f>M26</f>
      </c>
      <c r="N33" s="18">
        <f>N26</f>
      </c>
      <c r="O33" s="18">
        <f>O26</f>
      </c>
      <c r="P33" s="18">
        <f>P26</f>
      </c>
      <c r="Q33" s="18">
        <f>Q26</f>
      </c>
      <c r="R33" s="18">
        <f>R26</f>
      </c>
      <c r="S33" s="18">
        <f>S26</f>
      </c>
      <c r="T33" s="18">
        <f>T26</f>
      </c>
      <c r="U33" s="18">
        <f>U26</f>
      </c>
      <c r="V33" s="18">
        <f>V26</f>
      </c>
      <c r="W33" s="18">
        <f>W26</f>
      </c>
      <c r="X33" s="18">
        <f>X26</f>
      </c>
      <c r="Y33" s="18">
        <f>Y26</f>
      </c>
      <c r="Z33" s="18">
        <f>Z26</f>
      </c>
      <c r="AA33" s="18">
        <f>AA26</f>
      </c>
      <c r="AB33" s="18">
        <f>AB26</f>
      </c>
      <c r="AC33" s="18">
        <f>AC26</f>
      </c>
      <c r="AD33" s="18">
        <f>AD26</f>
      </c>
      <c r="AE33" s="18">
        <f>AE26</f>
      </c>
      <c r="AF33" s="18">
        <f>AF26</f>
      </c>
      <c r="AG33" s="18">
        <f>AG26</f>
      </c>
      <c r="AH33" s="18">
        <f>AH26</f>
      </c>
      <c r="AI33" s="18">
        <f>AI26</f>
      </c>
      <c r="AJ33" s="18">
        <f>AJ26</f>
      </c>
      <c r="AK33" s="19"/>
    </row>
    <row r="34" ht="12.75" customHeight="1" spans="2:37" x14ac:dyDescent="0.25">
      <c r="B34" s="20" t="s">
        <v>45</v>
      </c>
      <c r="C34" s="21"/>
      <c r="D34" s="21"/>
      <c r="E34" s="22">
        <f>E30+E31+E32+E33</f>
      </c>
      <c r="F34" s="22">
        <f>F30+F31+F32+F33</f>
      </c>
      <c r="G34" s="22">
        <f>G30+G31+G32+G33</f>
      </c>
      <c r="H34" s="22">
        <f>H30+H31+H32+H33</f>
      </c>
      <c r="I34" s="22">
        <f>I30+I31+I32+I33</f>
      </c>
      <c r="J34" s="22">
        <f>J30+J31+J32+J33</f>
      </c>
      <c r="K34" s="22">
        <f>K30+K31+K32+K33</f>
      </c>
      <c r="L34" s="22">
        <f>L30+L31+L32+L33</f>
      </c>
      <c r="M34" s="22">
        <f>M30+M31+M32+M33</f>
      </c>
      <c r="N34" s="22">
        <f>N30+N31+N32+N33</f>
      </c>
      <c r="O34" s="22">
        <f>O30+O31+O32+O33</f>
      </c>
      <c r="P34" s="22">
        <f>P30+P31+P32+P33</f>
      </c>
      <c r="Q34" s="22">
        <f>Q30+Q31+Q32+Q33</f>
      </c>
      <c r="R34" s="22">
        <f>R30+R31+R32+R33</f>
      </c>
      <c r="S34" s="22">
        <f>S30+S31+S32+S33</f>
      </c>
      <c r="T34" s="22">
        <f>T30+T31+T32+T33</f>
      </c>
      <c r="U34" s="22">
        <f>U30+U31+U32+U33</f>
      </c>
      <c r="V34" s="22">
        <f>V30+V31+V32+V33</f>
      </c>
      <c r="W34" s="22">
        <f>W30+W31+W32+W33</f>
      </c>
      <c r="X34" s="22">
        <f>X30+X31+X32+X33</f>
      </c>
      <c r="Y34" s="22">
        <f>Y30+Y31+Y32+Y33</f>
      </c>
      <c r="Z34" s="22">
        <f>Z30+Z31+Z32+Z33</f>
      </c>
      <c r="AA34" s="22">
        <f>AA30+AA31+AA32+AA33</f>
      </c>
      <c r="AB34" s="22">
        <f>AB30+AB31+AB32+AB33</f>
      </c>
      <c r="AC34" s="22">
        <f>AC30+AC31+AC32+AC33</f>
      </c>
      <c r="AD34" s="22">
        <f>AD30+AD31+AD32+AD33</f>
      </c>
      <c r="AE34" s="22">
        <f>AE30+AE31+AE32+AE33</f>
      </c>
      <c r="AF34" s="22">
        <f>AF30+AF31+AF32+AF33</f>
      </c>
      <c r="AG34" s="22">
        <f>AG30+AG31+AG32+AG33</f>
      </c>
      <c r="AH34" s="22">
        <f>AH30+AH31+AH32+AH33</f>
      </c>
      <c r="AI34" s="22">
        <f>AI30+AI31+AI32+AI33</f>
      </c>
      <c r="AJ34" s="22">
        <f>AJ30+AJ31+AJ32+AJ33</f>
      </c>
      <c r="AK34" s="23"/>
    </row>
    <row r="36" ht="12.75" customHeight="1" spans="2:37" x14ac:dyDescent="0.25">
      <c r="B36" s="11" t="s">
        <v>46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ht="12.75" customHeight="1" spans="2:37" x14ac:dyDescent="0.25">
      <c r="B38" s="16" t="s">
        <v>42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44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47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24">
        <f>E37-E30</f>
      </c>
      <c r="F44" s="24">
        <f>F37-F30</f>
      </c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19"/>
    </row>
    <row r="45" ht="12.75" customHeight="1" spans="2:37" x14ac:dyDescent="0.25">
      <c r="B45" s="16" t="s">
        <v>42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43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44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20" t="s">
        <v>45</v>
      </c>
      <c r="C48" s="21"/>
      <c r="D48" s="21"/>
      <c r="E48" s="25">
        <f>E44+E45+E46+E47</f>
      </c>
      <c r="F48" s="25">
        <f>F44+F45+F46+F47</f>
      </c>
      <c r="G48" s="25">
        <f>G44+G45+G46+G47</f>
      </c>
      <c r="H48" s="25">
        <f>H44+H45+H46+H47</f>
      </c>
      <c r="I48" s="25">
        <f>I44+I45+I46+I47</f>
      </c>
      <c r="J48" s="25">
        <f>J44+J45+J46+J47</f>
      </c>
      <c r="K48" s="25">
        <f>K44+K45+K46+K47</f>
      </c>
      <c r="L48" s="25">
        <f>L44+L45+L46+L47</f>
      </c>
      <c r="M48" s="25">
        <f>M44+M45+M46+M47</f>
      </c>
      <c r="N48" s="25">
        <f>N44+N45+N46+N47</f>
      </c>
      <c r="O48" s="25">
        <f>O44+O45+O46+O47</f>
      </c>
      <c r="P48" s="25">
        <f>P44+P45+P46+P47</f>
      </c>
      <c r="Q48" s="25">
        <f>Q44+Q45+Q46+Q47</f>
      </c>
      <c r="R48" s="25">
        <f>R44+R45+R46+R47</f>
      </c>
      <c r="S48" s="25">
        <f>S44+S45+S46+S47</f>
      </c>
      <c r="T48" s="25">
        <f>T44+T45+T46+T47</f>
      </c>
      <c r="U48" s="25">
        <f>U44+U45+U46+U47</f>
      </c>
      <c r="V48" s="25">
        <f>V44+V45+V46+V47</f>
      </c>
      <c r="W48" s="25">
        <f>W44+W45+W46+W47</f>
      </c>
      <c r="X48" s="25">
        <f>X44+X45+X46+X47</f>
      </c>
      <c r="Y48" s="25">
        <f>Y44+Y45+Y46+Y47</f>
      </c>
      <c r="Z48" s="25">
        <f>Z44+Z45+Z46+Z47</f>
      </c>
      <c r="AA48" s="25">
        <f>AA44+AA45+AA46+AA47</f>
      </c>
      <c r="AB48" s="25">
        <f>AB44+AB45+AB46+AB47</f>
      </c>
      <c r="AC48" s="25">
        <f>AC44+AC45+AC46+AC47</f>
      </c>
      <c r="AD48" s="25">
        <f>AD44+AD45+AD46+AD47</f>
      </c>
      <c r="AE48" s="25">
        <f>AE44+AE45+AE46+AE47</f>
      </c>
      <c r="AF48" s="25">
        <f>AF44+AF45+AF46+AF47</f>
      </c>
      <c r="AG48" s="25">
        <f>AG44+AG45+AG46+AG47</f>
      </c>
      <c r="AH48" s="25">
        <f>AH44+AH45+AH46+AH47</f>
      </c>
      <c r="AI48" s="25">
        <f>AI44+AI45+AI46+AI47</f>
      </c>
      <c r="AJ48" s="25">
        <f>AJ44+AJ45+AJ46+AJ47</f>
      </c>
      <c r="AK4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1049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1054</v>
      </c>
      <c r="L8" s="44" t="s">
        <v>1055</v>
      </c>
      <c r="M8" s="44" t="s">
        <v>1056</v>
      </c>
      <c r="N8" s="44" t="s">
        <v>1057</v>
      </c>
      <c r="O8" s="44" t="s">
        <v>1058</v>
      </c>
      <c r="P8" s="44" t="s">
        <v>1059</v>
      </c>
      <c r="Q8" s="44" t="s">
        <v>221</v>
      </c>
      <c r="R8" s="44" t="s">
        <v>1060</v>
      </c>
      <c r="S8" s="44" t="s">
        <v>1061</v>
      </c>
      <c r="T8" s="44" t="s">
        <v>1062</v>
      </c>
      <c r="U8" s="44" t="s">
        <v>1063</v>
      </c>
      <c r="V8" s="44" t="s">
        <v>1064</v>
      </c>
      <c r="W8" s="44" t="s">
        <v>1065</v>
      </c>
      <c r="X8" s="44" t="s">
        <v>1066</v>
      </c>
      <c r="Y8" s="44" t="s">
        <v>1067</v>
      </c>
      <c r="Z8" s="44" t="s">
        <v>1068</v>
      </c>
      <c r="AA8" s="44" t="s">
        <v>1069</v>
      </c>
      <c r="AB8" s="44" t="s">
        <v>1070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1049</v>
      </c>
      <c r="D14" s="50" t="s">
        <v>42</v>
      </c>
      <c r="E14" s="32" t="s">
        <v>3</v>
      </c>
      <c r="F14" s="32" t="s">
        <v>1050</v>
      </c>
      <c r="G14" s="32"/>
      <c r="H14" s="32"/>
      <c r="I14" s="32"/>
      <c r="J14" s="32"/>
      <c r="K14" s="32"/>
      <c r="L14" s="32"/>
      <c r="M14" s="32"/>
      <c r="N14" s="32"/>
      <c r="O14" s="32"/>
      <c r="P14" s="33">
        <v>178.74</v>
      </c>
      <c r="Q14" s="33">
        <v>20.16</v>
      </c>
      <c r="R14" s="33">
        <v>52.85</v>
      </c>
      <c r="S14" s="33">
        <v>46.43</v>
      </c>
      <c r="T14" s="33">
        <f>41.11+0.00+16.19</f>
        <v>57.3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1049</v>
      </c>
      <c r="D15" s="50" t="s">
        <v>42</v>
      </c>
      <c r="E15" s="32" t="s">
        <v>3</v>
      </c>
      <c r="F15" s="32" t="s">
        <v>1051</v>
      </c>
      <c r="G15" s="32"/>
      <c r="H15" s="32"/>
      <c r="I15" s="32"/>
      <c r="J15" s="32"/>
      <c r="K15" s="33">
        <v>61.8</v>
      </c>
      <c r="L15" s="33">
        <v>60.05</v>
      </c>
      <c r="M15" s="33">
        <v>49.27</v>
      </c>
      <c r="N15" s="33">
        <v>46.51</v>
      </c>
      <c r="O15" s="33">
        <v>57.44</v>
      </c>
      <c r="P15" s="33">
        <v>51.01</v>
      </c>
      <c r="Q15" s="33">
        <v>51.99</v>
      </c>
      <c r="R15" s="33">
        <v>58.86</v>
      </c>
      <c r="S15" s="33">
        <v>60.23</v>
      </c>
      <c r="T15" s="33">
        <v>57.23</v>
      </c>
      <c r="U15" s="33">
        <v>58.32</v>
      </c>
      <c r="V15" s="33">
        <v>53.83</v>
      </c>
      <c r="W15" s="33">
        <v>57.65</v>
      </c>
      <c r="X15" s="33">
        <v>60.39</v>
      </c>
      <c r="Y15" s="33">
        <v>53</v>
      </c>
      <c r="Z15" s="33">
        <v>54.9</v>
      </c>
      <c r="AA15" s="33">
        <v>50.39</v>
      </c>
      <c r="AB15" s="33">
        <v>59.42</v>
      </c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1049</v>
      </c>
      <c r="D16" s="50" t="s">
        <v>42</v>
      </c>
      <c r="E16" s="32" t="s">
        <v>3</v>
      </c>
      <c r="F16" s="32" t="s">
        <v>1052</v>
      </c>
      <c r="G16" s="32"/>
      <c r="H16" s="32"/>
      <c r="I16" s="32"/>
      <c r="J16" s="32"/>
      <c r="K16" s="33">
        <v>705.36</v>
      </c>
      <c r="L16" s="33">
        <v>725.76</v>
      </c>
      <c r="M16" s="33">
        <v>623.71</v>
      </c>
      <c r="N16" s="33">
        <v>638.3</v>
      </c>
      <c r="O16" s="33">
        <v>719.93</v>
      </c>
      <c r="P16" s="33">
        <v>711.19</v>
      </c>
      <c r="Q16" s="33">
        <v>667.55</v>
      </c>
      <c r="R16" s="33">
        <v>750.14</v>
      </c>
      <c r="S16" s="33">
        <v>722.61</v>
      </c>
      <c r="T16" s="33">
        <v>544.75</v>
      </c>
      <c r="U16" s="33">
        <v>656.8</v>
      </c>
      <c r="V16" s="33">
        <v>566.62</v>
      </c>
      <c r="W16" s="33">
        <v>621.25</v>
      </c>
      <c r="X16" s="33">
        <v>695.06</v>
      </c>
      <c r="Y16" s="33">
        <v>550.22</v>
      </c>
      <c r="Z16" s="33">
        <v>621.25</v>
      </c>
      <c r="AA16" s="33">
        <v>572.09</v>
      </c>
      <c r="AB16" s="33">
        <v>667.72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SUM(G14:G16)</f>
      </c>
      <c r="H18" s="22">
        <f>SUM(H14:H16)</f>
      </c>
      <c r="I18" s="22">
        <f>SUM(I14:I16)</f>
      </c>
      <c r="J18" s="22">
        <f>SUM(J14:J16)</f>
      </c>
      <c r="K18" s="22">
        <f>SUM(K14:K16)</f>
      </c>
      <c r="L18" s="22">
        <f>SUM(L14:L16)</f>
      </c>
      <c r="M18" s="22">
        <f>SUM(M14:M16)</f>
      </c>
      <c r="N18" s="22">
        <f>SUM(N14:N16)</f>
      </c>
      <c r="O18" s="22">
        <f>SUM(O14:O16)</f>
      </c>
      <c r="P18" s="22">
        <f>SUM(P14:P16)</f>
      </c>
      <c r="Q18" s="22">
        <f>SUM(Q14:Q16)</f>
      </c>
      <c r="R18" s="22">
        <f>SUM(R14:R16)</f>
      </c>
      <c r="S18" s="22">
        <f>SUM(S14:S16)</f>
      </c>
      <c r="T18" s="22">
        <f>SUM(T14:T16)</f>
      </c>
      <c r="U18" s="22">
        <f>SUM(U14:U16)</f>
      </c>
      <c r="V18" s="22">
        <f>SUM(V14:V16)</f>
      </c>
      <c r="W18" s="22">
        <f>SUM(W14:W16)</f>
      </c>
      <c r="X18" s="22">
        <f>SUM(X14:X16)</f>
      </c>
      <c r="Y18" s="22">
        <f>SUM(Y14:Y16)</f>
      </c>
      <c r="Z18" s="22">
        <f>SUM(Z14:Z16)</f>
      </c>
      <c r="AA18" s="22">
        <f>SUM(AA14:AA16)</f>
      </c>
      <c r="AB18" s="22">
        <f>SUM(AB14:AB16)</f>
      </c>
      <c r="AC18" s="22">
        <f>SUM(AC14:AC16)</f>
      </c>
      <c r="AD18" s="22">
        <f>SUM(AD14:AD16)</f>
      </c>
      <c r="AE18" s="22">
        <f>SUM(AE14:AE16)</f>
      </c>
      <c r="AF18" s="22">
        <f>SUM(AF14:AF16)</f>
      </c>
      <c r="AG18" s="22">
        <f>SUM(AG14:AG16)</f>
      </c>
      <c r="AH18" s="22">
        <f>SUM(AH14:AH16)</f>
      </c>
      <c r="AI18" s="22">
        <f>SUM(AI14:AI16)</f>
      </c>
      <c r="AJ18" s="22">
        <f>SUM(AJ14:AJ16)</f>
      </c>
      <c r="AK18" s="22">
        <f>SUM(AK14:AK16)</f>
      </c>
      <c r="AL18" s="22">
        <f>SUM(AL14:AL16)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1049</v>
      </c>
      <c r="D21" s="50" t="s">
        <v>43</v>
      </c>
      <c r="E21" s="32" t="s">
        <v>3</v>
      </c>
      <c r="F21" s="32" t="s">
        <v>1053</v>
      </c>
      <c r="G21" s="32"/>
      <c r="H21" s="32"/>
      <c r="I21" s="32"/>
      <c r="J21" s="32"/>
      <c r="K21" s="33">
        <f>1723.23+513.61</f>
        <v>2236.84</v>
      </c>
      <c r="L21" s="33">
        <f>2085.34+621.90</f>
        <v>2707.2400000000002</v>
      </c>
      <c r="M21" s="33">
        <f>1893.20+564.44</f>
        <v>2457.6400000000003</v>
      </c>
      <c r="N21" s="33">
        <f>1878.42+560.02</f>
        <v>2438.44</v>
      </c>
      <c r="O21" s="33">
        <f>1604.99+478.25</f>
        <v>2083.24</v>
      </c>
      <c r="P21" s="33">
        <f>1730.62+515.82</f>
        <v>2246.44</v>
      </c>
      <c r="Q21" s="33">
        <f>1568.04+467.20</f>
        <v>2035.24</v>
      </c>
      <c r="R21" s="33">
        <f>1619.77+482.67</f>
        <v>2102.44</v>
      </c>
      <c r="S21" s="33">
        <f>1604.99+478.25</f>
        <v>2083.24</v>
      </c>
      <c r="T21" s="33">
        <f>1375.90+409.74</f>
        <v>1785.64</v>
      </c>
      <c r="U21" s="33">
        <f>1724.13+513.67</f>
        <v>2237.8</v>
      </c>
      <c r="V21" s="33">
        <f>1545.65+460.31</f>
        <v>2005.96</v>
      </c>
      <c r="W21" s="33">
        <f>1561.17+464.95</f>
        <v>2026.1200000000001</v>
      </c>
      <c r="X21" s="33">
        <f>1856.05+553.11</f>
        <v>2409.16</v>
      </c>
      <c r="Y21" s="33">
        <f>1568.93+467.27</f>
        <v>2036.2</v>
      </c>
      <c r="Z21" s="33">
        <f>1654.29+492.79</f>
        <v>2147.08</v>
      </c>
      <c r="AA21" s="33">
        <f>1956.93+583.27</f>
        <v>2540.2</v>
      </c>
      <c r="AB21" s="33">
        <f>2174.21+648.23</f>
        <v>2822.44</v>
      </c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5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/>
    </row>
    <row r="27" ht="13.5" customHeight="1" spans="2:39" x14ac:dyDescent="0.25">
      <c r="B27" s="20"/>
      <c r="C27" s="21"/>
      <c r="D27" s="21" t="s">
        <v>90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3"/>
    </row>
    <row r="30" ht="12.75" customHeight="1" spans="2:39" x14ac:dyDescent="0.25">
      <c r="B30" s="11" t="s">
        <v>40</v>
      </c>
      <c r="C30" s="12"/>
      <c r="D30" s="12"/>
      <c r="E30" s="12"/>
      <c r="F30" s="12"/>
      <c r="G30" s="52" t="s">
        <v>7</v>
      </c>
      <c r="H30" s="52" t="s">
        <v>8</v>
      </c>
      <c r="I30" s="52" t="s">
        <v>9</v>
      </c>
      <c r="J30" s="52" t="s">
        <v>10</v>
      </c>
      <c r="K30" s="52" t="s">
        <v>11</v>
      </c>
      <c r="L30" s="52" t="s">
        <v>12</v>
      </c>
      <c r="M30" s="52" t="s">
        <v>13</v>
      </c>
      <c r="N30" s="52" t="s">
        <v>14</v>
      </c>
      <c r="O30" s="52" t="s">
        <v>15</v>
      </c>
      <c r="P30" s="52" t="s">
        <v>16</v>
      </c>
      <c r="Q30" s="52" t="s">
        <v>17</v>
      </c>
      <c r="R30" s="52" t="s">
        <v>18</v>
      </c>
      <c r="S30" s="52" t="s">
        <v>19</v>
      </c>
      <c r="T30" s="52" t="s">
        <v>20</v>
      </c>
      <c r="U30" s="52" t="s">
        <v>21</v>
      </c>
      <c r="V30" s="52" t="s">
        <v>22</v>
      </c>
      <c r="W30" s="52" t="s">
        <v>23</v>
      </c>
      <c r="X30" s="52" t="s">
        <v>24</v>
      </c>
      <c r="Y30" s="52" t="s">
        <v>25</v>
      </c>
      <c r="Z30" s="52" t="s">
        <v>26</v>
      </c>
      <c r="AA30" s="52" t="s">
        <v>27</v>
      </c>
      <c r="AB30" s="52" t="s">
        <v>28</v>
      </c>
      <c r="AC30" s="52" t="s">
        <v>29</v>
      </c>
      <c r="AD30" s="52" t="s">
        <v>30</v>
      </c>
      <c r="AE30" s="52" t="s">
        <v>31</v>
      </c>
      <c r="AF30" s="52" t="s">
        <v>32</v>
      </c>
      <c r="AG30" s="52" t="s">
        <v>33</v>
      </c>
      <c r="AH30" s="52" t="s">
        <v>34</v>
      </c>
      <c r="AI30" s="52" t="s">
        <v>35</v>
      </c>
      <c r="AJ30" s="52" t="s">
        <v>36</v>
      </c>
      <c r="AK30" s="52" t="s">
        <v>37</v>
      </c>
      <c r="AL30" s="52" t="s">
        <v>38</v>
      </c>
      <c r="AM30" s="15"/>
    </row>
    <row r="31" ht="12.75" customHeight="1" spans="2:39" x14ac:dyDescent="0.25">
      <c r="B31" s="16"/>
      <c r="C31" s="17"/>
      <c r="D31" s="17" t="s">
        <v>41</v>
      </c>
      <c r="E31" s="17"/>
      <c r="F31" s="17"/>
      <c r="G31" s="18">
        <f>G11</f>
      </c>
      <c r="H31" s="18">
        <f>H11</f>
      </c>
      <c r="I31" s="18">
        <f>I11</f>
      </c>
      <c r="J31" s="18">
        <f>J11</f>
      </c>
      <c r="K31" s="18">
        <f>K11</f>
      </c>
      <c r="L31" s="18">
        <f>L11</f>
      </c>
      <c r="M31" s="18">
        <f>M11</f>
      </c>
      <c r="N31" s="18">
        <f>N11</f>
      </c>
      <c r="O31" s="18">
        <f>O11</f>
      </c>
      <c r="P31" s="18">
        <f>P11</f>
      </c>
      <c r="Q31" s="18">
        <f>Q11</f>
      </c>
      <c r="R31" s="18">
        <f>R11</f>
      </c>
      <c r="S31" s="18">
        <f>S11</f>
      </c>
      <c r="T31" s="18">
        <f>T11</f>
      </c>
      <c r="U31" s="18">
        <f>U11</f>
      </c>
      <c r="V31" s="18">
        <f>V11</f>
      </c>
      <c r="W31" s="18">
        <f>W11</f>
      </c>
      <c r="X31" s="18">
        <f>X11</f>
      </c>
      <c r="Y31" s="18">
        <f>Y11</f>
      </c>
      <c r="Z31" s="18">
        <f>Z11</f>
      </c>
      <c r="AA31" s="18">
        <f>AA11</f>
      </c>
      <c r="AB31" s="18">
        <f>AB11</f>
      </c>
      <c r="AC31" s="18">
        <f>AC11</f>
      </c>
      <c r="AD31" s="18">
        <f>AD11</f>
      </c>
      <c r="AE31" s="18">
        <f>AE11</f>
      </c>
      <c r="AF31" s="18">
        <f>AF11</f>
      </c>
      <c r="AG31" s="18">
        <f>AG11</f>
      </c>
      <c r="AH31" s="18">
        <f>AH11</f>
      </c>
      <c r="AI31" s="18">
        <f>AI11</f>
      </c>
      <c r="AJ31" s="18">
        <f>AJ11</f>
      </c>
      <c r="AK31" s="18">
        <f>AK11</f>
      </c>
      <c r="AL31" s="18">
        <f>AL11</f>
      </c>
      <c r="AM31" s="19"/>
    </row>
    <row r="32" ht="12.75" customHeight="1" spans="2:39" x14ac:dyDescent="0.25">
      <c r="B32" s="16"/>
      <c r="C32" s="17"/>
      <c r="D32" s="17" t="s">
        <v>42</v>
      </c>
      <c r="E32" s="17"/>
      <c r="F32" s="17"/>
      <c r="G32" s="18">
        <f>G18</f>
      </c>
      <c r="H32" s="18">
        <f>H18</f>
      </c>
      <c r="I32" s="18">
        <f>I18</f>
      </c>
      <c r="J32" s="18">
        <f>J18</f>
      </c>
      <c r="K32" s="18">
        <f>K18</f>
      </c>
      <c r="L32" s="18">
        <f>L18</f>
      </c>
      <c r="M32" s="18">
        <f>M18</f>
      </c>
      <c r="N32" s="18">
        <f>N18</f>
      </c>
      <c r="O32" s="18">
        <f>O18</f>
      </c>
      <c r="P32" s="18">
        <f>P18</f>
      </c>
      <c r="Q32" s="18">
        <f>Q18</f>
      </c>
      <c r="R32" s="18">
        <f>R18</f>
      </c>
      <c r="S32" s="18">
        <f>S18</f>
      </c>
      <c r="T32" s="18">
        <f>T18</f>
      </c>
      <c r="U32" s="18">
        <f>U18</f>
      </c>
      <c r="V32" s="18">
        <f>V18</f>
      </c>
      <c r="W32" s="18">
        <f>W18</f>
      </c>
      <c r="X32" s="18">
        <f>X18</f>
      </c>
      <c r="Y32" s="18">
        <f>Y18</f>
      </c>
      <c r="Z32" s="18">
        <f>Z18</f>
      </c>
      <c r="AA32" s="18">
        <f>AA18</f>
      </c>
      <c r="AB32" s="18">
        <f>AB18</f>
      </c>
      <c r="AC32" s="18">
        <f>AC18</f>
      </c>
      <c r="AD32" s="18">
        <f>AD18</f>
      </c>
      <c r="AE32" s="18">
        <f>AE18</f>
      </c>
      <c r="AF32" s="18">
        <f>AF18</f>
      </c>
      <c r="AG32" s="18">
        <f>AG18</f>
      </c>
      <c r="AH32" s="18">
        <f>AH18</f>
      </c>
      <c r="AI32" s="18">
        <f>AI18</f>
      </c>
      <c r="AJ32" s="18">
        <f>AJ18</f>
      </c>
      <c r="AK32" s="18">
        <f>AK18</f>
      </c>
      <c r="AL32" s="18">
        <f>AL18</f>
      </c>
      <c r="AM32" s="19"/>
    </row>
    <row r="33" ht="12.75" customHeight="1" spans="2:39" x14ac:dyDescent="0.25">
      <c r="B33" s="16"/>
      <c r="C33" s="17"/>
      <c r="D33" s="17" t="s">
        <v>43</v>
      </c>
      <c r="E33" s="17"/>
      <c r="F33" s="17"/>
      <c r="G33" s="18">
        <f>G23</f>
      </c>
      <c r="H33" s="18">
        <f>H23</f>
      </c>
      <c r="I33" s="18">
        <f>I23</f>
      </c>
      <c r="J33" s="18">
        <f>J23</f>
      </c>
      <c r="K33" s="18">
        <f>K23</f>
      </c>
      <c r="L33" s="18">
        <f>L23</f>
      </c>
      <c r="M33" s="18">
        <f>M23</f>
      </c>
      <c r="N33" s="18">
        <f>N23</f>
      </c>
      <c r="O33" s="18">
        <f>O23</f>
      </c>
      <c r="P33" s="18">
        <f>P23</f>
      </c>
      <c r="Q33" s="18">
        <f>Q23</f>
      </c>
      <c r="R33" s="18">
        <f>R23</f>
      </c>
      <c r="S33" s="18">
        <f>S23</f>
      </c>
      <c r="T33" s="18">
        <f>T23</f>
      </c>
      <c r="U33" s="18">
        <f>U23</f>
      </c>
      <c r="V33" s="18">
        <f>V23</f>
      </c>
      <c r="W33" s="18">
        <f>W23</f>
      </c>
      <c r="X33" s="18">
        <f>X23</f>
      </c>
      <c r="Y33" s="18">
        <f>Y23</f>
      </c>
      <c r="Z33" s="18">
        <f>Z23</f>
      </c>
      <c r="AA33" s="18">
        <f>AA23</f>
      </c>
      <c r="AB33" s="18">
        <f>AB23</f>
      </c>
      <c r="AC33" s="18">
        <f>AC23</f>
      </c>
      <c r="AD33" s="18">
        <f>AD23</f>
      </c>
      <c r="AE33" s="18">
        <f>AE23</f>
      </c>
      <c r="AF33" s="18">
        <f>AF23</f>
      </c>
      <c r="AG33" s="18">
        <f>AG23</f>
      </c>
      <c r="AH33" s="18">
        <f>AH23</f>
      </c>
      <c r="AI33" s="18">
        <f>AI23</f>
      </c>
      <c r="AJ33" s="18">
        <f>AJ23</f>
      </c>
      <c r="AK33" s="18">
        <f>AK23</f>
      </c>
      <c r="AL33" s="18">
        <f>AL23</f>
      </c>
      <c r="AM33" s="19"/>
    </row>
    <row r="34" ht="12.75" customHeight="1" spans="2:39" x14ac:dyDescent="0.25">
      <c r="B34" s="16"/>
      <c r="C34" s="17"/>
      <c r="D34" s="17" t="s">
        <v>44</v>
      </c>
      <c r="E34" s="17"/>
      <c r="F34" s="17"/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8">
        <f>AK27</f>
      </c>
      <c r="AL34" s="18">
        <f>AL27</f>
      </c>
      <c r="AM34" s="19"/>
    </row>
    <row r="35" ht="12.75" customHeight="1" spans="2:39" x14ac:dyDescent="0.25">
      <c r="B35" s="20"/>
      <c r="C35" s="21"/>
      <c r="D35" s="21" t="s">
        <v>45</v>
      </c>
      <c r="E35" s="21"/>
      <c r="F35" s="21"/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2">
        <f>AK31+AK32+AK33+AK34</f>
      </c>
      <c r="AL35" s="22">
        <f>AL31+AL32+AL33+AL34</f>
      </c>
      <c r="AM35" s="23"/>
    </row>
    <row r="37" ht="12.75" customHeight="1" spans="2:39" x14ac:dyDescent="0.25">
      <c r="B37" s="11" t="s">
        <v>46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47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24">
        <f>AK38-AK31</f>
      </c>
      <c r="AL45" s="24">
        <f>AL38-AL31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5">
        <f>AK45+AK46+AK47+AK48</f>
      </c>
      <c r="AL49" s="25">
        <f>AL45+AL46+AL47+AL48</f>
      </c>
      <c r="AM4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1071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649</v>
      </c>
      <c r="D13" s="32" t="s">
        <v>1072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>
        <v>344.89</v>
      </c>
      <c r="AB13" s="32"/>
      <c r="AC13" s="33">
        <v>4.85</v>
      </c>
      <c r="AD13" s="36">
        <f>197.73+320.65</f>
        <v>518.38</v>
      </c>
      <c r="AE13" s="33">
        <v>136.24</v>
      </c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649</v>
      </c>
      <c r="D14" s="32" t="s">
        <v>1073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v>33.91</v>
      </c>
      <c r="AB14" s="32"/>
      <c r="AC14" s="33">
        <v>80.54</v>
      </c>
      <c r="AD14" s="36">
        <f>84.81+75.81</f>
        <v>160.62</v>
      </c>
      <c r="AE14" s="33">
        <v>86.46</v>
      </c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649</v>
      </c>
      <c r="D15" s="32" t="s">
        <v>1074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154.6</v>
      </c>
      <c r="Z15" s="32"/>
      <c r="AA15" s="36">
        <f>153.90+8.16</f>
        <v>162.06</v>
      </c>
      <c r="AB15" s="32"/>
      <c r="AC15" s="33">
        <v>160.84</v>
      </c>
      <c r="AD15" s="36">
        <f>248.75+200.06</f>
        <v>448.81</v>
      </c>
      <c r="AE15" s="33">
        <v>254.45</v>
      </c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649</v>
      </c>
      <c r="D16" s="32" t="s">
        <v>1075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3">
        <v>24</v>
      </c>
      <c r="Z16" s="33">
        <v>0.69</v>
      </c>
      <c r="AA16" s="33">
        <v>25.89</v>
      </c>
      <c r="AB16" s="33">
        <v>24.06</v>
      </c>
      <c r="AC16" s="33">
        <v>24.29</v>
      </c>
      <c r="AD16" s="33">
        <v>24.52</v>
      </c>
      <c r="AE16" s="33">
        <v>33.66</v>
      </c>
      <c r="AF16" s="33">
        <v>30.75</v>
      </c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649</v>
      </c>
      <c r="D17" s="32" t="s">
        <v>1076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3">
        <v>148.27</v>
      </c>
      <c r="AD17" s="36">
        <f>35.47+76.86</f>
        <v>112.33</v>
      </c>
      <c r="AE17" s="33">
        <v>35.56</v>
      </c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649</v>
      </c>
      <c r="D18" s="32" t="s">
        <v>1077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86.6</v>
      </c>
      <c r="AC18" s="33">
        <v>35.74</v>
      </c>
      <c r="AD18" s="33">
        <v>35.61</v>
      </c>
      <c r="AE18" s="33">
        <v>42.22</v>
      </c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ht="12.75" customHeight="1" spans="2:37" x14ac:dyDescent="0.25">
      <c r="B20" s="20" t="s">
        <v>85</v>
      </c>
      <c r="C20" s="21"/>
      <c r="D20" s="21"/>
      <c r="E20" s="22">
        <f>SUM(E13:E18)</f>
      </c>
      <c r="F20" s="22">
        <f>SUM(F13:F18)</f>
      </c>
      <c r="G20" s="22">
        <f>SUM(G13:G18)</f>
      </c>
      <c r="H20" s="22">
        <f>SUM(H13:H18)</f>
      </c>
      <c r="I20" s="22">
        <f>SUM(I13:I18)</f>
      </c>
      <c r="J20" s="22">
        <f>SUM(J13:J18)</f>
      </c>
      <c r="K20" s="22">
        <f>SUM(K13:K18)</f>
      </c>
      <c r="L20" s="22">
        <f>SUM(L13:L18)</f>
      </c>
      <c r="M20" s="22">
        <f>SUM(M13:M18)</f>
      </c>
      <c r="N20" s="22">
        <f>SUM(N13:N18)</f>
      </c>
      <c r="O20" s="22">
        <f>SUM(O13:O18)</f>
      </c>
      <c r="P20" s="22">
        <f>SUM(P13:P18)</f>
      </c>
      <c r="Q20" s="22">
        <f>SUM(Q13:Q18)</f>
      </c>
      <c r="R20" s="22">
        <f>SUM(R13:R18)</f>
      </c>
      <c r="S20" s="22">
        <f>SUM(S13:S18)</f>
      </c>
      <c r="T20" s="22">
        <f>SUM(T13:T18)</f>
      </c>
      <c r="U20" s="22">
        <f>SUM(U13:U18)</f>
      </c>
      <c r="V20" s="22">
        <f>SUM(V13:V18)</f>
      </c>
      <c r="W20" s="22">
        <f>SUM(W13:W18)</f>
      </c>
      <c r="X20" s="22">
        <f>SUM(X13:X18)</f>
      </c>
      <c r="Y20" s="22">
        <f>SUM(Y13:Y18)</f>
      </c>
      <c r="Z20" s="22">
        <f>SUM(Z13:Z18)</f>
      </c>
      <c r="AA20" s="22">
        <f>SUM(AA13:AA18)</f>
      </c>
      <c r="AB20" s="22">
        <f>SUM(AB13:AB18)</f>
      </c>
      <c r="AC20" s="22">
        <f>SUM(AC13:AC18)</f>
      </c>
      <c r="AD20" s="22">
        <f>SUM(AD13:AD18)</f>
      </c>
      <c r="AE20" s="22">
        <f>SUM(AE13:AE18)</f>
      </c>
      <c r="AF20" s="22">
        <f>SUM(AF13:AF18)</f>
      </c>
      <c r="AG20" s="22">
        <f>SUM(AG13:AG18)</f>
      </c>
      <c r="AH20" s="22">
        <f>SUM(AH13:AH18)</f>
      </c>
      <c r="AI20" s="22">
        <f>SUM(AI13:AI18)</f>
      </c>
      <c r="AJ20" s="22">
        <f>SUM(AJ13:AJ18)</f>
      </c>
      <c r="AK20" s="23"/>
    </row>
    <row r="22" ht="12.75" customHeight="1" spans="2:37" x14ac:dyDescent="0.25">
      <c r="B22" s="26" t="s">
        <v>43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9"/>
    </row>
    <row r="23" ht="12.75" customHeight="1" spans="2:37" x14ac:dyDescent="0.25">
      <c r="B23" s="30" t="s">
        <v>43</v>
      </c>
      <c r="C23" s="31" t="s">
        <v>1078</v>
      </c>
      <c r="D23" s="32" t="s">
        <v>1079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6">
        <f>7057.55+10386.66+3575.12</f>
        <v>21019.329999999998</v>
      </c>
      <c r="AA23" s="32"/>
      <c r="AB23" s="36">
        <f>7993.75+10869.66+3575.12</f>
        <v>22438.53</v>
      </c>
      <c r="AC23" s="32"/>
      <c r="AD23" s="36">
        <f>-17752.48+10147.56+4444.64+6098.16+10147.56+3926.24</f>
        <v>17011.68</v>
      </c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7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40"/>
    </row>
    <row r="25" ht="12.75" customHeight="1" spans="2:37" x14ac:dyDescent="0.25">
      <c r="B25" s="20" t="s">
        <v>89</v>
      </c>
      <c r="C25" s="21"/>
      <c r="D25" s="21"/>
      <c r="E25" s="22">
        <f>SUM(E23:E23)</f>
      </c>
      <c r="F25" s="22">
        <f>SUM(F23:F23)</f>
      </c>
      <c r="G25" s="22">
        <f>SUM(G23:G23)</f>
      </c>
      <c r="H25" s="22">
        <f>SUM(H23:H23)</f>
      </c>
      <c r="I25" s="22">
        <f>SUM(I23:I23)</f>
      </c>
      <c r="J25" s="22">
        <f>SUM(J23:J23)</f>
      </c>
      <c r="K25" s="22">
        <f>SUM(K23:K23)</f>
      </c>
      <c r="L25" s="22">
        <f>SUM(L23:L23)</f>
      </c>
      <c r="M25" s="22">
        <f>SUM(M23:M23)</f>
      </c>
      <c r="N25" s="22">
        <f>SUM(N23:N23)</f>
      </c>
      <c r="O25" s="22">
        <f>SUM(O23:O23)</f>
      </c>
      <c r="P25" s="22">
        <f>SUM(P23:P23)</f>
      </c>
      <c r="Q25" s="22">
        <f>SUM(Q23:Q23)</f>
      </c>
      <c r="R25" s="22">
        <f>SUM(R23:R23)</f>
      </c>
      <c r="S25" s="22">
        <f>SUM(S23:S23)</f>
      </c>
      <c r="T25" s="22">
        <f>SUM(T23:T23)</f>
      </c>
      <c r="U25" s="22">
        <f>SUM(U23:U23)</f>
      </c>
      <c r="V25" s="22">
        <f>SUM(V23:V23)</f>
      </c>
      <c r="W25" s="22">
        <f>SUM(W23:W23)</f>
      </c>
      <c r="X25" s="22">
        <f>SUM(X23:X23)</f>
      </c>
      <c r="Y25" s="22">
        <f>SUM(Y23:Y23)</f>
      </c>
      <c r="Z25" s="22">
        <f>SUM(Z23:Z23)</f>
      </c>
      <c r="AA25" s="22">
        <f>SUM(AA23:AA23)</f>
      </c>
      <c r="AB25" s="22">
        <f>SUM(AB23:AB23)</f>
      </c>
      <c r="AC25" s="22">
        <f>SUM(AC23:AC23)</f>
      </c>
      <c r="AD25" s="22">
        <f>SUM(AD23:AD23)</f>
      </c>
      <c r="AE25" s="22">
        <f>SUM(AE23:AE23)</f>
      </c>
      <c r="AF25" s="22">
        <f>SUM(AF23:AF23)</f>
      </c>
      <c r="AG25" s="22">
        <f>SUM(AG23:AG23)</f>
      </c>
      <c r="AH25" s="22">
        <f>SUM(AH23:AH23)</f>
      </c>
      <c r="AI25" s="22">
        <f>SUM(AI23:AI23)</f>
      </c>
      <c r="AJ25" s="22">
        <f>SUM(AJ23:AJ23)</f>
      </c>
      <c r="AK25" s="23"/>
    </row>
    <row r="27" ht="12.75" customHeight="1" spans="2:37" x14ac:dyDescent="0.25">
      <c r="B27" s="26" t="s">
        <v>44</v>
      </c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9"/>
    </row>
    <row r="28" ht="12.75" customHeight="1" spans="2:37" x14ac:dyDescent="0.25">
      <c r="B28" s="30" t="s">
        <v>44</v>
      </c>
      <c r="C28" s="31" t="s">
        <v>1078</v>
      </c>
      <c r="D28" s="32" t="s">
        <v>1079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2472</v>
      </c>
      <c r="AA28" s="32"/>
      <c r="AB28" s="33">
        <v>2472</v>
      </c>
      <c r="AC28" s="32"/>
      <c r="AD28" s="36">
        <f>2634.48+2634.48</f>
        <v>5268.96</v>
      </c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7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</row>
    <row r="30" ht="12.75" customHeight="1" spans="2:37" x14ac:dyDescent="0.25">
      <c r="B30" s="20" t="s">
        <v>90</v>
      </c>
      <c r="C30" s="21"/>
      <c r="D30" s="21"/>
      <c r="E30" s="22">
        <f>SUM(E28:E28)</f>
      </c>
      <c r="F30" s="22">
        <f>SUM(F28:F28)</f>
      </c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3"/>
    </row>
    <row r="33" ht="12.75" customHeight="1" spans="2:37" x14ac:dyDescent="0.25">
      <c r="B33" s="11" t="s">
        <v>40</v>
      </c>
      <c r="C33" s="12"/>
      <c r="D33" s="13"/>
      <c r="E33" s="14" t="s">
        <v>7</v>
      </c>
      <c r="F33" s="14" t="s">
        <v>8</v>
      </c>
      <c r="G33" s="14" t="s">
        <v>9</v>
      </c>
      <c r="H33" s="14" t="s">
        <v>10</v>
      </c>
      <c r="I33" s="14" t="s">
        <v>11</v>
      </c>
      <c r="J33" s="14" t="s">
        <v>12</v>
      </c>
      <c r="K33" s="14" t="s">
        <v>13</v>
      </c>
      <c r="L33" s="14" t="s">
        <v>14</v>
      </c>
      <c r="M33" s="14" t="s">
        <v>15</v>
      </c>
      <c r="N33" s="14" t="s">
        <v>16</v>
      </c>
      <c r="O33" s="14" t="s">
        <v>17</v>
      </c>
      <c r="P33" s="14" t="s">
        <v>18</v>
      </c>
      <c r="Q33" s="14" t="s">
        <v>19</v>
      </c>
      <c r="R33" s="14" t="s">
        <v>20</v>
      </c>
      <c r="S33" s="14" t="s">
        <v>21</v>
      </c>
      <c r="T33" s="14" t="s">
        <v>22</v>
      </c>
      <c r="U33" s="14" t="s">
        <v>23</v>
      </c>
      <c r="V33" s="14" t="s">
        <v>24</v>
      </c>
      <c r="W33" s="14" t="s">
        <v>25</v>
      </c>
      <c r="X33" s="14" t="s">
        <v>26</v>
      </c>
      <c r="Y33" s="14" t="s">
        <v>27</v>
      </c>
      <c r="Z33" s="14" t="s">
        <v>28</v>
      </c>
      <c r="AA33" s="14" t="s">
        <v>29</v>
      </c>
      <c r="AB33" s="14" t="s">
        <v>30</v>
      </c>
      <c r="AC33" s="14" t="s">
        <v>31</v>
      </c>
      <c r="AD33" s="14" t="s">
        <v>32</v>
      </c>
      <c r="AE33" s="14" t="s">
        <v>33</v>
      </c>
      <c r="AF33" s="14" t="s">
        <v>34</v>
      </c>
      <c r="AG33" s="14" t="s">
        <v>35</v>
      </c>
      <c r="AH33" s="14" t="s">
        <v>36</v>
      </c>
      <c r="AI33" s="14" t="s">
        <v>37</v>
      </c>
      <c r="AJ33" s="14" t="s">
        <v>38</v>
      </c>
      <c r="AK33" s="15"/>
    </row>
    <row r="34" ht="12.75" customHeight="1" spans="2:37" x14ac:dyDescent="0.25">
      <c r="B34" s="16" t="s">
        <v>41</v>
      </c>
      <c r="C34" s="17"/>
      <c r="D34" s="17"/>
      <c r="E34" s="18">
        <f>E10</f>
      </c>
      <c r="F34" s="18">
        <f>F10</f>
      </c>
      <c r="G34" s="18">
        <f>G10</f>
      </c>
      <c r="H34" s="18">
        <f>H10</f>
      </c>
      <c r="I34" s="18">
        <f>I10</f>
      </c>
      <c r="J34" s="18">
        <f>J10</f>
      </c>
      <c r="K34" s="18">
        <f>K10</f>
      </c>
      <c r="L34" s="18">
        <f>L10</f>
      </c>
      <c r="M34" s="18">
        <f>M10</f>
      </c>
      <c r="N34" s="18">
        <f>N10</f>
      </c>
      <c r="O34" s="18">
        <f>O10</f>
      </c>
      <c r="P34" s="18">
        <f>P10</f>
      </c>
      <c r="Q34" s="18">
        <f>Q10</f>
      </c>
      <c r="R34" s="18">
        <f>R10</f>
      </c>
      <c r="S34" s="18">
        <f>S10</f>
      </c>
      <c r="T34" s="18">
        <f>T10</f>
      </c>
      <c r="U34" s="18">
        <f>U10</f>
      </c>
      <c r="V34" s="18">
        <f>V10</f>
      </c>
      <c r="W34" s="18">
        <f>W10</f>
      </c>
      <c r="X34" s="18">
        <f>X10</f>
      </c>
      <c r="Y34" s="18">
        <f>Y10</f>
      </c>
      <c r="Z34" s="18">
        <f>Z10</f>
      </c>
      <c r="AA34" s="18">
        <f>AA10</f>
      </c>
      <c r="AB34" s="18">
        <f>AB10</f>
      </c>
      <c r="AC34" s="18">
        <f>AC10</f>
      </c>
      <c r="AD34" s="18">
        <f>AD10</f>
      </c>
      <c r="AE34" s="18">
        <f>AE10</f>
      </c>
      <c r="AF34" s="18">
        <f>AF10</f>
      </c>
      <c r="AG34" s="18">
        <f>AG10</f>
      </c>
      <c r="AH34" s="18">
        <f>AH10</f>
      </c>
      <c r="AI34" s="18">
        <f>AI10</f>
      </c>
      <c r="AJ34" s="18">
        <f>AJ10</f>
      </c>
      <c r="AK34" s="19"/>
    </row>
    <row r="35" ht="12.75" customHeight="1" spans="2:37" x14ac:dyDescent="0.25">
      <c r="B35" s="16" t="s">
        <v>42</v>
      </c>
      <c r="C35" s="17"/>
      <c r="D35" s="17"/>
      <c r="E35" s="18">
        <f>E20</f>
      </c>
      <c r="F35" s="18">
        <f>F20</f>
      </c>
      <c r="G35" s="18">
        <f>G20</f>
      </c>
      <c r="H35" s="18">
        <f>H20</f>
      </c>
      <c r="I35" s="18">
        <f>I20</f>
      </c>
      <c r="J35" s="18">
        <f>J20</f>
      </c>
      <c r="K35" s="18">
        <f>K20</f>
      </c>
      <c r="L35" s="18">
        <f>L20</f>
      </c>
      <c r="M35" s="18">
        <f>M20</f>
      </c>
      <c r="N35" s="18">
        <f>N20</f>
      </c>
      <c r="O35" s="18">
        <f>O20</f>
      </c>
      <c r="P35" s="18">
        <f>P20</f>
      </c>
      <c r="Q35" s="18">
        <f>Q20</f>
      </c>
      <c r="R35" s="18">
        <f>R20</f>
      </c>
      <c r="S35" s="18">
        <f>S20</f>
      </c>
      <c r="T35" s="18">
        <f>T20</f>
      </c>
      <c r="U35" s="18">
        <f>U20</f>
      </c>
      <c r="V35" s="18">
        <f>V20</f>
      </c>
      <c r="W35" s="18">
        <f>W20</f>
      </c>
      <c r="X35" s="18">
        <f>X20</f>
      </c>
      <c r="Y35" s="18">
        <f>Y20</f>
      </c>
      <c r="Z35" s="18">
        <f>Z20</f>
      </c>
      <c r="AA35" s="18">
        <f>AA20</f>
      </c>
      <c r="AB35" s="18">
        <f>AB20</f>
      </c>
      <c r="AC35" s="18">
        <f>AC20</f>
      </c>
      <c r="AD35" s="18">
        <f>AD20</f>
      </c>
      <c r="AE35" s="18">
        <f>AE20</f>
      </c>
      <c r="AF35" s="18">
        <f>AF20</f>
      </c>
      <c r="AG35" s="18">
        <f>AG20</f>
      </c>
      <c r="AH35" s="18">
        <f>AH20</f>
      </c>
      <c r="AI35" s="18">
        <f>AI20</f>
      </c>
      <c r="AJ35" s="18">
        <f>AJ20</f>
      </c>
      <c r="AK35" s="19"/>
    </row>
    <row r="36" ht="12.75" customHeight="1" spans="2:37" x14ac:dyDescent="0.25">
      <c r="B36" s="16" t="s">
        <v>43</v>
      </c>
      <c r="C36" s="17"/>
      <c r="D36" s="17"/>
      <c r="E36" s="18">
        <f>E25</f>
      </c>
      <c r="F36" s="18">
        <f>F25</f>
      </c>
      <c r="G36" s="18">
        <f>G25</f>
      </c>
      <c r="H36" s="18">
        <f>H25</f>
      </c>
      <c r="I36" s="18">
        <f>I25</f>
      </c>
      <c r="J36" s="18">
        <f>J25</f>
      </c>
      <c r="K36" s="18">
        <f>K25</f>
      </c>
      <c r="L36" s="18">
        <f>L25</f>
      </c>
      <c r="M36" s="18">
        <f>M25</f>
      </c>
      <c r="N36" s="18">
        <f>N25</f>
      </c>
      <c r="O36" s="18">
        <f>O25</f>
      </c>
      <c r="P36" s="18">
        <f>P25</f>
      </c>
      <c r="Q36" s="18">
        <f>Q25</f>
      </c>
      <c r="R36" s="18">
        <f>R25</f>
      </c>
      <c r="S36" s="18">
        <f>S25</f>
      </c>
      <c r="T36" s="18">
        <f>T25</f>
      </c>
      <c r="U36" s="18">
        <f>U25</f>
      </c>
      <c r="V36" s="18">
        <f>V25</f>
      </c>
      <c r="W36" s="18">
        <f>W25</f>
      </c>
      <c r="X36" s="18">
        <f>X25</f>
      </c>
      <c r="Y36" s="18">
        <f>Y25</f>
      </c>
      <c r="Z36" s="18">
        <f>Z25</f>
      </c>
      <c r="AA36" s="18">
        <f>AA25</f>
      </c>
      <c r="AB36" s="18">
        <f>AB25</f>
      </c>
      <c r="AC36" s="18">
        <f>AC25</f>
      </c>
      <c r="AD36" s="18">
        <f>AD25</f>
      </c>
      <c r="AE36" s="18">
        <f>AE25</f>
      </c>
      <c r="AF36" s="18">
        <f>AF25</f>
      </c>
      <c r="AG36" s="18">
        <f>AG25</f>
      </c>
      <c r="AH36" s="18">
        <f>AH25</f>
      </c>
      <c r="AI36" s="18">
        <f>AI25</f>
      </c>
      <c r="AJ36" s="18">
        <f>AJ25</f>
      </c>
      <c r="AK36" s="19"/>
    </row>
    <row r="37" ht="12.75" customHeight="1" spans="2:37" x14ac:dyDescent="0.25">
      <c r="B37" s="16" t="s">
        <v>44</v>
      </c>
      <c r="C37" s="17"/>
      <c r="D37" s="17"/>
      <c r="E37" s="18">
        <f>E30</f>
      </c>
      <c r="F37" s="18">
        <f>F30</f>
      </c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9"/>
    </row>
    <row r="38" ht="12.75" customHeight="1" spans="2:37" x14ac:dyDescent="0.25">
      <c r="B38" s="20" t="s">
        <v>45</v>
      </c>
      <c r="C38" s="21"/>
      <c r="D38" s="21"/>
      <c r="E38" s="22">
        <f>E34+E35+E36+E37</f>
      </c>
      <c r="F38" s="22">
        <f>F34+F35+F36+F37</f>
      </c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3"/>
    </row>
    <row r="40" ht="12.75" customHeight="1" spans="2:37" x14ac:dyDescent="0.25">
      <c r="B40" s="11" t="s">
        <v>46</v>
      </c>
      <c r="C40" s="12"/>
      <c r="D40" s="13"/>
      <c r="E40" s="14" t="s">
        <v>7</v>
      </c>
      <c r="F40" s="14" t="s">
        <v>8</v>
      </c>
      <c r="G40" s="14" t="s">
        <v>9</v>
      </c>
      <c r="H40" s="14" t="s">
        <v>10</v>
      </c>
      <c r="I40" s="14" t="s">
        <v>11</v>
      </c>
      <c r="J40" s="14" t="s">
        <v>12</v>
      </c>
      <c r="K40" s="14" t="s">
        <v>13</v>
      </c>
      <c r="L40" s="14" t="s">
        <v>14</v>
      </c>
      <c r="M40" s="14" t="s">
        <v>15</v>
      </c>
      <c r="N40" s="14" t="s">
        <v>16</v>
      </c>
      <c r="O40" s="14" t="s">
        <v>17</v>
      </c>
      <c r="P40" s="14" t="s">
        <v>18</v>
      </c>
      <c r="Q40" s="14" t="s">
        <v>19</v>
      </c>
      <c r="R40" s="14" t="s">
        <v>20</v>
      </c>
      <c r="S40" s="14" t="s">
        <v>21</v>
      </c>
      <c r="T40" s="14" t="s">
        <v>22</v>
      </c>
      <c r="U40" s="14" t="s">
        <v>23</v>
      </c>
      <c r="V40" s="14" t="s">
        <v>24</v>
      </c>
      <c r="W40" s="14" t="s">
        <v>25</v>
      </c>
      <c r="X40" s="14" t="s">
        <v>26</v>
      </c>
      <c r="Y40" s="14" t="s">
        <v>27</v>
      </c>
      <c r="Z40" s="14" t="s">
        <v>28</v>
      </c>
      <c r="AA40" s="14" t="s">
        <v>29</v>
      </c>
      <c r="AB40" s="14" t="s">
        <v>30</v>
      </c>
      <c r="AC40" s="14" t="s">
        <v>31</v>
      </c>
      <c r="AD40" s="14" t="s">
        <v>32</v>
      </c>
      <c r="AE40" s="14" t="s">
        <v>33</v>
      </c>
      <c r="AF40" s="14" t="s">
        <v>34</v>
      </c>
      <c r="AG40" s="14" t="s">
        <v>35</v>
      </c>
      <c r="AH40" s="14" t="s">
        <v>36</v>
      </c>
      <c r="AI40" s="14" t="s">
        <v>37</v>
      </c>
      <c r="AJ40" s="14" t="s">
        <v>38</v>
      </c>
      <c r="AK40" s="15"/>
    </row>
    <row r="41" ht="12.75" customHeight="1" spans="2:37" x14ac:dyDescent="0.25">
      <c r="B41" s="16" t="s">
        <v>41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42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43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44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20" t="s">
        <v>45</v>
      </c>
      <c r="C45" s="21"/>
      <c r="D45" s="21"/>
      <c r="E45" s="22">
        <f>E41+E42+E43+E44</f>
      </c>
      <c r="F45" s="22">
        <f>F41+F42+F43+F44</f>
      </c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3"/>
    </row>
    <row r="47" ht="12.75" customHeight="1" spans="2:37" x14ac:dyDescent="0.25">
      <c r="B47" s="11" t="s">
        <v>47</v>
      </c>
      <c r="C47" s="12"/>
      <c r="D47" s="13"/>
      <c r="E47" s="14" t="s">
        <v>7</v>
      </c>
      <c r="F47" s="14" t="s">
        <v>8</v>
      </c>
      <c r="G47" s="14" t="s">
        <v>9</v>
      </c>
      <c r="H47" s="14" t="s">
        <v>10</v>
      </c>
      <c r="I47" s="14" t="s">
        <v>11</v>
      </c>
      <c r="J47" s="14" t="s">
        <v>12</v>
      </c>
      <c r="K47" s="14" t="s">
        <v>13</v>
      </c>
      <c r="L47" s="14" t="s">
        <v>14</v>
      </c>
      <c r="M47" s="14" t="s">
        <v>15</v>
      </c>
      <c r="N47" s="14" t="s">
        <v>16</v>
      </c>
      <c r="O47" s="14" t="s">
        <v>17</v>
      </c>
      <c r="P47" s="14" t="s">
        <v>18</v>
      </c>
      <c r="Q47" s="14" t="s">
        <v>19</v>
      </c>
      <c r="R47" s="14" t="s">
        <v>20</v>
      </c>
      <c r="S47" s="14" t="s">
        <v>21</v>
      </c>
      <c r="T47" s="14" t="s">
        <v>22</v>
      </c>
      <c r="U47" s="14" t="s">
        <v>23</v>
      </c>
      <c r="V47" s="14" t="s">
        <v>24</v>
      </c>
      <c r="W47" s="14" t="s">
        <v>25</v>
      </c>
      <c r="X47" s="14" t="s">
        <v>26</v>
      </c>
      <c r="Y47" s="14" t="s">
        <v>27</v>
      </c>
      <c r="Z47" s="14" t="s">
        <v>28</v>
      </c>
      <c r="AA47" s="14" t="s">
        <v>29</v>
      </c>
      <c r="AB47" s="14" t="s">
        <v>30</v>
      </c>
      <c r="AC47" s="14" t="s">
        <v>31</v>
      </c>
      <c r="AD47" s="14" t="s">
        <v>32</v>
      </c>
      <c r="AE47" s="14" t="s">
        <v>33</v>
      </c>
      <c r="AF47" s="14" t="s">
        <v>34</v>
      </c>
      <c r="AG47" s="14" t="s">
        <v>35</v>
      </c>
      <c r="AH47" s="14" t="s">
        <v>36</v>
      </c>
      <c r="AI47" s="14" t="s">
        <v>37</v>
      </c>
      <c r="AJ47" s="14" t="s">
        <v>38</v>
      </c>
      <c r="AK47" s="15"/>
    </row>
    <row r="48" ht="12.75" customHeight="1" spans="2:37" x14ac:dyDescent="0.25">
      <c r="B48" s="16" t="s">
        <v>41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42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43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44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20" t="s">
        <v>45</v>
      </c>
      <c r="C52" s="21"/>
      <c r="D52" s="21"/>
      <c r="E52" s="25">
        <f>E48+E49+E50+E51</f>
      </c>
      <c r="F52" s="25">
        <f>F48+F49+F50+F51</f>
      </c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1071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1080</v>
      </c>
      <c r="AB8" s="44" t="s">
        <v>1081</v>
      </c>
      <c r="AC8" s="44" t="s">
        <v>1082</v>
      </c>
      <c r="AD8" s="44" t="s">
        <v>1083</v>
      </c>
      <c r="AE8" s="44" t="s">
        <v>1084</v>
      </c>
      <c r="AF8" s="44" t="s">
        <v>1085</v>
      </c>
      <c r="AG8" s="44" t="s">
        <v>1086</v>
      </c>
      <c r="AH8" s="44" t="s">
        <v>1087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1071</v>
      </c>
      <c r="D14" s="50" t="s">
        <v>42</v>
      </c>
      <c r="E14" s="32" t="s">
        <v>649</v>
      </c>
      <c r="F14" s="32" t="s">
        <v>1072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3">
        <v>344.89</v>
      </c>
      <c r="AD14" s="32"/>
      <c r="AE14" s="33">
        <v>4.85</v>
      </c>
      <c r="AF14" s="33">
        <f>197.73+320.65</f>
        <v>518.38</v>
      </c>
      <c r="AG14" s="33">
        <v>136.24</v>
      </c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1071</v>
      </c>
      <c r="D15" s="50" t="s">
        <v>42</v>
      </c>
      <c r="E15" s="32" t="s">
        <v>649</v>
      </c>
      <c r="F15" s="32" t="s">
        <v>1073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3">
        <v>33.91</v>
      </c>
      <c r="AD15" s="32"/>
      <c r="AE15" s="33">
        <v>80.54</v>
      </c>
      <c r="AF15" s="33">
        <f>84.81+75.81</f>
        <v>160.62</v>
      </c>
      <c r="AG15" s="33">
        <v>86.46</v>
      </c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1071</v>
      </c>
      <c r="D16" s="50" t="s">
        <v>42</v>
      </c>
      <c r="E16" s="32" t="s">
        <v>649</v>
      </c>
      <c r="F16" s="32" t="s">
        <v>1074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154.6</v>
      </c>
      <c r="AB16" s="32"/>
      <c r="AC16" s="33">
        <f>153.90+8.16</f>
        <v>162.06</v>
      </c>
      <c r="AD16" s="32"/>
      <c r="AE16" s="33">
        <v>160.84</v>
      </c>
      <c r="AF16" s="33">
        <f>248.75+200.06</f>
        <v>448.81</v>
      </c>
      <c r="AG16" s="33">
        <v>254.45</v>
      </c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1071</v>
      </c>
      <c r="D17" s="50" t="s">
        <v>42</v>
      </c>
      <c r="E17" s="32" t="s">
        <v>649</v>
      </c>
      <c r="F17" s="32" t="s">
        <v>1075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24</v>
      </c>
      <c r="AB17" s="33">
        <v>0.69</v>
      </c>
      <c r="AC17" s="33">
        <v>25.89</v>
      </c>
      <c r="AD17" s="33">
        <v>24.06</v>
      </c>
      <c r="AE17" s="33">
        <v>24.29</v>
      </c>
      <c r="AF17" s="33">
        <v>24.52</v>
      </c>
      <c r="AG17" s="33">
        <v>33.66</v>
      </c>
      <c r="AH17" s="33">
        <v>30.75</v>
      </c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1071</v>
      </c>
      <c r="D18" s="50" t="s">
        <v>42</v>
      </c>
      <c r="E18" s="32" t="s">
        <v>649</v>
      </c>
      <c r="F18" s="32" t="s">
        <v>1076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3">
        <v>148.27</v>
      </c>
      <c r="AF18" s="33">
        <f>35.47+76.86</f>
        <v>112.33</v>
      </c>
      <c r="AG18" s="33">
        <v>35.56</v>
      </c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1071</v>
      </c>
      <c r="D19" s="50" t="s">
        <v>42</v>
      </c>
      <c r="E19" s="32" t="s">
        <v>649</v>
      </c>
      <c r="F19" s="32" t="s">
        <v>1077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>
        <v>86.6</v>
      </c>
      <c r="AE19" s="33">
        <v>35.74</v>
      </c>
      <c r="AF19" s="33">
        <v>35.61</v>
      </c>
      <c r="AG19" s="33">
        <v>42.22</v>
      </c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51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0"/>
    </row>
    <row r="21" ht="13.5" customHeight="1" spans="2:39" x14ac:dyDescent="0.25">
      <c r="B21" s="20"/>
      <c r="C21" s="21"/>
      <c r="D21" s="21" t="s">
        <v>85</v>
      </c>
      <c r="E21" s="21"/>
      <c r="F21" s="21"/>
      <c r="G21" s="22">
        <f>SUM(G14:G19)</f>
      </c>
      <c r="H21" s="22">
        <f>SUM(H14:H19)</f>
      </c>
      <c r="I21" s="22">
        <f>SUM(I14:I19)</f>
      </c>
      <c r="J21" s="22">
        <f>SUM(J14:J19)</f>
      </c>
      <c r="K21" s="22">
        <f>SUM(K14:K19)</f>
      </c>
      <c r="L21" s="22">
        <f>SUM(L14:L19)</f>
      </c>
      <c r="M21" s="22">
        <f>SUM(M14:M19)</f>
      </c>
      <c r="N21" s="22">
        <f>SUM(N14:N19)</f>
      </c>
      <c r="O21" s="22">
        <f>SUM(O14:O19)</f>
      </c>
      <c r="P21" s="22">
        <f>SUM(P14:P19)</f>
      </c>
      <c r="Q21" s="22">
        <f>SUM(Q14:Q19)</f>
      </c>
      <c r="R21" s="22">
        <f>SUM(R14:R19)</f>
      </c>
      <c r="S21" s="22">
        <f>SUM(S14:S19)</f>
      </c>
      <c r="T21" s="22">
        <f>SUM(T14:T19)</f>
      </c>
      <c r="U21" s="22">
        <f>SUM(U14:U19)</f>
      </c>
      <c r="V21" s="22">
        <f>SUM(V14:V19)</f>
      </c>
      <c r="W21" s="22">
        <f>SUM(W14:W19)</f>
      </c>
      <c r="X21" s="22">
        <f>SUM(X14:X19)</f>
      </c>
      <c r="Y21" s="22">
        <f>SUM(Y14:Y19)</f>
      </c>
      <c r="Z21" s="22">
        <f>SUM(Z14:Z19)</f>
      </c>
      <c r="AA21" s="22">
        <f>SUM(AA14:AA19)</f>
      </c>
      <c r="AB21" s="22">
        <f>SUM(AB14:AB19)</f>
      </c>
      <c r="AC21" s="22">
        <f>SUM(AC14:AC19)</f>
      </c>
      <c r="AD21" s="22">
        <f>SUM(AD14:AD19)</f>
      </c>
      <c r="AE21" s="22">
        <f>SUM(AE14:AE19)</f>
      </c>
      <c r="AF21" s="22">
        <f>SUM(AF14:AF19)</f>
      </c>
      <c r="AG21" s="22">
        <f>SUM(AG14:AG19)</f>
      </c>
      <c r="AH21" s="22">
        <f>SUM(AH14:AH19)</f>
      </c>
      <c r="AI21" s="22">
        <f>SUM(AI14:AI19)</f>
      </c>
      <c r="AJ21" s="22">
        <f>SUM(AJ14:AJ19)</f>
      </c>
      <c r="AK21" s="22">
        <f>SUM(AK14:AK19)</f>
      </c>
      <c r="AL21" s="22">
        <f>SUM(AL14:AL19)</f>
      </c>
      <c r="AM21" s="23"/>
    </row>
    <row r="23" ht="13.5" customHeight="1" spans="2:39" x14ac:dyDescent="0.25">
      <c r="B23" s="46"/>
      <c r="C23" s="28"/>
      <c r="D23" s="47" t="s">
        <v>43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/>
    </row>
    <row r="24" ht="13.5" customHeight="1" spans="2:39" x14ac:dyDescent="0.25">
      <c r="B24" s="48" t="s">
        <v>3</v>
      </c>
      <c r="C24" s="49" t="s">
        <v>1071</v>
      </c>
      <c r="D24" s="50" t="s">
        <v>43</v>
      </c>
      <c r="E24" s="32" t="s">
        <v>1078</v>
      </c>
      <c r="F24" s="32" t="s">
        <v>1079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f>7057.55+10386.66+3575.12</f>
        <v>21019.329999999998</v>
      </c>
      <c r="AC24" s="32"/>
      <c r="AD24" s="33">
        <f>7993.75+10869.66+3575.12</f>
        <v>22438.53</v>
      </c>
      <c r="AE24" s="32"/>
      <c r="AF24" s="33">
        <f>-17752.48+10147.56+4444.64+6098.16+10147.56+3926.24</f>
        <v>17011.68</v>
      </c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51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40"/>
    </row>
    <row r="26" ht="13.5" customHeight="1" spans="2:39" x14ac:dyDescent="0.25">
      <c r="B26" s="20"/>
      <c r="C26" s="21"/>
      <c r="D26" s="21" t="s">
        <v>89</v>
      </c>
      <c r="E26" s="21"/>
      <c r="F26" s="21"/>
      <c r="G26" s="22">
        <f>SUM(G24:G24)</f>
      </c>
      <c r="H26" s="22">
        <f>SUM(H24:H24)</f>
      </c>
      <c r="I26" s="22">
        <f>SUM(I24:I24)</f>
      </c>
      <c r="J26" s="22">
        <f>SUM(J24:J24)</f>
      </c>
      <c r="K26" s="22">
        <f>SUM(K24:K24)</f>
      </c>
      <c r="L26" s="22">
        <f>SUM(L24:L24)</f>
      </c>
      <c r="M26" s="22">
        <f>SUM(M24:M24)</f>
      </c>
      <c r="N26" s="22">
        <f>SUM(N24:N24)</f>
      </c>
      <c r="O26" s="22">
        <f>SUM(O24:O24)</f>
      </c>
      <c r="P26" s="22">
        <f>SUM(P24:P24)</f>
      </c>
      <c r="Q26" s="22">
        <f>SUM(Q24:Q24)</f>
      </c>
      <c r="R26" s="22">
        <f>SUM(R24:R24)</f>
      </c>
      <c r="S26" s="22">
        <f>SUM(S24:S24)</f>
      </c>
      <c r="T26" s="22">
        <f>SUM(T24:T24)</f>
      </c>
      <c r="U26" s="22">
        <f>SUM(U24:U24)</f>
      </c>
      <c r="V26" s="22">
        <f>SUM(V24:V24)</f>
      </c>
      <c r="W26" s="22">
        <f>SUM(W24:W24)</f>
      </c>
      <c r="X26" s="22">
        <f>SUM(X24:X24)</f>
      </c>
      <c r="Y26" s="22">
        <f>SUM(Y24:Y24)</f>
      </c>
      <c r="Z26" s="22">
        <f>SUM(Z24:Z24)</f>
      </c>
      <c r="AA26" s="22">
        <f>SUM(AA24:AA24)</f>
      </c>
      <c r="AB26" s="22">
        <f>SUM(AB24:AB24)</f>
      </c>
      <c r="AC26" s="22">
        <f>SUM(AC24:AC24)</f>
      </c>
      <c r="AD26" s="22">
        <f>SUM(AD24:AD24)</f>
      </c>
      <c r="AE26" s="22">
        <f>SUM(AE24:AE24)</f>
      </c>
      <c r="AF26" s="22">
        <f>SUM(AF24:AF24)</f>
      </c>
      <c r="AG26" s="22">
        <f>SUM(AG24:AG24)</f>
      </c>
      <c r="AH26" s="22">
        <f>SUM(AH24:AH24)</f>
      </c>
      <c r="AI26" s="22">
        <f>SUM(AI24:AI24)</f>
      </c>
      <c r="AJ26" s="22">
        <f>SUM(AJ24:AJ24)</f>
      </c>
      <c r="AK26" s="22">
        <f>SUM(AK24:AK24)</f>
      </c>
      <c r="AL26" s="22">
        <f>SUM(AL24:AL24)</f>
      </c>
      <c r="AM26" s="23"/>
    </row>
    <row r="28" ht="13.5" customHeight="1" spans="2:39" x14ac:dyDescent="0.25">
      <c r="B28" s="46"/>
      <c r="C28" s="28"/>
      <c r="D28" s="47" t="s">
        <v>44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9"/>
    </row>
    <row r="29" ht="13.5" customHeight="1" spans="2:39" x14ac:dyDescent="0.25">
      <c r="B29" s="48" t="s">
        <v>3</v>
      </c>
      <c r="C29" s="49" t="s">
        <v>1071</v>
      </c>
      <c r="D29" s="50" t="s">
        <v>44</v>
      </c>
      <c r="E29" s="32" t="s">
        <v>1078</v>
      </c>
      <c r="F29" s="32" t="s">
        <v>1079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2472</v>
      </c>
      <c r="AC29" s="32"/>
      <c r="AD29" s="33">
        <v>2472</v>
      </c>
      <c r="AE29" s="32"/>
      <c r="AF29" s="33">
        <f>2634.48+2634.48</f>
        <v>5268.96</v>
      </c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51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40"/>
    </row>
    <row r="31" ht="13.5" customHeight="1" spans="2:39" x14ac:dyDescent="0.25">
      <c r="B31" s="20"/>
      <c r="C31" s="21"/>
      <c r="D31" s="21" t="s">
        <v>90</v>
      </c>
      <c r="E31" s="21"/>
      <c r="F31" s="21"/>
      <c r="G31" s="22">
        <f>SUM(G29:G29)</f>
      </c>
      <c r="H31" s="22">
        <f>SUM(H29:H29)</f>
      </c>
      <c r="I31" s="22">
        <f>SUM(I29:I29)</f>
      </c>
      <c r="J31" s="22">
        <f>SUM(J29:J29)</f>
      </c>
      <c r="K31" s="22">
        <f>SUM(K29:K29)</f>
      </c>
      <c r="L31" s="22">
        <f>SUM(L29:L29)</f>
      </c>
      <c r="M31" s="22">
        <f>SUM(M29:M29)</f>
      </c>
      <c r="N31" s="22">
        <f>SUM(N29:N29)</f>
      </c>
      <c r="O31" s="22">
        <f>SUM(O29:O29)</f>
      </c>
      <c r="P31" s="22">
        <f>SUM(P29:P29)</f>
      </c>
      <c r="Q31" s="22">
        <f>SUM(Q29:Q29)</f>
      </c>
      <c r="R31" s="22">
        <f>SUM(R29:R29)</f>
      </c>
      <c r="S31" s="22">
        <f>SUM(S29:S29)</f>
      </c>
      <c r="T31" s="22">
        <f>SUM(T29:T29)</f>
      </c>
      <c r="U31" s="22">
        <f>SUM(U29:U29)</f>
      </c>
      <c r="V31" s="22">
        <f>SUM(V29:V29)</f>
      </c>
      <c r="W31" s="22">
        <f>SUM(W29:W29)</f>
      </c>
      <c r="X31" s="22">
        <f>SUM(X29:X29)</f>
      </c>
      <c r="Y31" s="22">
        <f>SUM(Y29:Y29)</f>
      </c>
      <c r="Z31" s="22">
        <f>SUM(Z29:Z29)</f>
      </c>
      <c r="AA31" s="22">
        <f>SUM(AA29:AA29)</f>
      </c>
      <c r="AB31" s="22">
        <f>SUM(AB29:AB29)</f>
      </c>
      <c r="AC31" s="22">
        <f>SUM(AC29:AC29)</f>
      </c>
      <c r="AD31" s="22">
        <f>SUM(AD29:AD29)</f>
      </c>
      <c r="AE31" s="22">
        <f>SUM(AE29:AE29)</f>
      </c>
      <c r="AF31" s="22">
        <f>SUM(AF29:AF29)</f>
      </c>
      <c r="AG31" s="22">
        <f>SUM(AG29:AG29)</f>
      </c>
      <c r="AH31" s="22">
        <f>SUM(AH29:AH29)</f>
      </c>
      <c r="AI31" s="22">
        <f>SUM(AI29:AI29)</f>
      </c>
      <c r="AJ31" s="22">
        <f>SUM(AJ29:AJ29)</f>
      </c>
      <c r="AK31" s="22">
        <f>SUM(AK29:AK29)</f>
      </c>
      <c r="AL31" s="22">
        <f>SUM(AL29:AL29)</f>
      </c>
      <c r="AM31" s="23"/>
    </row>
    <row r="34" ht="12.75" customHeight="1" spans="2:39" x14ac:dyDescent="0.25">
      <c r="B34" s="11" t="s">
        <v>40</v>
      </c>
      <c r="C34" s="12"/>
      <c r="D34" s="12"/>
      <c r="E34" s="12"/>
      <c r="F34" s="12"/>
      <c r="G34" s="52" t="s">
        <v>7</v>
      </c>
      <c r="H34" s="52" t="s">
        <v>8</v>
      </c>
      <c r="I34" s="52" t="s">
        <v>9</v>
      </c>
      <c r="J34" s="52" t="s">
        <v>10</v>
      </c>
      <c r="K34" s="52" t="s">
        <v>11</v>
      </c>
      <c r="L34" s="52" t="s">
        <v>12</v>
      </c>
      <c r="M34" s="52" t="s">
        <v>13</v>
      </c>
      <c r="N34" s="52" t="s">
        <v>14</v>
      </c>
      <c r="O34" s="52" t="s">
        <v>15</v>
      </c>
      <c r="P34" s="52" t="s">
        <v>16</v>
      </c>
      <c r="Q34" s="52" t="s">
        <v>17</v>
      </c>
      <c r="R34" s="52" t="s">
        <v>18</v>
      </c>
      <c r="S34" s="52" t="s">
        <v>19</v>
      </c>
      <c r="T34" s="52" t="s">
        <v>20</v>
      </c>
      <c r="U34" s="52" t="s">
        <v>21</v>
      </c>
      <c r="V34" s="52" t="s">
        <v>22</v>
      </c>
      <c r="W34" s="52" t="s">
        <v>23</v>
      </c>
      <c r="X34" s="52" t="s">
        <v>24</v>
      </c>
      <c r="Y34" s="52" t="s">
        <v>25</v>
      </c>
      <c r="Z34" s="52" t="s">
        <v>26</v>
      </c>
      <c r="AA34" s="52" t="s">
        <v>27</v>
      </c>
      <c r="AB34" s="52" t="s">
        <v>28</v>
      </c>
      <c r="AC34" s="52" t="s">
        <v>29</v>
      </c>
      <c r="AD34" s="52" t="s">
        <v>30</v>
      </c>
      <c r="AE34" s="52" t="s">
        <v>31</v>
      </c>
      <c r="AF34" s="52" t="s">
        <v>32</v>
      </c>
      <c r="AG34" s="52" t="s">
        <v>33</v>
      </c>
      <c r="AH34" s="52" t="s">
        <v>34</v>
      </c>
      <c r="AI34" s="52" t="s">
        <v>35</v>
      </c>
      <c r="AJ34" s="52" t="s">
        <v>36</v>
      </c>
      <c r="AK34" s="52" t="s">
        <v>37</v>
      </c>
      <c r="AL34" s="52" t="s">
        <v>38</v>
      </c>
      <c r="AM34" s="15"/>
    </row>
    <row r="35" ht="12.75" customHeight="1" spans="2:39" x14ac:dyDescent="0.25">
      <c r="B35" s="16"/>
      <c r="C35" s="17"/>
      <c r="D35" s="17" t="s">
        <v>41</v>
      </c>
      <c r="E35" s="17"/>
      <c r="F35" s="17"/>
      <c r="G35" s="18">
        <f>G11</f>
      </c>
      <c r="H35" s="18">
        <f>H11</f>
      </c>
      <c r="I35" s="18">
        <f>I11</f>
      </c>
      <c r="J35" s="18">
        <f>J11</f>
      </c>
      <c r="K35" s="18">
        <f>K11</f>
      </c>
      <c r="L35" s="18">
        <f>L11</f>
      </c>
      <c r="M35" s="18">
        <f>M11</f>
      </c>
      <c r="N35" s="18">
        <f>N11</f>
      </c>
      <c r="O35" s="18">
        <f>O11</f>
      </c>
      <c r="P35" s="18">
        <f>P11</f>
      </c>
      <c r="Q35" s="18">
        <f>Q11</f>
      </c>
      <c r="R35" s="18">
        <f>R11</f>
      </c>
      <c r="S35" s="18">
        <f>S11</f>
      </c>
      <c r="T35" s="18">
        <f>T11</f>
      </c>
      <c r="U35" s="18">
        <f>U11</f>
      </c>
      <c r="V35" s="18">
        <f>V11</f>
      </c>
      <c r="W35" s="18">
        <f>W11</f>
      </c>
      <c r="X35" s="18">
        <f>X11</f>
      </c>
      <c r="Y35" s="18">
        <f>Y11</f>
      </c>
      <c r="Z35" s="18">
        <f>Z11</f>
      </c>
      <c r="AA35" s="18">
        <f>AA11</f>
      </c>
      <c r="AB35" s="18">
        <f>AB11</f>
      </c>
      <c r="AC35" s="18">
        <f>AC11</f>
      </c>
      <c r="AD35" s="18">
        <f>AD11</f>
      </c>
      <c r="AE35" s="18">
        <f>AE11</f>
      </c>
      <c r="AF35" s="18">
        <f>AF11</f>
      </c>
      <c r="AG35" s="18">
        <f>AG11</f>
      </c>
      <c r="AH35" s="18">
        <f>AH11</f>
      </c>
      <c r="AI35" s="18">
        <f>AI11</f>
      </c>
      <c r="AJ35" s="18">
        <f>AJ11</f>
      </c>
      <c r="AK35" s="18">
        <f>AK11</f>
      </c>
      <c r="AL35" s="18">
        <f>AL11</f>
      </c>
      <c r="AM35" s="19"/>
    </row>
    <row r="36" ht="12.75" customHeight="1" spans="2:39" x14ac:dyDescent="0.25">
      <c r="B36" s="16"/>
      <c r="C36" s="17"/>
      <c r="D36" s="17" t="s">
        <v>42</v>
      </c>
      <c r="E36" s="17"/>
      <c r="F36" s="17"/>
      <c r="G36" s="18">
        <f>G21</f>
      </c>
      <c r="H36" s="18">
        <f>H21</f>
      </c>
      <c r="I36" s="18">
        <f>I21</f>
      </c>
      <c r="J36" s="18">
        <f>J21</f>
      </c>
      <c r="K36" s="18">
        <f>K21</f>
      </c>
      <c r="L36" s="18">
        <f>L21</f>
      </c>
      <c r="M36" s="18">
        <f>M21</f>
      </c>
      <c r="N36" s="18">
        <f>N21</f>
      </c>
      <c r="O36" s="18">
        <f>O21</f>
      </c>
      <c r="P36" s="18">
        <f>P21</f>
      </c>
      <c r="Q36" s="18">
        <f>Q21</f>
      </c>
      <c r="R36" s="18">
        <f>R21</f>
      </c>
      <c r="S36" s="18">
        <f>S21</f>
      </c>
      <c r="T36" s="18">
        <f>T21</f>
      </c>
      <c r="U36" s="18">
        <f>U21</f>
      </c>
      <c r="V36" s="18">
        <f>V21</f>
      </c>
      <c r="W36" s="18">
        <f>W21</f>
      </c>
      <c r="X36" s="18">
        <f>X21</f>
      </c>
      <c r="Y36" s="18">
        <f>Y21</f>
      </c>
      <c r="Z36" s="18">
        <f>Z21</f>
      </c>
      <c r="AA36" s="18">
        <f>AA21</f>
      </c>
      <c r="AB36" s="18">
        <f>AB21</f>
      </c>
      <c r="AC36" s="18">
        <f>AC21</f>
      </c>
      <c r="AD36" s="18">
        <f>AD21</f>
      </c>
      <c r="AE36" s="18">
        <f>AE21</f>
      </c>
      <c r="AF36" s="18">
        <f>AF21</f>
      </c>
      <c r="AG36" s="18">
        <f>AG21</f>
      </c>
      <c r="AH36" s="18">
        <f>AH21</f>
      </c>
      <c r="AI36" s="18">
        <f>AI21</f>
      </c>
      <c r="AJ36" s="18">
        <f>AJ21</f>
      </c>
      <c r="AK36" s="18">
        <f>AK21</f>
      </c>
      <c r="AL36" s="18">
        <f>AL21</f>
      </c>
      <c r="AM36" s="19"/>
    </row>
    <row r="37" ht="12.75" customHeight="1" spans="2:39" x14ac:dyDescent="0.25">
      <c r="B37" s="16"/>
      <c r="C37" s="17"/>
      <c r="D37" s="17" t="s">
        <v>43</v>
      </c>
      <c r="E37" s="17"/>
      <c r="F37" s="17"/>
      <c r="G37" s="18">
        <f>G26</f>
      </c>
      <c r="H37" s="18">
        <f>H26</f>
      </c>
      <c r="I37" s="18">
        <f>I26</f>
      </c>
      <c r="J37" s="18">
        <f>J26</f>
      </c>
      <c r="K37" s="18">
        <f>K26</f>
      </c>
      <c r="L37" s="18">
        <f>L26</f>
      </c>
      <c r="M37" s="18">
        <f>M26</f>
      </c>
      <c r="N37" s="18">
        <f>N26</f>
      </c>
      <c r="O37" s="18">
        <f>O26</f>
      </c>
      <c r="P37" s="18">
        <f>P26</f>
      </c>
      <c r="Q37" s="18">
        <f>Q26</f>
      </c>
      <c r="R37" s="18">
        <f>R26</f>
      </c>
      <c r="S37" s="18">
        <f>S26</f>
      </c>
      <c r="T37" s="18">
        <f>T26</f>
      </c>
      <c r="U37" s="18">
        <f>U26</f>
      </c>
      <c r="V37" s="18">
        <f>V26</f>
      </c>
      <c r="W37" s="18">
        <f>W26</f>
      </c>
      <c r="X37" s="18">
        <f>X26</f>
      </c>
      <c r="Y37" s="18">
        <f>Y26</f>
      </c>
      <c r="Z37" s="18">
        <f>Z26</f>
      </c>
      <c r="AA37" s="18">
        <f>AA26</f>
      </c>
      <c r="AB37" s="18">
        <f>AB26</f>
      </c>
      <c r="AC37" s="18">
        <f>AC26</f>
      </c>
      <c r="AD37" s="18">
        <f>AD26</f>
      </c>
      <c r="AE37" s="18">
        <f>AE26</f>
      </c>
      <c r="AF37" s="18">
        <f>AF26</f>
      </c>
      <c r="AG37" s="18">
        <f>AG26</f>
      </c>
      <c r="AH37" s="18">
        <f>AH26</f>
      </c>
      <c r="AI37" s="18">
        <f>AI26</f>
      </c>
      <c r="AJ37" s="18">
        <f>AJ26</f>
      </c>
      <c r="AK37" s="18">
        <f>AK26</f>
      </c>
      <c r="AL37" s="18">
        <f>AL26</f>
      </c>
      <c r="AM37" s="19"/>
    </row>
    <row r="38" ht="12.75" customHeight="1" spans="2:39" x14ac:dyDescent="0.25">
      <c r="B38" s="16"/>
      <c r="C38" s="17"/>
      <c r="D38" s="17" t="s">
        <v>44</v>
      </c>
      <c r="E38" s="17"/>
      <c r="F38" s="17"/>
      <c r="G38" s="18">
        <f>G31</f>
      </c>
      <c r="H38" s="18">
        <f>H31</f>
      </c>
      <c r="I38" s="18">
        <f>I31</f>
      </c>
      <c r="J38" s="18">
        <f>J31</f>
      </c>
      <c r="K38" s="18">
        <f>K31</f>
      </c>
      <c r="L38" s="18">
        <f>L31</f>
      </c>
      <c r="M38" s="18">
        <f>M31</f>
      </c>
      <c r="N38" s="18">
        <f>N31</f>
      </c>
      <c r="O38" s="18">
        <f>O31</f>
      </c>
      <c r="P38" s="18">
        <f>P31</f>
      </c>
      <c r="Q38" s="18">
        <f>Q31</f>
      </c>
      <c r="R38" s="18">
        <f>R31</f>
      </c>
      <c r="S38" s="18">
        <f>S31</f>
      </c>
      <c r="T38" s="18">
        <f>T31</f>
      </c>
      <c r="U38" s="18">
        <f>U31</f>
      </c>
      <c r="V38" s="18">
        <f>V31</f>
      </c>
      <c r="W38" s="18">
        <f>W31</f>
      </c>
      <c r="X38" s="18">
        <f>X31</f>
      </c>
      <c r="Y38" s="18">
        <f>Y31</f>
      </c>
      <c r="Z38" s="18">
        <f>Z31</f>
      </c>
      <c r="AA38" s="18">
        <f>AA31</f>
      </c>
      <c r="AB38" s="18">
        <f>AB31</f>
      </c>
      <c r="AC38" s="18">
        <f>AC31</f>
      </c>
      <c r="AD38" s="18">
        <f>AD31</f>
      </c>
      <c r="AE38" s="18">
        <f>AE31</f>
      </c>
      <c r="AF38" s="18">
        <f>AF31</f>
      </c>
      <c r="AG38" s="18">
        <f>AG31</f>
      </c>
      <c r="AH38" s="18">
        <f>AH31</f>
      </c>
      <c r="AI38" s="18">
        <f>AI31</f>
      </c>
      <c r="AJ38" s="18">
        <f>AJ31</f>
      </c>
      <c r="AK38" s="18">
        <f>AK31</f>
      </c>
      <c r="AL38" s="18">
        <f>AL31</f>
      </c>
      <c r="AM38" s="19"/>
    </row>
    <row r="39" ht="12.75" customHeight="1" spans="2:39" x14ac:dyDescent="0.25">
      <c r="B39" s="20"/>
      <c r="C39" s="21"/>
      <c r="D39" s="21" t="s">
        <v>45</v>
      </c>
      <c r="E39" s="21"/>
      <c r="F39" s="21"/>
      <c r="G39" s="22">
        <f>G35+G36+G37+G38</f>
      </c>
      <c r="H39" s="22">
        <f>H35+H36+H37+H38</f>
      </c>
      <c r="I39" s="22">
        <f>I35+I36+I37+I38</f>
      </c>
      <c r="J39" s="22">
        <f>J35+J36+J37+J38</f>
      </c>
      <c r="K39" s="22">
        <f>K35+K36+K37+K38</f>
      </c>
      <c r="L39" s="22">
        <f>L35+L36+L37+L38</f>
      </c>
      <c r="M39" s="22">
        <f>M35+M36+M37+M38</f>
      </c>
      <c r="N39" s="22">
        <f>N35+N36+N37+N38</f>
      </c>
      <c r="O39" s="22">
        <f>O35+O36+O37+O38</f>
      </c>
      <c r="P39" s="22">
        <f>P35+P36+P37+P38</f>
      </c>
      <c r="Q39" s="22">
        <f>Q35+Q36+Q37+Q38</f>
      </c>
      <c r="R39" s="22">
        <f>R35+R36+R37+R38</f>
      </c>
      <c r="S39" s="22">
        <f>S35+S36+S37+S38</f>
      </c>
      <c r="T39" s="22">
        <f>T35+T36+T37+T38</f>
      </c>
      <c r="U39" s="22">
        <f>U35+U36+U37+U38</f>
      </c>
      <c r="V39" s="22">
        <f>V35+V36+V37+V38</f>
      </c>
      <c r="W39" s="22">
        <f>W35+W36+W37+W38</f>
      </c>
      <c r="X39" s="22">
        <f>X35+X36+X37+X38</f>
      </c>
      <c r="Y39" s="22">
        <f>Y35+Y36+Y37+Y38</f>
      </c>
      <c r="Z39" s="22">
        <f>Z35+Z36+Z37+Z38</f>
      </c>
      <c r="AA39" s="22">
        <f>AA35+AA36+AA37+AA38</f>
      </c>
      <c r="AB39" s="22">
        <f>AB35+AB36+AB37+AB38</f>
      </c>
      <c r="AC39" s="22">
        <f>AC35+AC36+AC37+AC38</f>
      </c>
      <c r="AD39" s="22">
        <f>AD35+AD36+AD37+AD38</f>
      </c>
      <c r="AE39" s="22">
        <f>AE35+AE36+AE37+AE38</f>
      </c>
      <c r="AF39" s="22">
        <f>AF35+AF36+AF37+AF38</f>
      </c>
      <c r="AG39" s="22">
        <f>AG35+AG36+AG37+AG38</f>
      </c>
      <c r="AH39" s="22">
        <f>AH35+AH36+AH37+AH38</f>
      </c>
      <c r="AI39" s="22">
        <f>AI35+AI36+AI37+AI38</f>
      </c>
      <c r="AJ39" s="22">
        <f>AJ35+AJ36+AJ37+AJ38</f>
      </c>
      <c r="AK39" s="22">
        <f>AK35+AK36+AK37+AK38</f>
      </c>
      <c r="AL39" s="22">
        <f>AL35+AL36+AL37+AL38</f>
      </c>
      <c r="AM39" s="23"/>
    </row>
    <row r="41" ht="12.75" customHeight="1" spans="2:39" x14ac:dyDescent="0.25">
      <c r="B41" s="11" t="s">
        <v>46</v>
      </c>
      <c r="C41" s="12"/>
      <c r="D41" s="12"/>
      <c r="E41" s="12"/>
      <c r="F41" s="12"/>
      <c r="G41" s="52" t="s">
        <v>7</v>
      </c>
      <c r="H41" s="52" t="s">
        <v>8</v>
      </c>
      <c r="I41" s="52" t="s">
        <v>9</v>
      </c>
      <c r="J41" s="52" t="s">
        <v>10</v>
      </c>
      <c r="K41" s="52" t="s">
        <v>11</v>
      </c>
      <c r="L41" s="52" t="s">
        <v>12</v>
      </c>
      <c r="M41" s="52" t="s">
        <v>13</v>
      </c>
      <c r="N41" s="52" t="s">
        <v>14</v>
      </c>
      <c r="O41" s="52" t="s">
        <v>15</v>
      </c>
      <c r="P41" s="52" t="s">
        <v>16</v>
      </c>
      <c r="Q41" s="52" t="s">
        <v>17</v>
      </c>
      <c r="R41" s="52" t="s">
        <v>18</v>
      </c>
      <c r="S41" s="52" t="s">
        <v>19</v>
      </c>
      <c r="T41" s="52" t="s">
        <v>20</v>
      </c>
      <c r="U41" s="52" t="s">
        <v>21</v>
      </c>
      <c r="V41" s="52" t="s">
        <v>22</v>
      </c>
      <c r="W41" s="52" t="s">
        <v>23</v>
      </c>
      <c r="X41" s="52" t="s">
        <v>24</v>
      </c>
      <c r="Y41" s="52" t="s">
        <v>25</v>
      </c>
      <c r="Z41" s="52" t="s">
        <v>26</v>
      </c>
      <c r="AA41" s="52" t="s">
        <v>27</v>
      </c>
      <c r="AB41" s="52" t="s">
        <v>28</v>
      </c>
      <c r="AC41" s="52" t="s">
        <v>29</v>
      </c>
      <c r="AD41" s="52" t="s">
        <v>30</v>
      </c>
      <c r="AE41" s="52" t="s">
        <v>31</v>
      </c>
      <c r="AF41" s="52" t="s">
        <v>32</v>
      </c>
      <c r="AG41" s="52" t="s">
        <v>33</v>
      </c>
      <c r="AH41" s="52" t="s">
        <v>34</v>
      </c>
      <c r="AI41" s="52" t="s">
        <v>35</v>
      </c>
      <c r="AJ41" s="52" t="s">
        <v>36</v>
      </c>
      <c r="AK41" s="52" t="s">
        <v>37</v>
      </c>
      <c r="AL41" s="52" t="s">
        <v>38</v>
      </c>
      <c r="AM41" s="15"/>
    </row>
    <row r="42" ht="12.75" customHeight="1" spans="2:39" x14ac:dyDescent="0.25">
      <c r="B42" s="16"/>
      <c r="C42" s="17"/>
      <c r="D42" s="17" t="s">
        <v>41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42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43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44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20"/>
      <c r="C46" s="21"/>
      <c r="D46" s="21" t="s">
        <v>45</v>
      </c>
      <c r="E46" s="21"/>
      <c r="F46" s="21"/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2">
        <f>AK42+AK43+AK44+AK45</f>
      </c>
      <c r="AL46" s="22">
        <f>AL42+AL43+AL44+AL45</f>
      </c>
      <c r="AM46" s="23"/>
    </row>
    <row r="48" ht="12.75" customHeight="1" spans="2:39" x14ac:dyDescent="0.25">
      <c r="B48" s="11" t="s">
        <v>47</v>
      </c>
      <c r="C48" s="12"/>
      <c r="D48" s="12"/>
      <c r="E48" s="12"/>
      <c r="F48" s="12"/>
      <c r="G48" s="52" t="s">
        <v>7</v>
      </c>
      <c r="H48" s="52" t="s">
        <v>8</v>
      </c>
      <c r="I48" s="52" t="s">
        <v>9</v>
      </c>
      <c r="J48" s="52" t="s">
        <v>10</v>
      </c>
      <c r="K48" s="52" t="s">
        <v>11</v>
      </c>
      <c r="L48" s="52" t="s">
        <v>12</v>
      </c>
      <c r="M48" s="52" t="s">
        <v>13</v>
      </c>
      <c r="N48" s="52" t="s">
        <v>14</v>
      </c>
      <c r="O48" s="52" t="s">
        <v>15</v>
      </c>
      <c r="P48" s="52" t="s">
        <v>16</v>
      </c>
      <c r="Q48" s="52" t="s">
        <v>17</v>
      </c>
      <c r="R48" s="52" t="s">
        <v>18</v>
      </c>
      <c r="S48" s="52" t="s">
        <v>19</v>
      </c>
      <c r="T48" s="52" t="s">
        <v>20</v>
      </c>
      <c r="U48" s="52" t="s">
        <v>21</v>
      </c>
      <c r="V48" s="52" t="s">
        <v>22</v>
      </c>
      <c r="W48" s="52" t="s">
        <v>23</v>
      </c>
      <c r="X48" s="52" t="s">
        <v>24</v>
      </c>
      <c r="Y48" s="52" t="s">
        <v>25</v>
      </c>
      <c r="Z48" s="52" t="s">
        <v>26</v>
      </c>
      <c r="AA48" s="52" t="s">
        <v>27</v>
      </c>
      <c r="AB48" s="52" t="s">
        <v>28</v>
      </c>
      <c r="AC48" s="52" t="s">
        <v>29</v>
      </c>
      <c r="AD48" s="52" t="s">
        <v>30</v>
      </c>
      <c r="AE48" s="52" t="s">
        <v>31</v>
      </c>
      <c r="AF48" s="52" t="s">
        <v>32</v>
      </c>
      <c r="AG48" s="52" t="s">
        <v>33</v>
      </c>
      <c r="AH48" s="52" t="s">
        <v>34</v>
      </c>
      <c r="AI48" s="52" t="s">
        <v>35</v>
      </c>
      <c r="AJ48" s="52" t="s">
        <v>36</v>
      </c>
      <c r="AK48" s="52" t="s">
        <v>37</v>
      </c>
      <c r="AL48" s="52" t="s">
        <v>38</v>
      </c>
      <c r="AM48" s="15"/>
    </row>
    <row r="49" ht="12.75" customHeight="1" spans="2:39" x14ac:dyDescent="0.25">
      <c r="B49" s="16"/>
      <c r="C49" s="17"/>
      <c r="D49" s="17" t="s">
        <v>41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42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43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44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20"/>
      <c r="C53" s="21"/>
      <c r="D53" s="21" t="s">
        <v>45</v>
      </c>
      <c r="E53" s="21"/>
      <c r="F53" s="21"/>
      <c r="G53" s="25">
        <f>G49+G50+G51+G52</f>
      </c>
      <c r="H53" s="25">
        <f>H49+H50+H51+H52</f>
      </c>
      <c r="I53" s="25">
        <f>I49+I50+I51+I52</f>
      </c>
      <c r="J53" s="25">
        <f>J49+J50+J51+J52</f>
      </c>
      <c r="K53" s="25">
        <f>K49+K50+K51+K52</f>
      </c>
      <c r="L53" s="25">
        <f>L49+L50+L51+L52</f>
      </c>
      <c r="M53" s="25">
        <f>M49+M50+M51+M52</f>
      </c>
      <c r="N53" s="25">
        <f>N49+N50+N51+N52</f>
      </c>
      <c r="O53" s="25">
        <f>O49+O50+O51+O52</f>
      </c>
      <c r="P53" s="25">
        <f>P49+P50+P51+P52</f>
      </c>
      <c r="Q53" s="25">
        <f>Q49+Q50+Q51+Q52</f>
      </c>
      <c r="R53" s="25">
        <f>R49+R50+R51+R52</f>
      </c>
      <c r="S53" s="25">
        <f>S49+S50+S51+S52</f>
      </c>
      <c r="T53" s="25">
        <f>T49+T50+T51+T52</f>
      </c>
      <c r="U53" s="25">
        <f>U49+U50+U51+U52</f>
      </c>
      <c r="V53" s="25">
        <f>V49+V50+V51+V52</f>
      </c>
      <c r="W53" s="25">
        <f>W49+W50+W51+W52</f>
      </c>
      <c r="X53" s="25">
        <f>X49+X50+X51+X52</f>
      </c>
      <c r="Y53" s="25">
        <f>Y49+Y50+Y51+Y52</f>
      </c>
      <c r="Z53" s="25">
        <f>Z49+Z50+Z51+Z52</f>
      </c>
      <c r="AA53" s="25">
        <f>AA49+AA50+AA51+AA52</f>
      </c>
      <c r="AB53" s="25">
        <f>AB49+AB50+AB51+AB52</f>
      </c>
      <c r="AC53" s="25">
        <f>AC49+AC50+AC51+AC52</f>
      </c>
      <c r="AD53" s="25">
        <f>AD49+AD50+AD51+AD52</f>
      </c>
      <c r="AE53" s="25">
        <f>AE49+AE50+AE51+AE52</f>
      </c>
      <c r="AF53" s="25">
        <f>AF49+AF50+AF51+AF52</f>
      </c>
      <c r="AG53" s="25">
        <f>AG49+AG50+AG51+AG52</f>
      </c>
      <c r="AH53" s="25">
        <f>AH49+AH50+AH51+AH52</f>
      </c>
      <c r="AI53" s="25">
        <f>AI49+AI50+AI51+AI52</f>
      </c>
      <c r="AJ53" s="25">
        <f>AJ49+AJ50+AJ51+AJ52</f>
      </c>
      <c r="AK53" s="25">
        <f>AK49+AK50+AK51+AK52</f>
      </c>
      <c r="AL53" s="25">
        <f>AL49+AL50+AL51+AL52</f>
      </c>
      <c r="AM5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1088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1089</v>
      </c>
      <c r="E13" s="32"/>
      <c r="F13" s="32"/>
      <c r="G13" s="32"/>
      <c r="H13" s="32"/>
      <c r="I13" s="36">
        <f>35.53+122.43</f>
        <v>157.96</v>
      </c>
      <c r="J13" s="33">
        <v>65.48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1072</v>
      </c>
      <c r="E14" s="32"/>
      <c r="F14" s="32"/>
      <c r="G14" s="32"/>
      <c r="H14" s="32"/>
      <c r="I14" s="36">
        <f>103.71+159.37</f>
        <v>263.08</v>
      </c>
      <c r="J14" s="33">
        <v>145.05</v>
      </c>
      <c r="K14" s="33">
        <v>173.05</v>
      </c>
      <c r="L14" s="32"/>
      <c r="M14" s="36">
        <f>277.43+324.97</f>
        <v>602.4000000000001</v>
      </c>
      <c r="N14" s="32"/>
      <c r="O14" s="36">
        <f>384.63+304.81</f>
        <v>689.44</v>
      </c>
      <c r="P14" s="33">
        <v>285.21</v>
      </c>
      <c r="Q14" s="32"/>
      <c r="R14" s="36">
        <f>251.12+198.99</f>
        <v>450.11</v>
      </c>
      <c r="S14" s="33">
        <v>110.26</v>
      </c>
      <c r="T14" s="32"/>
      <c r="U14" s="36">
        <f>88.81+129.87</f>
        <v>218.68</v>
      </c>
      <c r="V14" s="33">
        <v>94.1</v>
      </c>
      <c r="W14" s="33">
        <v>146.4</v>
      </c>
      <c r="X14" s="33">
        <v>213.4</v>
      </c>
      <c r="Y14" s="33">
        <v>300.01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1073</v>
      </c>
      <c r="E15" s="32"/>
      <c r="F15" s="32"/>
      <c r="G15" s="32"/>
      <c r="H15" s="32"/>
      <c r="I15" s="36">
        <f>126.36+98.71</f>
        <v>225.07</v>
      </c>
      <c r="J15" s="33">
        <v>99.8</v>
      </c>
      <c r="K15" s="33">
        <v>99.46</v>
      </c>
      <c r="L15" s="32"/>
      <c r="M15" s="36">
        <f>93.88+79.41</f>
        <v>173.29</v>
      </c>
      <c r="N15" s="32"/>
      <c r="O15" s="36">
        <f>79.62+85.84</f>
        <v>165.46</v>
      </c>
      <c r="P15" s="33">
        <v>84.03</v>
      </c>
      <c r="Q15" s="32"/>
      <c r="R15" s="36">
        <f>100.99+93.29</f>
        <v>194.28</v>
      </c>
      <c r="S15" s="33">
        <v>97.77</v>
      </c>
      <c r="T15" s="32"/>
      <c r="U15" s="36">
        <f>102.58+94.71</f>
        <v>197.29</v>
      </c>
      <c r="V15" s="33">
        <v>94.1</v>
      </c>
      <c r="W15" s="33">
        <v>103.28</v>
      </c>
      <c r="X15" s="33">
        <v>93.72</v>
      </c>
      <c r="Y15" s="33">
        <v>83.47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1074</v>
      </c>
      <c r="E16" s="32"/>
      <c r="F16" s="32"/>
      <c r="G16" s="32"/>
      <c r="H16" s="32"/>
      <c r="I16" s="36">
        <f>240.23+119.34</f>
        <v>359.57</v>
      </c>
      <c r="J16" s="33">
        <v>122.51</v>
      </c>
      <c r="K16" s="33">
        <v>123.88</v>
      </c>
      <c r="L16" s="32"/>
      <c r="M16" s="36">
        <f>136.81+119.75</f>
        <v>256.56</v>
      </c>
      <c r="N16" s="32"/>
      <c r="O16" s="36">
        <f>135.13+136.14</f>
        <v>271.27</v>
      </c>
      <c r="P16" s="33">
        <v>143.5</v>
      </c>
      <c r="Q16" s="32"/>
      <c r="R16" s="36">
        <f>144.00+135.13</f>
        <v>279.13</v>
      </c>
      <c r="S16" s="33">
        <v>136.32</v>
      </c>
      <c r="T16" s="32"/>
      <c r="U16" s="33">
        <v>134.25</v>
      </c>
      <c r="V16" s="33">
        <v>112.74</v>
      </c>
      <c r="W16" s="36">
        <f>0.00+157.57</f>
        <v>157.57</v>
      </c>
      <c r="X16" s="33">
        <v>155.2</v>
      </c>
      <c r="Y16" s="33">
        <v>154.6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1075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>
        <v>73.46</v>
      </c>
      <c r="P17" s="33">
        <v>21.06</v>
      </c>
      <c r="Q17" s="33">
        <v>21.06</v>
      </c>
      <c r="R17" s="33">
        <v>21.06</v>
      </c>
      <c r="S17" s="33">
        <v>38.81</v>
      </c>
      <c r="T17" s="33">
        <v>39.64</v>
      </c>
      <c r="U17" s="33">
        <v>27.63</v>
      </c>
      <c r="V17" s="33">
        <v>23.33</v>
      </c>
      <c r="W17" s="33">
        <v>22.67</v>
      </c>
      <c r="X17" s="33">
        <v>39.22</v>
      </c>
      <c r="Y17" s="33">
        <v>24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7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40"/>
    </row>
    <row r="19" ht="12.75" customHeight="1" spans="2:37" x14ac:dyDescent="0.25">
      <c r="B19" s="20" t="s">
        <v>85</v>
      </c>
      <c r="C19" s="21"/>
      <c r="D19" s="21"/>
      <c r="E19" s="22">
        <f>SUM(E13:E17)</f>
      </c>
      <c r="F19" s="22">
        <f>SUM(F13:F17)</f>
      </c>
      <c r="G19" s="22">
        <f>SUM(G13:G17)</f>
      </c>
      <c r="H19" s="22">
        <f>SUM(H13:H17)</f>
      </c>
      <c r="I19" s="22">
        <f>SUM(I13:I17)</f>
      </c>
      <c r="J19" s="22">
        <f>SUM(J13:J17)</f>
      </c>
      <c r="K19" s="22">
        <f>SUM(K13:K17)</f>
      </c>
      <c r="L19" s="22">
        <f>SUM(L13:L17)</f>
      </c>
      <c r="M19" s="22">
        <f>SUM(M13:M17)</f>
      </c>
      <c r="N19" s="22">
        <f>SUM(N13:N17)</f>
      </c>
      <c r="O19" s="22">
        <f>SUM(O13:O17)</f>
      </c>
      <c r="P19" s="22">
        <f>SUM(P13:P17)</f>
      </c>
      <c r="Q19" s="22">
        <f>SUM(Q13:Q17)</f>
      </c>
      <c r="R19" s="22">
        <f>SUM(R13:R17)</f>
      </c>
      <c r="S19" s="22">
        <f>SUM(S13:S17)</f>
      </c>
      <c r="T19" s="22">
        <f>SUM(T13:T17)</f>
      </c>
      <c r="U19" s="22">
        <f>SUM(U13:U17)</f>
      </c>
      <c r="V19" s="22">
        <f>SUM(V13:V17)</f>
      </c>
      <c r="W19" s="22">
        <f>SUM(W13:W17)</f>
      </c>
      <c r="X19" s="22">
        <f>SUM(X13:X17)</f>
      </c>
      <c r="Y19" s="22">
        <f>SUM(Y13:Y17)</f>
      </c>
      <c r="Z19" s="22">
        <f>SUM(Z13:Z17)</f>
      </c>
      <c r="AA19" s="22">
        <f>SUM(AA13:AA17)</f>
      </c>
      <c r="AB19" s="22">
        <f>SUM(AB13:AB17)</f>
      </c>
      <c r="AC19" s="22">
        <f>SUM(AC13:AC17)</f>
      </c>
      <c r="AD19" s="22">
        <f>SUM(AD13:AD17)</f>
      </c>
      <c r="AE19" s="22">
        <f>SUM(AE13:AE17)</f>
      </c>
      <c r="AF19" s="22">
        <f>SUM(AF13:AF17)</f>
      </c>
      <c r="AG19" s="22">
        <f>SUM(AG13:AG17)</f>
      </c>
      <c r="AH19" s="22">
        <f>SUM(AH13:AH17)</f>
      </c>
      <c r="AI19" s="22">
        <f>SUM(AI13:AI17)</f>
      </c>
      <c r="AJ19" s="22">
        <f>SUM(AJ13:AJ17)</f>
      </c>
      <c r="AK19" s="23"/>
    </row>
    <row r="21" ht="12.75" customHeight="1" spans="2:37" x14ac:dyDescent="0.25">
      <c r="B21" s="26" t="s">
        <v>43</v>
      </c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9"/>
    </row>
    <row r="22" ht="12.75" customHeight="1" spans="2:37" x14ac:dyDescent="0.25">
      <c r="B22" s="30" t="s">
        <v>43</v>
      </c>
      <c r="C22" s="31" t="s">
        <v>3</v>
      </c>
      <c r="D22" s="32" t="s">
        <v>1079</v>
      </c>
      <c r="E22" s="32"/>
      <c r="F22" s="32"/>
      <c r="G22" s="32"/>
      <c r="H22" s="36">
        <f>8878.89+3063.90+5280.82</f>
        <v>17223.61</v>
      </c>
      <c r="I22" s="32"/>
      <c r="J22" s="36">
        <f>8149.62+3043.20+3692.51</f>
        <v>14885.33</v>
      </c>
      <c r="K22" s="32"/>
      <c r="L22" s="36">
        <f>7932.86+3040.70+3454.91</f>
        <v>14428.47</v>
      </c>
      <c r="M22" s="32"/>
      <c r="N22" s="36">
        <f>8021.28+2978.88+3975.51</f>
        <v>14975.67</v>
      </c>
      <c r="O22" s="32"/>
      <c r="P22" s="36">
        <f>8366.38+3047.10+4016.28</f>
        <v>15429.76</v>
      </c>
      <c r="Q22" s="32"/>
      <c r="R22" s="36">
        <f>9358.91+3444.84+4577.01</f>
        <v>17380.760000000002</v>
      </c>
      <c r="S22" s="32"/>
      <c r="T22" s="36">
        <f>9678.96+3651.60+4315.35</f>
        <v>17645.91</v>
      </c>
      <c r="U22" s="32"/>
      <c r="V22" s="36">
        <f>9161.32+3575.12+4086.37</f>
        <v>16822.809999999998</v>
      </c>
      <c r="W22" s="32"/>
      <c r="X22" s="36">
        <f>10047.72+3661.22+5183.75</f>
        <v>18892.69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89</v>
      </c>
      <c r="C24" s="21"/>
      <c r="D24" s="21"/>
      <c r="E24" s="22">
        <f>SUM(E22:E22)</f>
      </c>
      <c r="F24" s="22">
        <f>SUM(F22:F22)</f>
      </c>
      <c r="G24" s="22">
        <f>SUM(G22:G22)</f>
      </c>
      <c r="H24" s="22">
        <f>SUM(H22:H22)</f>
      </c>
      <c r="I24" s="22">
        <f>SUM(I22:I22)</f>
      </c>
      <c r="J24" s="22">
        <f>SUM(J22:J22)</f>
      </c>
      <c r="K24" s="22">
        <f>SUM(K22:K22)</f>
      </c>
      <c r="L24" s="22">
        <f>SUM(L22:L22)</f>
      </c>
      <c r="M24" s="22">
        <f>SUM(M22:M22)</f>
      </c>
      <c r="N24" s="22">
        <f>SUM(N22:N22)</f>
      </c>
      <c r="O24" s="22">
        <f>SUM(O22:O22)</f>
      </c>
      <c r="P24" s="22">
        <f>SUM(P22:P22)</f>
      </c>
      <c r="Q24" s="22">
        <f>SUM(Q22:Q22)</f>
      </c>
      <c r="R24" s="22">
        <f>SUM(R22:R22)</f>
      </c>
      <c r="S24" s="22">
        <f>SUM(S22:S22)</f>
      </c>
      <c r="T24" s="22">
        <f>SUM(T22:T22)</f>
      </c>
      <c r="U24" s="22">
        <f>SUM(U22:U22)</f>
      </c>
      <c r="V24" s="22">
        <f>SUM(V22:V22)</f>
      </c>
      <c r="W24" s="22">
        <f>SUM(W22:W22)</f>
      </c>
      <c r="X24" s="22">
        <f>SUM(X22:X22)</f>
      </c>
      <c r="Y24" s="22">
        <f>SUM(Y22:Y22)</f>
      </c>
      <c r="Z24" s="22">
        <f>SUM(Z22:Z22)</f>
      </c>
      <c r="AA24" s="22">
        <f>SUM(AA22:AA22)</f>
      </c>
      <c r="AB24" s="22">
        <f>SUM(AB22:AB22)</f>
      </c>
      <c r="AC24" s="22">
        <f>SUM(AC22:AC22)</f>
      </c>
      <c r="AD24" s="22">
        <f>SUM(AD22:AD22)</f>
      </c>
      <c r="AE24" s="22">
        <f>SUM(AE22:AE22)</f>
      </c>
      <c r="AF24" s="22">
        <f>SUM(AF22:AF22)</f>
      </c>
      <c r="AG24" s="22">
        <f>SUM(AG22:AG22)</f>
      </c>
      <c r="AH24" s="22">
        <f>SUM(AH22:AH22)</f>
      </c>
      <c r="AI24" s="22">
        <f>SUM(AI22:AI22)</f>
      </c>
      <c r="AJ24" s="22">
        <f>SUM(AJ22:AJ22)</f>
      </c>
      <c r="AK24" s="23"/>
    </row>
    <row r="26" ht="12.75" customHeight="1" spans="2:37" x14ac:dyDescent="0.25">
      <c r="B26" s="26" t="s">
        <v>44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44</v>
      </c>
      <c r="C27" s="31" t="s">
        <v>3</v>
      </c>
      <c r="D27" s="32" t="s">
        <v>1079</v>
      </c>
      <c r="E27" s="32"/>
      <c r="F27" s="32"/>
      <c r="G27" s="32"/>
      <c r="H27" s="33">
        <v>2118.8</v>
      </c>
      <c r="I27" s="32"/>
      <c r="J27" s="33">
        <v>2104.48</v>
      </c>
      <c r="K27" s="32"/>
      <c r="L27" s="33">
        <v>2102.76</v>
      </c>
      <c r="M27" s="32"/>
      <c r="N27" s="33">
        <v>2060</v>
      </c>
      <c r="O27" s="32"/>
      <c r="P27" s="33">
        <v>2107.18</v>
      </c>
      <c r="Q27" s="32"/>
      <c r="R27" s="33">
        <v>2382.03</v>
      </c>
      <c r="S27" s="32"/>
      <c r="T27" s="33">
        <v>2524.89</v>
      </c>
      <c r="U27" s="32"/>
      <c r="V27" s="33">
        <v>2472</v>
      </c>
      <c r="W27" s="32"/>
      <c r="X27" s="33">
        <v>2531.54</v>
      </c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90</v>
      </c>
      <c r="C29" s="21"/>
      <c r="D29" s="21"/>
      <c r="E29" s="22">
        <f>SUM(E27:E27)</f>
      </c>
      <c r="F29" s="22">
        <f>SUM(F27:F27)</f>
      </c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3"/>
    </row>
    <row r="32" ht="12.75" customHeight="1" spans="2:37" x14ac:dyDescent="0.25">
      <c r="B32" s="11" t="s">
        <v>40</v>
      </c>
      <c r="C32" s="12"/>
      <c r="D32" s="13"/>
      <c r="E32" s="14" t="s">
        <v>7</v>
      </c>
      <c r="F32" s="14" t="s">
        <v>8</v>
      </c>
      <c r="G32" s="14" t="s">
        <v>9</v>
      </c>
      <c r="H32" s="14" t="s">
        <v>10</v>
      </c>
      <c r="I32" s="14" t="s">
        <v>11</v>
      </c>
      <c r="J32" s="14" t="s">
        <v>12</v>
      </c>
      <c r="K32" s="14" t="s">
        <v>13</v>
      </c>
      <c r="L32" s="14" t="s">
        <v>14</v>
      </c>
      <c r="M32" s="14" t="s">
        <v>15</v>
      </c>
      <c r="N32" s="14" t="s">
        <v>16</v>
      </c>
      <c r="O32" s="14" t="s">
        <v>17</v>
      </c>
      <c r="P32" s="14" t="s">
        <v>18</v>
      </c>
      <c r="Q32" s="14" t="s">
        <v>19</v>
      </c>
      <c r="R32" s="14" t="s">
        <v>20</v>
      </c>
      <c r="S32" s="14" t="s">
        <v>21</v>
      </c>
      <c r="T32" s="14" t="s">
        <v>22</v>
      </c>
      <c r="U32" s="14" t="s">
        <v>23</v>
      </c>
      <c r="V32" s="14" t="s">
        <v>24</v>
      </c>
      <c r="W32" s="14" t="s">
        <v>25</v>
      </c>
      <c r="X32" s="14" t="s">
        <v>26</v>
      </c>
      <c r="Y32" s="14" t="s">
        <v>27</v>
      </c>
      <c r="Z32" s="14" t="s">
        <v>28</v>
      </c>
      <c r="AA32" s="14" t="s">
        <v>29</v>
      </c>
      <c r="AB32" s="14" t="s">
        <v>30</v>
      </c>
      <c r="AC32" s="14" t="s">
        <v>31</v>
      </c>
      <c r="AD32" s="14" t="s">
        <v>32</v>
      </c>
      <c r="AE32" s="14" t="s">
        <v>33</v>
      </c>
      <c r="AF32" s="14" t="s">
        <v>34</v>
      </c>
      <c r="AG32" s="14" t="s">
        <v>35</v>
      </c>
      <c r="AH32" s="14" t="s">
        <v>36</v>
      </c>
      <c r="AI32" s="14" t="s">
        <v>37</v>
      </c>
      <c r="AJ32" s="14" t="s">
        <v>38</v>
      </c>
      <c r="AK32" s="15"/>
    </row>
    <row r="33" ht="12.75" customHeight="1" spans="2:37" x14ac:dyDescent="0.25">
      <c r="B33" s="16" t="s">
        <v>41</v>
      </c>
      <c r="C33" s="17"/>
      <c r="D33" s="17"/>
      <c r="E33" s="18">
        <f>E10</f>
      </c>
      <c r="F33" s="18">
        <f>F10</f>
      </c>
      <c r="G33" s="18">
        <f>G10</f>
      </c>
      <c r="H33" s="18">
        <f>H10</f>
      </c>
      <c r="I33" s="18">
        <f>I10</f>
      </c>
      <c r="J33" s="18">
        <f>J10</f>
      </c>
      <c r="K33" s="18">
        <f>K10</f>
      </c>
      <c r="L33" s="18">
        <f>L10</f>
      </c>
      <c r="M33" s="18">
        <f>M10</f>
      </c>
      <c r="N33" s="18">
        <f>N10</f>
      </c>
      <c r="O33" s="18">
        <f>O10</f>
      </c>
      <c r="P33" s="18">
        <f>P10</f>
      </c>
      <c r="Q33" s="18">
        <f>Q10</f>
      </c>
      <c r="R33" s="18">
        <f>R10</f>
      </c>
      <c r="S33" s="18">
        <f>S10</f>
      </c>
      <c r="T33" s="18">
        <f>T10</f>
      </c>
      <c r="U33" s="18">
        <f>U10</f>
      </c>
      <c r="V33" s="18">
        <f>V10</f>
      </c>
      <c r="W33" s="18">
        <f>W10</f>
      </c>
      <c r="X33" s="18">
        <f>X10</f>
      </c>
      <c r="Y33" s="18">
        <f>Y10</f>
      </c>
      <c r="Z33" s="18">
        <f>Z10</f>
      </c>
      <c r="AA33" s="18">
        <f>AA10</f>
      </c>
      <c r="AB33" s="18">
        <f>AB10</f>
      </c>
      <c r="AC33" s="18">
        <f>AC10</f>
      </c>
      <c r="AD33" s="18">
        <f>AD10</f>
      </c>
      <c r="AE33" s="18">
        <f>AE10</f>
      </c>
      <c r="AF33" s="18">
        <f>AF10</f>
      </c>
      <c r="AG33" s="18">
        <f>AG10</f>
      </c>
      <c r="AH33" s="18">
        <f>AH10</f>
      </c>
      <c r="AI33" s="18">
        <f>AI10</f>
      </c>
      <c r="AJ33" s="18">
        <f>AJ10</f>
      </c>
      <c r="AK33" s="19"/>
    </row>
    <row r="34" ht="12.75" customHeight="1" spans="2:37" x14ac:dyDescent="0.25">
      <c r="B34" s="16" t="s">
        <v>42</v>
      </c>
      <c r="C34" s="17"/>
      <c r="D34" s="17"/>
      <c r="E34" s="18">
        <f>E19</f>
      </c>
      <c r="F34" s="18">
        <f>F19</f>
      </c>
      <c r="G34" s="18">
        <f>G19</f>
      </c>
      <c r="H34" s="18">
        <f>H19</f>
      </c>
      <c r="I34" s="18">
        <f>I19</f>
      </c>
      <c r="J34" s="18">
        <f>J19</f>
      </c>
      <c r="K34" s="18">
        <f>K19</f>
      </c>
      <c r="L34" s="18">
        <f>L19</f>
      </c>
      <c r="M34" s="18">
        <f>M19</f>
      </c>
      <c r="N34" s="18">
        <f>N19</f>
      </c>
      <c r="O34" s="18">
        <f>O19</f>
      </c>
      <c r="P34" s="18">
        <f>P19</f>
      </c>
      <c r="Q34" s="18">
        <f>Q19</f>
      </c>
      <c r="R34" s="18">
        <f>R19</f>
      </c>
      <c r="S34" s="18">
        <f>S19</f>
      </c>
      <c r="T34" s="18">
        <f>T19</f>
      </c>
      <c r="U34" s="18">
        <f>U19</f>
      </c>
      <c r="V34" s="18">
        <f>V19</f>
      </c>
      <c r="W34" s="18">
        <f>W19</f>
      </c>
      <c r="X34" s="18">
        <f>X19</f>
      </c>
      <c r="Y34" s="18">
        <f>Y19</f>
      </c>
      <c r="Z34" s="18">
        <f>Z19</f>
      </c>
      <c r="AA34" s="18">
        <f>AA19</f>
      </c>
      <c r="AB34" s="18">
        <f>AB19</f>
      </c>
      <c r="AC34" s="18">
        <f>AC19</f>
      </c>
      <c r="AD34" s="18">
        <f>AD19</f>
      </c>
      <c r="AE34" s="18">
        <f>AE19</f>
      </c>
      <c r="AF34" s="18">
        <f>AF19</f>
      </c>
      <c r="AG34" s="18">
        <f>AG19</f>
      </c>
      <c r="AH34" s="18">
        <f>AH19</f>
      </c>
      <c r="AI34" s="18">
        <f>AI19</f>
      </c>
      <c r="AJ34" s="18">
        <f>AJ19</f>
      </c>
      <c r="AK34" s="19"/>
    </row>
    <row r="35" ht="12.75" customHeight="1" spans="2:37" x14ac:dyDescent="0.25">
      <c r="B35" s="16" t="s">
        <v>43</v>
      </c>
      <c r="C35" s="17"/>
      <c r="D35" s="17"/>
      <c r="E35" s="18">
        <f>E24</f>
      </c>
      <c r="F35" s="18">
        <f>F24</f>
      </c>
      <c r="G35" s="18">
        <f>G24</f>
      </c>
      <c r="H35" s="18">
        <f>H24</f>
      </c>
      <c r="I35" s="18">
        <f>I24</f>
      </c>
      <c r="J35" s="18">
        <f>J24</f>
      </c>
      <c r="K35" s="18">
        <f>K24</f>
      </c>
      <c r="L35" s="18">
        <f>L24</f>
      </c>
      <c r="M35" s="18">
        <f>M24</f>
      </c>
      <c r="N35" s="18">
        <f>N24</f>
      </c>
      <c r="O35" s="18">
        <f>O24</f>
      </c>
      <c r="P35" s="18">
        <f>P24</f>
      </c>
      <c r="Q35" s="18">
        <f>Q24</f>
      </c>
      <c r="R35" s="18">
        <f>R24</f>
      </c>
      <c r="S35" s="18">
        <f>S24</f>
      </c>
      <c r="T35" s="18">
        <f>T24</f>
      </c>
      <c r="U35" s="18">
        <f>U24</f>
      </c>
      <c r="V35" s="18">
        <f>V24</f>
      </c>
      <c r="W35" s="18">
        <f>W24</f>
      </c>
      <c r="X35" s="18">
        <f>X24</f>
      </c>
      <c r="Y35" s="18">
        <f>Y24</f>
      </c>
      <c r="Z35" s="18">
        <f>Z24</f>
      </c>
      <c r="AA35" s="18">
        <f>AA24</f>
      </c>
      <c r="AB35" s="18">
        <f>AB24</f>
      </c>
      <c r="AC35" s="18">
        <f>AC24</f>
      </c>
      <c r="AD35" s="18">
        <f>AD24</f>
      </c>
      <c r="AE35" s="18">
        <f>AE24</f>
      </c>
      <c r="AF35" s="18">
        <f>AF24</f>
      </c>
      <c r="AG35" s="18">
        <f>AG24</f>
      </c>
      <c r="AH35" s="18">
        <f>AH24</f>
      </c>
      <c r="AI35" s="18">
        <f>AI24</f>
      </c>
      <c r="AJ35" s="18">
        <f>AJ24</f>
      </c>
      <c r="AK35" s="19"/>
    </row>
    <row r="36" ht="12.75" customHeight="1" spans="2:37" x14ac:dyDescent="0.25">
      <c r="B36" s="16" t="s">
        <v>44</v>
      </c>
      <c r="C36" s="17"/>
      <c r="D36" s="17"/>
      <c r="E36" s="18">
        <f>E29</f>
      </c>
      <c r="F36" s="18">
        <f>F29</f>
      </c>
      <c r="G36" s="18">
        <f>G29</f>
      </c>
      <c r="H36" s="18">
        <f>H29</f>
      </c>
      <c r="I36" s="18">
        <f>I29</f>
      </c>
      <c r="J36" s="18">
        <f>J29</f>
      </c>
      <c r="K36" s="18">
        <f>K29</f>
      </c>
      <c r="L36" s="18">
        <f>L29</f>
      </c>
      <c r="M36" s="18">
        <f>M29</f>
      </c>
      <c r="N36" s="18">
        <f>N29</f>
      </c>
      <c r="O36" s="18">
        <f>O29</f>
      </c>
      <c r="P36" s="18">
        <f>P29</f>
      </c>
      <c r="Q36" s="18">
        <f>Q29</f>
      </c>
      <c r="R36" s="18">
        <f>R29</f>
      </c>
      <c r="S36" s="18">
        <f>S29</f>
      </c>
      <c r="T36" s="18">
        <f>T29</f>
      </c>
      <c r="U36" s="18">
        <f>U29</f>
      </c>
      <c r="V36" s="18">
        <f>V29</f>
      </c>
      <c r="W36" s="18">
        <f>W29</f>
      </c>
      <c r="X36" s="18">
        <f>X29</f>
      </c>
      <c r="Y36" s="18">
        <f>Y29</f>
      </c>
      <c r="Z36" s="18">
        <f>Z29</f>
      </c>
      <c r="AA36" s="18">
        <f>AA29</f>
      </c>
      <c r="AB36" s="18">
        <f>AB29</f>
      </c>
      <c r="AC36" s="18">
        <f>AC29</f>
      </c>
      <c r="AD36" s="18">
        <f>AD29</f>
      </c>
      <c r="AE36" s="18">
        <f>AE29</f>
      </c>
      <c r="AF36" s="18">
        <f>AF29</f>
      </c>
      <c r="AG36" s="18">
        <f>AG29</f>
      </c>
      <c r="AH36" s="18">
        <f>AH29</f>
      </c>
      <c r="AI36" s="18">
        <f>AI29</f>
      </c>
      <c r="AJ36" s="18">
        <f>AJ29</f>
      </c>
      <c r="AK36" s="19"/>
    </row>
    <row r="37" ht="12.75" customHeight="1" spans="2:37" x14ac:dyDescent="0.25">
      <c r="B37" s="20" t="s">
        <v>45</v>
      </c>
      <c r="C37" s="21"/>
      <c r="D37" s="21"/>
      <c r="E37" s="22">
        <f>E33+E34+E35+E36</f>
      </c>
      <c r="F37" s="22">
        <f>F33+F34+F35+F36</f>
      </c>
      <c r="G37" s="22">
        <f>G33+G34+G35+G36</f>
      </c>
      <c r="H37" s="22">
        <f>H33+H34+H35+H36</f>
      </c>
      <c r="I37" s="22">
        <f>I33+I34+I35+I36</f>
      </c>
      <c r="J37" s="22">
        <f>J33+J34+J35+J36</f>
      </c>
      <c r="K37" s="22">
        <f>K33+K34+K35+K36</f>
      </c>
      <c r="L37" s="22">
        <f>L33+L34+L35+L36</f>
      </c>
      <c r="M37" s="22">
        <f>M33+M34+M35+M36</f>
      </c>
      <c r="N37" s="22">
        <f>N33+N34+N35+N36</f>
      </c>
      <c r="O37" s="22">
        <f>O33+O34+O35+O36</f>
      </c>
      <c r="P37" s="22">
        <f>P33+P34+P35+P36</f>
      </c>
      <c r="Q37" s="22">
        <f>Q33+Q34+Q35+Q36</f>
      </c>
      <c r="R37" s="22">
        <f>R33+R34+R35+R36</f>
      </c>
      <c r="S37" s="22">
        <f>S33+S34+S35+S36</f>
      </c>
      <c r="T37" s="22">
        <f>T33+T34+T35+T36</f>
      </c>
      <c r="U37" s="22">
        <f>U33+U34+U35+U36</f>
      </c>
      <c r="V37" s="22">
        <f>V33+V34+V35+V36</f>
      </c>
      <c r="W37" s="22">
        <f>W33+W34+W35+W36</f>
      </c>
      <c r="X37" s="22">
        <f>X33+X34+X35+X36</f>
      </c>
      <c r="Y37" s="22">
        <f>Y33+Y34+Y35+Y36</f>
      </c>
      <c r="Z37" s="22">
        <f>Z33+Z34+Z35+Z36</f>
      </c>
      <c r="AA37" s="22">
        <f>AA33+AA34+AA35+AA36</f>
      </c>
      <c r="AB37" s="22">
        <f>AB33+AB34+AB35+AB36</f>
      </c>
      <c r="AC37" s="22">
        <f>AC33+AC34+AC35+AC36</f>
      </c>
      <c r="AD37" s="22">
        <f>AD33+AD34+AD35+AD36</f>
      </c>
      <c r="AE37" s="22">
        <f>AE33+AE34+AE35+AE36</f>
      </c>
      <c r="AF37" s="22">
        <f>AF33+AF34+AF35+AF36</f>
      </c>
      <c r="AG37" s="22">
        <f>AG33+AG34+AG35+AG36</f>
      </c>
      <c r="AH37" s="22">
        <f>AH33+AH34+AH35+AH36</f>
      </c>
      <c r="AI37" s="22">
        <f>AI33+AI34+AI35+AI36</f>
      </c>
      <c r="AJ37" s="22">
        <f>AJ33+AJ34+AJ35+AJ36</f>
      </c>
      <c r="AK37" s="23"/>
    </row>
    <row r="39" ht="12.75" customHeight="1" spans="2:37" x14ac:dyDescent="0.25">
      <c r="B39" s="11" t="s">
        <v>46</v>
      </c>
      <c r="C39" s="12"/>
      <c r="D39" s="13"/>
      <c r="E39" s="14" t="s">
        <v>7</v>
      </c>
      <c r="F39" s="14" t="s">
        <v>8</v>
      </c>
      <c r="G39" s="14" t="s">
        <v>9</v>
      </c>
      <c r="H39" s="14" t="s">
        <v>10</v>
      </c>
      <c r="I39" s="14" t="s">
        <v>11</v>
      </c>
      <c r="J39" s="14" t="s">
        <v>12</v>
      </c>
      <c r="K39" s="14" t="s">
        <v>13</v>
      </c>
      <c r="L39" s="14" t="s">
        <v>14</v>
      </c>
      <c r="M39" s="14" t="s">
        <v>15</v>
      </c>
      <c r="N39" s="14" t="s">
        <v>16</v>
      </c>
      <c r="O39" s="14" t="s">
        <v>17</v>
      </c>
      <c r="P39" s="14" t="s">
        <v>18</v>
      </c>
      <c r="Q39" s="14" t="s">
        <v>19</v>
      </c>
      <c r="R39" s="14" t="s">
        <v>20</v>
      </c>
      <c r="S39" s="14" t="s">
        <v>21</v>
      </c>
      <c r="T39" s="14" t="s">
        <v>22</v>
      </c>
      <c r="U39" s="14" t="s">
        <v>23</v>
      </c>
      <c r="V39" s="14" t="s">
        <v>24</v>
      </c>
      <c r="W39" s="14" t="s">
        <v>25</v>
      </c>
      <c r="X39" s="14" t="s">
        <v>26</v>
      </c>
      <c r="Y39" s="14" t="s">
        <v>27</v>
      </c>
      <c r="Z39" s="14" t="s">
        <v>28</v>
      </c>
      <c r="AA39" s="14" t="s">
        <v>29</v>
      </c>
      <c r="AB39" s="14" t="s">
        <v>30</v>
      </c>
      <c r="AC39" s="14" t="s">
        <v>31</v>
      </c>
      <c r="AD39" s="14" t="s">
        <v>32</v>
      </c>
      <c r="AE39" s="14" t="s">
        <v>33</v>
      </c>
      <c r="AF39" s="14" t="s">
        <v>34</v>
      </c>
      <c r="AG39" s="14" t="s">
        <v>35</v>
      </c>
      <c r="AH39" s="14" t="s">
        <v>36</v>
      </c>
      <c r="AI39" s="14" t="s">
        <v>37</v>
      </c>
      <c r="AJ39" s="14" t="s">
        <v>38</v>
      </c>
      <c r="AK39" s="15"/>
    </row>
    <row r="40" ht="12.75" customHeight="1" spans="2:37" x14ac:dyDescent="0.25">
      <c r="B40" s="16" t="s">
        <v>41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42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43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44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20" t="s">
        <v>45</v>
      </c>
      <c r="C44" s="21"/>
      <c r="D44" s="21"/>
      <c r="E44" s="22">
        <f>E40+E41+E42+E43</f>
      </c>
      <c r="F44" s="22">
        <f>F40+F41+F42+F43</f>
      </c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3"/>
    </row>
    <row r="46" ht="12.75" customHeight="1" spans="2:37" x14ac:dyDescent="0.25">
      <c r="B46" s="11" t="s">
        <v>47</v>
      </c>
      <c r="C46" s="12"/>
      <c r="D46" s="13"/>
      <c r="E46" s="14" t="s">
        <v>7</v>
      </c>
      <c r="F46" s="14" t="s">
        <v>8</v>
      </c>
      <c r="G46" s="14" t="s">
        <v>9</v>
      </c>
      <c r="H46" s="14" t="s">
        <v>10</v>
      </c>
      <c r="I46" s="14" t="s">
        <v>11</v>
      </c>
      <c r="J46" s="14" t="s">
        <v>12</v>
      </c>
      <c r="K46" s="14" t="s">
        <v>13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18</v>
      </c>
      <c r="Q46" s="14" t="s">
        <v>19</v>
      </c>
      <c r="R46" s="14" t="s">
        <v>20</v>
      </c>
      <c r="S46" s="14" t="s">
        <v>21</v>
      </c>
      <c r="T46" s="14" t="s">
        <v>22</v>
      </c>
      <c r="U46" s="14" t="s">
        <v>23</v>
      </c>
      <c r="V46" s="14" t="s">
        <v>24</v>
      </c>
      <c r="W46" s="14" t="s">
        <v>25</v>
      </c>
      <c r="X46" s="14" t="s">
        <v>26</v>
      </c>
      <c r="Y46" s="14" t="s">
        <v>27</v>
      </c>
      <c r="Z46" s="14" t="s">
        <v>28</v>
      </c>
      <c r="AA46" s="14" t="s">
        <v>29</v>
      </c>
      <c r="AB46" s="14" t="s">
        <v>30</v>
      </c>
      <c r="AC46" s="14" t="s">
        <v>31</v>
      </c>
      <c r="AD46" s="14" t="s">
        <v>32</v>
      </c>
      <c r="AE46" s="14" t="s">
        <v>33</v>
      </c>
      <c r="AF46" s="14" t="s">
        <v>34</v>
      </c>
      <c r="AG46" s="14" t="s">
        <v>35</v>
      </c>
      <c r="AH46" s="14" t="s">
        <v>36</v>
      </c>
      <c r="AI46" s="14" t="s">
        <v>37</v>
      </c>
      <c r="AJ46" s="14" t="s">
        <v>38</v>
      </c>
      <c r="AK46" s="15"/>
    </row>
    <row r="47" ht="12.75" customHeight="1" spans="2:37" x14ac:dyDescent="0.25">
      <c r="B47" s="16" t="s">
        <v>41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42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43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44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20" t="s">
        <v>45</v>
      </c>
      <c r="C51" s="21"/>
      <c r="D51" s="21"/>
      <c r="E51" s="25">
        <f>E47+E48+E49+E50</f>
      </c>
      <c r="F51" s="25">
        <f>F47+F48+F49+F50</f>
      </c>
      <c r="G51" s="25">
        <f>G47+G48+G49+G50</f>
      </c>
      <c r="H51" s="25">
        <f>H47+H48+H49+H50</f>
      </c>
      <c r="I51" s="25">
        <f>I47+I48+I49+I50</f>
      </c>
      <c r="J51" s="25">
        <f>J47+J48+J49+J50</f>
      </c>
      <c r="K51" s="25">
        <f>K47+K48+K49+K50</f>
      </c>
      <c r="L51" s="25">
        <f>L47+L48+L49+L50</f>
      </c>
      <c r="M51" s="25">
        <f>M47+M48+M49+M50</f>
      </c>
      <c r="N51" s="25">
        <f>N47+N48+N49+N50</f>
      </c>
      <c r="O51" s="25">
        <f>O47+O48+O49+O50</f>
      </c>
      <c r="P51" s="25">
        <f>P47+P48+P49+P50</f>
      </c>
      <c r="Q51" s="25">
        <f>Q47+Q48+Q49+Q50</f>
      </c>
      <c r="R51" s="25">
        <f>R47+R48+R49+R50</f>
      </c>
      <c r="S51" s="25">
        <f>S47+S48+S49+S50</f>
      </c>
      <c r="T51" s="25">
        <f>T47+T48+T49+T50</f>
      </c>
      <c r="U51" s="25">
        <f>U47+U48+U49+U50</f>
      </c>
      <c r="V51" s="25">
        <f>V47+V48+V49+V50</f>
      </c>
      <c r="W51" s="25">
        <f>W47+W48+W49+W50</f>
      </c>
      <c r="X51" s="25">
        <f>X47+X48+X49+X50</f>
      </c>
      <c r="Y51" s="25">
        <f>Y47+Y48+Y49+Y50</f>
      </c>
      <c r="Z51" s="25">
        <f>Z47+Z48+Z49+Z50</f>
      </c>
      <c r="AA51" s="25">
        <f>AA47+AA48+AA49+AA50</f>
      </c>
      <c r="AB51" s="25">
        <f>AB47+AB48+AB49+AB50</f>
      </c>
      <c r="AC51" s="25">
        <f>AC47+AC48+AC49+AC50</f>
      </c>
      <c r="AD51" s="25">
        <f>AD47+AD48+AD49+AD50</f>
      </c>
      <c r="AE51" s="25">
        <f>AE47+AE48+AE49+AE50</f>
      </c>
      <c r="AF51" s="25">
        <f>AF47+AF48+AF49+AF50</f>
      </c>
      <c r="AG51" s="25">
        <f>AG47+AG48+AG49+AG50</f>
      </c>
      <c r="AH51" s="25">
        <f>AH47+AH48+AH49+AH50</f>
      </c>
      <c r="AI51" s="25">
        <f>AI47+AI48+AI49+AI50</f>
      </c>
      <c r="AJ51" s="25">
        <f>AJ47+AJ48+AJ49+AJ50</f>
      </c>
      <c r="AK5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1088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1090</v>
      </c>
      <c r="K8" s="44" t="s">
        <v>1091</v>
      </c>
      <c r="L8" s="44" t="s">
        <v>1092</v>
      </c>
      <c r="M8" s="44" t="s">
        <v>1093</v>
      </c>
      <c r="N8" s="44" t="s">
        <v>1094</v>
      </c>
      <c r="O8" s="44" t="s">
        <v>1095</v>
      </c>
      <c r="P8" s="44" t="s">
        <v>1096</v>
      </c>
      <c r="Q8" s="44" t="s">
        <v>1097</v>
      </c>
      <c r="R8" s="44" t="s">
        <v>1098</v>
      </c>
      <c r="S8" s="44" t="s">
        <v>1099</v>
      </c>
      <c r="T8" s="44" t="s">
        <v>1100</v>
      </c>
      <c r="U8" s="44" t="s">
        <v>1101</v>
      </c>
      <c r="V8" s="44" t="s">
        <v>1102</v>
      </c>
      <c r="W8" s="44" t="s">
        <v>1103</v>
      </c>
      <c r="X8" s="44" t="s">
        <v>1104</v>
      </c>
      <c r="Y8" s="44" t="s">
        <v>1105</v>
      </c>
      <c r="Z8" s="44" t="s">
        <v>1106</v>
      </c>
      <c r="AA8" s="44" t="s">
        <v>1080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1088</v>
      </c>
      <c r="D14" s="50" t="s">
        <v>42</v>
      </c>
      <c r="E14" s="32" t="s">
        <v>3</v>
      </c>
      <c r="F14" s="32" t="s">
        <v>1089</v>
      </c>
      <c r="G14" s="32"/>
      <c r="H14" s="32"/>
      <c r="I14" s="32"/>
      <c r="J14" s="32"/>
      <c r="K14" s="33">
        <f>35.53+122.43</f>
        <v>157.96</v>
      </c>
      <c r="L14" s="33">
        <v>65.48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1088</v>
      </c>
      <c r="D15" s="50" t="s">
        <v>42</v>
      </c>
      <c r="E15" s="32" t="s">
        <v>3</v>
      </c>
      <c r="F15" s="32" t="s">
        <v>1072</v>
      </c>
      <c r="G15" s="32"/>
      <c r="H15" s="32"/>
      <c r="I15" s="32"/>
      <c r="J15" s="32"/>
      <c r="K15" s="33">
        <f>103.71+159.37</f>
        <v>263.08</v>
      </c>
      <c r="L15" s="33">
        <v>145.05</v>
      </c>
      <c r="M15" s="33">
        <v>173.05</v>
      </c>
      <c r="N15" s="32"/>
      <c r="O15" s="33">
        <f>277.43+324.97</f>
        <v>602.4000000000001</v>
      </c>
      <c r="P15" s="32"/>
      <c r="Q15" s="33">
        <f>384.63+304.81</f>
        <v>689.44</v>
      </c>
      <c r="R15" s="33">
        <v>285.21</v>
      </c>
      <c r="S15" s="32"/>
      <c r="T15" s="33">
        <f>251.12+198.99</f>
        <v>450.11</v>
      </c>
      <c r="U15" s="33">
        <v>110.26</v>
      </c>
      <c r="V15" s="32"/>
      <c r="W15" s="33">
        <f>88.81+129.87</f>
        <v>218.68</v>
      </c>
      <c r="X15" s="33">
        <v>94.1</v>
      </c>
      <c r="Y15" s="33">
        <v>146.4</v>
      </c>
      <c r="Z15" s="33">
        <v>213.4</v>
      </c>
      <c r="AA15" s="33">
        <v>300.01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1088</v>
      </c>
      <c r="D16" s="50" t="s">
        <v>42</v>
      </c>
      <c r="E16" s="32" t="s">
        <v>3</v>
      </c>
      <c r="F16" s="32" t="s">
        <v>1073</v>
      </c>
      <c r="G16" s="32"/>
      <c r="H16" s="32"/>
      <c r="I16" s="32"/>
      <c r="J16" s="32"/>
      <c r="K16" s="33">
        <f>126.36+98.71</f>
        <v>225.07</v>
      </c>
      <c r="L16" s="33">
        <v>99.8</v>
      </c>
      <c r="M16" s="33">
        <v>99.46</v>
      </c>
      <c r="N16" s="32"/>
      <c r="O16" s="33">
        <f>93.88+79.41</f>
        <v>173.29</v>
      </c>
      <c r="P16" s="32"/>
      <c r="Q16" s="33">
        <f>79.62+85.84</f>
        <v>165.46</v>
      </c>
      <c r="R16" s="33">
        <v>84.03</v>
      </c>
      <c r="S16" s="32"/>
      <c r="T16" s="33">
        <f>100.99+93.29</f>
        <v>194.28</v>
      </c>
      <c r="U16" s="33">
        <v>97.77</v>
      </c>
      <c r="V16" s="32"/>
      <c r="W16" s="33">
        <f>102.58+94.71</f>
        <v>197.29</v>
      </c>
      <c r="X16" s="33">
        <v>94.1</v>
      </c>
      <c r="Y16" s="33">
        <v>103.28</v>
      </c>
      <c r="Z16" s="33">
        <v>93.72</v>
      </c>
      <c r="AA16" s="33">
        <v>83.47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1088</v>
      </c>
      <c r="D17" s="50" t="s">
        <v>42</v>
      </c>
      <c r="E17" s="32" t="s">
        <v>3</v>
      </c>
      <c r="F17" s="32" t="s">
        <v>1074</v>
      </c>
      <c r="G17" s="32"/>
      <c r="H17" s="32"/>
      <c r="I17" s="32"/>
      <c r="J17" s="32"/>
      <c r="K17" s="33">
        <f>240.23+119.34</f>
        <v>359.57</v>
      </c>
      <c r="L17" s="33">
        <v>122.51</v>
      </c>
      <c r="M17" s="33">
        <v>123.88</v>
      </c>
      <c r="N17" s="32"/>
      <c r="O17" s="33">
        <f>136.81+119.75</f>
        <v>256.56</v>
      </c>
      <c r="P17" s="32"/>
      <c r="Q17" s="33">
        <f>135.13+136.14</f>
        <v>271.27</v>
      </c>
      <c r="R17" s="33">
        <v>143.5</v>
      </c>
      <c r="S17" s="32"/>
      <c r="T17" s="33">
        <f>144.00+135.13</f>
        <v>279.13</v>
      </c>
      <c r="U17" s="33">
        <v>136.32</v>
      </c>
      <c r="V17" s="32"/>
      <c r="W17" s="33">
        <v>134.25</v>
      </c>
      <c r="X17" s="33">
        <v>112.74</v>
      </c>
      <c r="Y17" s="33">
        <f>0.00+157.57</f>
        <v>157.57</v>
      </c>
      <c r="Z17" s="33">
        <v>155.2</v>
      </c>
      <c r="AA17" s="33">
        <v>154.6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1088</v>
      </c>
      <c r="D18" s="50" t="s">
        <v>42</v>
      </c>
      <c r="E18" s="32" t="s">
        <v>3</v>
      </c>
      <c r="F18" s="32" t="s">
        <v>1075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>
        <v>73.46</v>
      </c>
      <c r="R18" s="33">
        <v>21.06</v>
      </c>
      <c r="S18" s="33">
        <v>21.06</v>
      </c>
      <c r="T18" s="33">
        <v>21.06</v>
      </c>
      <c r="U18" s="33">
        <v>38.81</v>
      </c>
      <c r="V18" s="33">
        <v>39.64</v>
      </c>
      <c r="W18" s="33">
        <v>27.63</v>
      </c>
      <c r="X18" s="33">
        <v>23.33</v>
      </c>
      <c r="Y18" s="33">
        <v>22.67</v>
      </c>
      <c r="Z18" s="33">
        <v>39.22</v>
      </c>
      <c r="AA18" s="33">
        <v>24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51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0"/>
    </row>
    <row r="20" ht="13.5" customHeight="1" spans="2:39" x14ac:dyDescent="0.25">
      <c r="B20" s="20"/>
      <c r="C20" s="21"/>
      <c r="D20" s="21" t="s">
        <v>85</v>
      </c>
      <c r="E20" s="21"/>
      <c r="F20" s="21"/>
      <c r="G20" s="22">
        <f>SUM(G14:G18)</f>
      </c>
      <c r="H20" s="22">
        <f>SUM(H14:H18)</f>
      </c>
      <c r="I20" s="22">
        <f>SUM(I14:I18)</f>
      </c>
      <c r="J20" s="22">
        <f>SUM(J14:J18)</f>
      </c>
      <c r="K20" s="22">
        <f>SUM(K14:K18)</f>
      </c>
      <c r="L20" s="22">
        <f>SUM(L14:L18)</f>
      </c>
      <c r="M20" s="22">
        <f>SUM(M14:M18)</f>
      </c>
      <c r="N20" s="22">
        <f>SUM(N14:N18)</f>
      </c>
      <c r="O20" s="22">
        <f>SUM(O14:O18)</f>
      </c>
      <c r="P20" s="22">
        <f>SUM(P14:P18)</f>
      </c>
      <c r="Q20" s="22">
        <f>SUM(Q14:Q18)</f>
      </c>
      <c r="R20" s="22">
        <f>SUM(R14:R18)</f>
      </c>
      <c r="S20" s="22">
        <f>SUM(S14:S18)</f>
      </c>
      <c r="T20" s="22">
        <f>SUM(T14:T18)</f>
      </c>
      <c r="U20" s="22">
        <f>SUM(U14:U18)</f>
      </c>
      <c r="V20" s="22">
        <f>SUM(V14:V18)</f>
      </c>
      <c r="W20" s="22">
        <f>SUM(W14:W18)</f>
      </c>
      <c r="X20" s="22">
        <f>SUM(X14:X18)</f>
      </c>
      <c r="Y20" s="22">
        <f>SUM(Y14:Y18)</f>
      </c>
      <c r="Z20" s="22">
        <f>SUM(Z14:Z18)</f>
      </c>
      <c r="AA20" s="22">
        <f>SUM(AA14:AA18)</f>
      </c>
      <c r="AB20" s="22">
        <f>SUM(AB14:AB18)</f>
      </c>
      <c r="AC20" s="22">
        <f>SUM(AC14:AC18)</f>
      </c>
      <c r="AD20" s="22">
        <f>SUM(AD14:AD18)</f>
      </c>
      <c r="AE20" s="22">
        <f>SUM(AE14:AE18)</f>
      </c>
      <c r="AF20" s="22">
        <f>SUM(AF14:AF18)</f>
      </c>
      <c r="AG20" s="22">
        <f>SUM(AG14:AG18)</f>
      </c>
      <c r="AH20" s="22">
        <f>SUM(AH14:AH18)</f>
      </c>
      <c r="AI20" s="22">
        <f>SUM(AI14:AI18)</f>
      </c>
      <c r="AJ20" s="22">
        <f>SUM(AJ14:AJ18)</f>
      </c>
      <c r="AK20" s="22">
        <f>SUM(AK14:AK18)</f>
      </c>
      <c r="AL20" s="22">
        <f>SUM(AL14:AL18)</f>
      </c>
      <c r="AM20" s="23"/>
    </row>
    <row r="22" ht="13.5" customHeight="1" spans="2:39" x14ac:dyDescent="0.25">
      <c r="B22" s="46"/>
      <c r="C22" s="28"/>
      <c r="D22" s="47" t="s">
        <v>43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9"/>
    </row>
    <row r="23" ht="13.5" customHeight="1" spans="2:39" x14ac:dyDescent="0.25">
      <c r="B23" s="48" t="s">
        <v>3</v>
      </c>
      <c r="C23" s="49" t="s">
        <v>1088</v>
      </c>
      <c r="D23" s="50" t="s">
        <v>43</v>
      </c>
      <c r="E23" s="32" t="s">
        <v>3</v>
      </c>
      <c r="F23" s="32" t="s">
        <v>1079</v>
      </c>
      <c r="G23" s="32"/>
      <c r="H23" s="32"/>
      <c r="I23" s="32"/>
      <c r="J23" s="33">
        <f>8878.89+3063.90+5280.82</f>
        <v>17223.61</v>
      </c>
      <c r="K23" s="32"/>
      <c r="L23" s="33">
        <f>8149.62+3043.20+3692.51</f>
        <v>14885.33</v>
      </c>
      <c r="M23" s="32"/>
      <c r="N23" s="33">
        <f>7932.86+3040.70+3454.91</f>
        <v>14428.47</v>
      </c>
      <c r="O23" s="32"/>
      <c r="P23" s="33">
        <f>8021.28+2978.88+3975.51</f>
        <v>14975.67</v>
      </c>
      <c r="Q23" s="32"/>
      <c r="R23" s="33">
        <f>8366.38+3047.10+4016.28</f>
        <v>15429.76</v>
      </c>
      <c r="S23" s="32"/>
      <c r="T23" s="33">
        <f>9358.91+3444.84+4577.01</f>
        <v>17380.760000000002</v>
      </c>
      <c r="U23" s="32"/>
      <c r="V23" s="33">
        <f>9678.96+3651.60+4315.35</f>
        <v>17645.91</v>
      </c>
      <c r="W23" s="32"/>
      <c r="X23" s="33">
        <f>9161.32+3575.12+4086.37</f>
        <v>16822.809999999998</v>
      </c>
      <c r="Y23" s="32"/>
      <c r="Z23" s="33">
        <f>10047.72+3661.22+5183.75</f>
        <v>18892.69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89</v>
      </c>
      <c r="E25" s="21"/>
      <c r="F25" s="21"/>
      <c r="G25" s="22">
        <f>SUM(G23:G23)</f>
      </c>
      <c r="H25" s="22">
        <f>SUM(H23:H23)</f>
      </c>
      <c r="I25" s="22">
        <f>SUM(I23:I23)</f>
      </c>
      <c r="J25" s="22">
        <f>SUM(J23:J23)</f>
      </c>
      <c r="K25" s="22">
        <f>SUM(K23:K23)</f>
      </c>
      <c r="L25" s="22">
        <f>SUM(L23:L23)</f>
      </c>
      <c r="M25" s="22">
        <f>SUM(M23:M23)</f>
      </c>
      <c r="N25" s="22">
        <f>SUM(N23:N23)</f>
      </c>
      <c r="O25" s="22">
        <f>SUM(O23:O23)</f>
      </c>
      <c r="P25" s="22">
        <f>SUM(P23:P23)</f>
      </c>
      <c r="Q25" s="22">
        <f>SUM(Q23:Q23)</f>
      </c>
      <c r="R25" s="22">
        <f>SUM(R23:R23)</f>
      </c>
      <c r="S25" s="22">
        <f>SUM(S23:S23)</f>
      </c>
      <c r="T25" s="22">
        <f>SUM(T23:T23)</f>
      </c>
      <c r="U25" s="22">
        <f>SUM(U23:U23)</f>
      </c>
      <c r="V25" s="22">
        <f>SUM(V23:V23)</f>
      </c>
      <c r="W25" s="22">
        <f>SUM(W23:W23)</f>
      </c>
      <c r="X25" s="22">
        <f>SUM(X23:X23)</f>
      </c>
      <c r="Y25" s="22">
        <f>SUM(Y23:Y23)</f>
      </c>
      <c r="Z25" s="22">
        <f>SUM(Z23:Z23)</f>
      </c>
      <c r="AA25" s="22">
        <f>SUM(AA23:AA23)</f>
      </c>
      <c r="AB25" s="22">
        <f>SUM(AB23:AB23)</f>
      </c>
      <c r="AC25" s="22">
        <f>SUM(AC23:AC23)</f>
      </c>
      <c r="AD25" s="22">
        <f>SUM(AD23:AD23)</f>
      </c>
      <c r="AE25" s="22">
        <f>SUM(AE23:AE23)</f>
      </c>
      <c r="AF25" s="22">
        <f>SUM(AF23:AF23)</f>
      </c>
      <c r="AG25" s="22">
        <f>SUM(AG23:AG23)</f>
      </c>
      <c r="AH25" s="22">
        <f>SUM(AH23:AH23)</f>
      </c>
      <c r="AI25" s="22">
        <f>SUM(AI23:AI23)</f>
      </c>
      <c r="AJ25" s="22">
        <f>SUM(AJ23:AJ23)</f>
      </c>
      <c r="AK25" s="22">
        <f>SUM(AK23:AK23)</f>
      </c>
      <c r="AL25" s="22">
        <f>SUM(AL23:AL23)</f>
      </c>
      <c r="AM25" s="23"/>
    </row>
    <row r="27" ht="13.5" customHeight="1" spans="2:39" x14ac:dyDescent="0.25">
      <c r="B27" s="46"/>
      <c r="C27" s="28"/>
      <c r="D27" s="47" t="s">
        <v>44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1088</v>
      </c>
      <c r="D28" s="50" t="s">
        <v>44</v>
      </c>
      <c r="E28" s="32" t="s">
        <v>3</v>
      </c>
      <c r="F28" s="32" t="s">
        <v>1079</v>
      </c>
      <c r="G28" s="32"/>
      <c r="H28" s="32"/>
      <c r="I28" s="32"/>
      <c r="J28" s="33">
        <v>2118.8</v>
      </c>
      <c r="K28" s="32"/>
      <c r="L28" s="33">
        <v>2104.48</v>
      </c>
      <c r="M28" s="32"/>
      <c r="N28" s="33">
        <v>2102.76</v>
      </c>
      <c r="O28" s="32"/>
      <c r="P28" s="33">
        <v>2060</v>
      </c>
      <c r="Q28" s="32"/>
      <c r="R28" s="33">
        <v>2107.18</v>
      </c>
      <c r="S28" s="32"/>
      <c r="T28" s="33">
        <v>2382.03</v>
      </c>
      <c r="U28" s="32"/>
      <c r="V28" s="33">
        <v>2524.89</v>
      </c>
      <c r="W28" s="32"/>
      <c r="X28" s="33">
        <v>2472</v>
      </c>
      <c r="Y28" s="32"/>
      <c r="Z28" s="33">
        <v>2531.54</v>
      </c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90</v>
      </c>
      <c r="E30" s="21"/>
      <c r="F30" s="21"/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2">
        <f>SUM(AK28:AK28)</f>
      </c>
      <c r="AL30" s="22">
        <f>SUM(AL28:AL28)</f>
      </c>
      <c r="AM30" s="23"/>
    </row>
    <row r="33" ht="12.75" customHeight="1" spans="2:39" x14ac:dyDescent="0.25">
      <c r="B33" s="11" t="s">
        <v>40</v>
      </c>
      <c r="C33" s="12"/>
      <c r="D33" s="12"/>
      <c r="E33" s="12"/>
      <c r="F33" s="12"/>
      <c r="G33" s="52" t="s">
        <v>7</v>
      </c>
      <c r="H33" s="52" t="s">
        <v>8</v>
      </c>
      <c r="I33" s="52" t="s">
        <v>9</v>
      </c>
      <c r="J33" s="52" t="s">
        <v>10</v>
      </c>
      <c r="K33" s="52" t="s">
        <v>11</v>
      </c>
      <c r="L33" s="52" t="s">
        <v>12</v>
      </c>
      <c r="M33" s="52" t="s">
        <v>13</v>
      </c>
      <c r="N33" s="52" t="s">
        <v>14</v>
      </c>
      <c r="O33" s="52" t="s">
        <v>15</v>
      </c>
      <c r="P33" s="52" t="s">
        <v>16</v>
      </c>
      <c r="Q33" s="52" t="s">
        <v>17</v>
      </c>
      <c r="R33" s="52" t="s">
        <v>18</v>
      </c>
      <c r="S33" s="52" t="s">
        <v>19</v>
      </c>
      <c r="T33" s="52" t="s">
        <v>20</v>
      </c>
      <c r="U33" s="52" t="s">
        <v>21</v>
      </c>
      <c r="V33" s="52" t="s">
        <v>22</v>
      </c>
      <c r="W33" s="52" t="s">
        <v>23</v>
      </c>
      <c r="X33" s="52" t="s">
        <v>24</v>
      </c>
      <c r="Y33" s="52" t="s">
        <v>25</v>
      </c>
      <c r="Z33" s="52" t="s">
        <v>26</v>
      </c>
      <c r="AA33" s="52" t="s">
        <v>27</v>
      </c>
      <c r="AB33" s="52" t="s">
        <v>28</v>
      </c>
      <c r="AC33" s="52" t="s">
        <v>29</v>
      </c>
      <c r="AD33" s="52" t="s">
        <v>30</v>
      </c>
      <c r="AE33" s="52" t="s">
        <v>31</v>
      </c>
      <c r="AF33" s="52" t="s">
        <v>32</v>
      </c>
      <c r="AG33" s="52" t="s">
        <v>33</v>
      </c>
      <c r="AH33" s="52" t="s">
        <v>34</v>
      </c>
      <c r="AI33" s="52" t="s">
        <v>35</v>
      </c>
      <c r="AJ33" s="52" t="s">
        <v>36</v>
      </c>
      <c r="AK33" s="52" t="s">
        <v>37</v>
      </c>
      <c r="AL33" s="52" t="s">
        <v>38</v>
      </c>
      <c r="AM33" s="15"/>
    </row>
    <row r="34" ht="12.75" customHeight="1" spans="2:39" x14ac:dyDescent="0.25">
      <c r="B34" s="16"/>
      <c r="C34" s="17"/>
      <c r="D34" s="17" t="s">
        <v>41</v>
      </c>
      <c r="E34" s="17"/>
      <c r="F34" s="17"/>
      <c r="G34" s="18">
        <f>G11</f>
      </c>
      <c r="H34" s="18">
        <f>H11</f>
      </c>
      <c r="I34" s="18">
        <f>I11</f>
      </c>
      <c r="J34" s="18">
        <f>J11</f>
      </c>
      <c r="K34" s="18">
        <f>K11</f>
      </c>
      <c r="L34" s="18">
        <f>L11</f>
      </c>
      <c r="M34" s="18">
        <f>M11</f>
      </c>
      <c r="N34" s="18">
        <f>N11</f>
      </c>
      <c r="O34" s="18">
        <f>O11</f>
      </c>
      <c r="P34" s="18">
        <f>P11</f>
      </c>
      <c r="Q34" s="18">
        <f>Q11</f>
      </c>
      <c r="R34" s="18">
        <f>R11</f>
      </c>
      <c r="S34" s="18">
        <f>S11</f>
      </c>
      <c r="T34" s="18">
        <f>T11</f>
      </c>
      <c r="U34" s="18">
        <f>U11</f>
      </c>
      <c r="V34" s="18">
        <f>V11</f>
      </c>
      <c r="W34" s="18">
        <f>W11</f>
      </c>
      <c r="X34" s="18">
        <f>X11</f>
      </c>
      <c r="Y34" s="18">
        <f>Y11</f>
      </c>
      <c r="Z34" s="18">
        <f>Z11</f>
      </c>
      <c r="AA34" s="18">
        <f>AA11</f>
      </c>
      <c r="AB34" s="18">
        <f>AB11</f>
      </c>
      <c r="AC34" s="18">
        <f>AC11</f>
      </c>
      <c r="AD34" s="18">
        <f>AD11</f>
      </c>
      <c r="AE34" s="18">
        <f>AE11</f>
      </c>
      <c r="AF34" s="18">
        <f>AF11</f>
      </c>
      <c r="AG34" s="18">
        <f>AG11</f>
      </c>
      <c r="AH34" s="18">
        <f>AH11</f>
      </c>
      <c r="AI34" s="18">
        <f>AI11</f>
      </c>
      <c r="AJ34" s="18">
        <f>AJ11</f>
      </c>
      <c r="AK34" s="18">
        <f>AK11</f>
      </c>
      <c r="AL34" s="18">
        <f>AL11</f>
      </c>
      <c r="AM34" s="19"/>
    </row>
    <row r="35" ht="12.75" customHeight="1" spans="2:39" x14ac:dyDescent="0.25">
      <c r="B35" s="16"/>
      <c r="C35" s="17"/>
      <c r="D35" s="17" t="s">
        <v>42</v>
      </c>
      <c r="E35" s="17"/>
      <c r="F35" s="17"/>
      <c r="G35" s="18">
        <f>G20</f>
      </c>
      <c r="H35" s="18">
        <f>H20</f>
      </c>
      <c r="I35" s="18">
        <f>I20</f>
      </c>
      <c r="J35" s="18">
        <f>J20</f>
      </c>
      <c r="K35" s="18">
        <f>K20</f>
      </c>
      <c r="L35" s="18">
        <f>L20</f>
      </c>
      <c r="M35" s="18">
        <f>M20</f>
      </c>
      <c r="N35" s="18">
        <f>N20</f>
      </c>
      <c r="O35" s="18">
        <f>O20</f>
      </c>
      <c r="P35" s="18">
        <f>P20</f>
      </c>
      <c r="Q35" s="18">
        <f>Q20</f>
      </c>
      <c r="R35" s="18">
        <f>R20</f>
      </c>
      <c r="S35" s="18">
        <f>S20</f>
      </c>
      <c r="T35" s="18">
        <f>T20</f>
      </c>
      <c r="U35" s="18">
        <f>U20</f>
      </c>
      <c r="V35" s="18">
        <f>V20</f>
      </c>
      <c r="W35" s="18">
        <f>W20</f>
      </c>
      <c r="X35" s="18">
        <f>X20</f>
      </c>
      <c r="Y35" s="18">
        <f>Y20</f>
      </c>
      <c r="Z35" s="18">
        <f>Z20</f>
      </c>
      <c r="AA35" s="18">
        <f>AA20</f>
      </c>
      <c r="AB35" s="18">
        <f>AB20</f>
      </c>
      <c r="AC35" s="18">
        <f>AC20</f>
      </c>
      <c r="AD35" s="18">
        <f>AD20</f>
      </c>
      <c r="AE35" s="18">
        <f>AE20</f>
      </c>
      <c r="AF35" s="18">
        <f>AF20</f>
      </c>
      <c r="AG35" s="18">
        <f>AG20</f>
      </c>
      <c r="AH35" s="18">
        <f>AH20</f>
      </c>
      <c r="AI35" s="18">
        <f>AI20</f>
      </c>
      <c r="AJ35" s="18">
        <f>AJ20</f>
      </c>
      <c r="AK35" s="18">
        <f>AK20</f>
      </c>
      <c r="AL35" s="18">
        <f>AL20</f>
      </c>
      <c r="AM35" s="19"/>
    </row>
    <row r="36" ht="12.75" customHeight="1" spans="2:39" x14ac:dyDescent="0.25">
      <c r="B36" s="16"/>
      <c r="C36" s="17"/>
      <c r="D36" s="17" t="s">
        <v>43</v>
      </c>
      <c r="E36" s="17"/>
      <c r="F36" s="17"/>
      <c r="G36" s="18">
        <f>G25</f>
      </c>
      <c r="H36" s="18">
        <f>H25</f>
      </c>
      <c r="I36" s="18">
        <f>I25</f>
      </c>
      <c r="J36" s="18">
        <f>J25</f>
      </c>
      <c r="K36" s="18">
        <f>K25</f>
      </c>
      <c r="L36" s="18">
        <f>L25</f>
      </c>
      <c r="M36" s="18">
        <f>M25</f>
      </c>
      <c r="N36" s="18">
        <f>N25</f>
      </c>
      <c r="O36" s="18">
        <f>O25</f>
      </c>
      <c r="P36" s="18">
        <f>P25</f>
      </c>
      <c r="Q36" s="18">
        <f>Q25</f>
      </c>
      <c r="R36" s="18">
        <f>R25</f>
      </c>
      <c r="S36" s="18">
        <f>S25</f>
      </c>
      <c r="T36" s="18">
        <f>T25</f>
      </c>
      <c r="U36" s="18">
        <f>U25</f>
      </c>
      <c r="V36" s="18">
        <f>V25</f>
      </c>
      <c r="W36" s="18">
        <f>W25</f>
      </c>
      <c r="X36" s="18">
        <f>X25</f>
      </c>
      <c r="Y36" s="18">
        <f>Y25</f>
      </c>
      <c r="Z36" s="18">
        <f>Z25</f>
      </c>
      <c r="AA36" s="18">
        <f>AA25</f>
      </c>
      <c r="AB36" s="18">
        <f>AB25</f>
      </c>
      <c r="AC36" s="18">
        <f>AC25</f>
      </c>
      <c r="AD36" s="18">
        <f>AD25</f>
      </c>
      <c r="AE36" s="18">
        <f>AE25</f>
      </c>
      <c r="AF36" s="18">
        <f>AF25</f>
      </c>
      <c r="AG36" s="18">
        <f>AG25</f>
      </c>
      <c r="AH36" s="18">
        <f>AH25</f>
      </c>
      <c r="AI36" s="18">
        <f>AI25</f>
      </c>
      <c r="AJ36" s="18">
        <f>AJ25</f>
      </c>
      <c r="AK36" s="18">
        <f>AK25</f>
      </c>
      <c r="AL36" s="18">
        <f>AL25</f>
      </c>
      <c r="AM36" s="19"/>
    </row>
    <row r="37" ht="12.75" customHeight="1" spans="2:39" x14ac:dyDescent="0.25">
      <c r="B37" s="16"/>
      <c r="C37" s="17"/>
      <c r="D37" s="17" t="s">
        <v>44</v>
      </c>
      <c r="E37" s="17"/>
      <c r="F37" s="17"/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8">
        <f>AK30</f>
      </c>
      <c r="AL37" s="18">
        <f>AL30</f>
      </c>
      <c r="AM37" s="19"/>
    </row>
    <row r="38" ht="12.75" customHeight="1" spans="2:39" x14ac:dyDescent="0.25">
      <c r="B38" s="20"/>
      <c r="C38" s="21"/>
      <c r="D38" s="21" t="s">
        <v>45</v>
      </c>
      <c r="E38" s="21"/>
      <c r="F38" s="21"/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2">
        <f>AK34+AK35+AK36+AK37</f>
      </c>
      <c r="AL38" s="22">
        <f>AL34+AL35+AL36+AL37</f>
      </c>
      <c r="AM38" s="23"/>
    </row>
    <row r="40" ht="12.75" customHeight="1" spans="2:39" x14ac:dyDescent="0.25">
      <c r="B40" s="11" t="s">
        <v>46</v>
      </c>
      <c r="C40" s="12"/>
      <c r="D40" s="12"/>
      <c r="E40" s="12"/>
      <c r="F40" s="12"/>
      <c r="G40" s="52" t="s">
        <v>7</v>
      </c>
      <c r="H40" s="52" t="s">
        <v>8</v>
      </c>
      <c r="I40" s="52" t="s">
        <v>9</v>
      </c>
      <c r="J40" s="52" t="s">
        <v>10</v>
      </c>
      <c r="K40" s="52" t="s">
        <v>11</v>
      </c>
      <c r="L40" s="52" t="s">
        <v>12</v>
      </c>
      <c r="M40" s="52" t="s">
        <v>13</v>
      </c>
      <c r="N40" s="52" t="s">
        <v>14</v>
      </c>
      <c r="O40" s="52" t="s">
        <v>15</v>
      </c>
      <c r="P40" s="52" t="s">
        <v>16</v>
      </c>
      <c r="Q40" s="52" t="s">
        <v>17</v>
      </c>
      <c r="R40" s="52" t="s">
        <v>18</v>
      </c>
      <c r="S40" s="52" t="s">
        <v>19</v>
      </c>
      <c r="T40" s="52" t="s">
        <v>20</v>
      </c>
      <c r="U40" s="52" t="s">
        <v>21</v>
      </c>
      <c r="V40" s="52" t="s">
        <v>22</v>
      </c>
      <c r="W40" s="52" t="s">
        <v>23</v>
      </c>
      <c r="X40" s="52" t="s">
        <v>24</v>
      </c>
      <c r="Y40" s="52" t="s">
        <v>25</v>
      </c>
      <c r="Z40" s="52" t="s">
        <v>26</v>
      </c>
      <c r="AA40" s="52" t="s">
        <v>27</v>
      </c>
      <c r="AB40" s="52" t="s">
        <v>28</v>
      </c>
      <c r="AC40" s="52" t="s">
        <v>29</v>
      </c>
      <c r="AD40" s="52" t="s">
        <v>30</v>
      </c>
      <c r="AE40" s="52" t="s">
        <v>31</v>
      </c>
      <c r="AF40" s="52" t="s">
        <v>32</v>
      </c>
      <c r="AG40" s="52" t="s">
        <v>33</v>
      </c>
      <c r="AH40" s="52" t="s">
        <v>34</v>
      </c>
      <c r="AI40" s="52" t="s">
        <v>35</v>
      </c>
      <c r="AJ40" s="52" t="s">
        <v>36</v>
      </c>
      <c r="AK40" s="52" t="s">
        <v>37</v>
      </c>
      <c r="AL40" s="52" t="s">
        <v>38</v>
      </c>
      <c r="AM40" s="15"/>
    </row>
    <row r="41" ht="12.75" customHeight="1" spans="2:39" x14ac:dyDescent="0.25">
      <c r="B41" s="16"/>
      <c r="C41" s="17"/>
      <c r="D41" s="17" t="s">
        <v>41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42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43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44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20"/>
      <c r="C45" s="21"/>
      <c r="D45" s="21" t="s">
        <v>45</v>
      </c>
      <c r="E45" s="21"/>
      <c r="F45" s="21"/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2">
        <f>AK41+AK42+AK43+AK44</f>
      </c>
      <c r="AL45" s="22">
        <f>AL41+AL42+AL43+AL44</f>
      </c>
      <c r="AM45" s="23"/>
    </row>
    <row r="47" ht="12.75" customHeight="1" spans="2:39" x14ac:dyDescent="0.25">
      <c r="B47" s="11" t="s">
        <v>47</v>
      </c>
      <c r="C47" s="12"/>
      <c r="D47" s="12"/>
      <c r="E47" s="12"/>
      <c r="F47" s="12"/>
      <c r="G47" s="52" t="s">
        <v>7</v>
      </c>
      <c r="H47" s="52" t="s">
        <v>8</v>
      </c>
      <c r="I47" s="52" t="s">
        <v>9</v>
      </c>
      <c r="J47" s="52" t="s">
        <v>10</v>
      </c>
      <c r="K47" s="52" t="s">
        <v>11</v>
      </c>
      <c r="L47" s="52" t="s">
        <v>12</v>
      </c>
      <c r="M47" s="52" t="s">
        <v>13</v>
      </c>
      <c r="N47" s="52" t="s">
        <v>14</v>
      </c>
      <c r="O47" s="52" t="s">
        <v>15</v>
      </c>
      <c r="P47" s="52" t="s">
        <v>16</v>
      </c>
      <c r="Q47" s="52" t="s">
        <v>17</v>
      </c>
      <c r="R47" s="52" t="s">
        <v>18</v>
      </c>
      <c r="S47" s="52" t="s">
        <v>19</v>
      </c>
      <c r="T47" s="52" t="s">
        <v>20</v>
      </c>
      <c r="U47" s="52" t="s">
        <v>21</v>
      </c>
      <c r="V47" s="52" t="s">
        <v>22</v>
      </c>
      <c r="W47" s="52" t="s">
        <v>23</v>
      </c>
      <c r="X47" s="52" t="s">
        <v>24</v>
      </c>
      <c r="Y47" s="52" t="s">
        <v>25</v>
      </c>
      <c r="Z47" s="52" t="s">
        <v>26</v>
      </c>
      <c r="AA47" s="52" t="s">
        <v>27</v>
      </c>
      <c r="AB47" s="52" t="s">
        <v>28</v>
      </c>
      <c r="AC47" s="52" t="s">
        <v>29</v>
      </c>
      <c r="AD47" s="52" t="s">
        <v>30</v>
      </c>
      <c r="AE47" s="52" t="s">
        <v>31</v>
      </c>
      <c r="AF47" s="52" t="s">
        <v>32</v>
      </c>
      <c r="AG47" s="52" t="s">
        <v>33</v>
      </c>
      <c r="AH47" s="52" t="s">
        <v>34</v>
      </c>
      <c r="AI47" s="52" t="s">
        <v>35</v>
      </c>
      <c r="AJ47" s="52" t="s">
        <v>36</v>
      </c>
      <c r="AK47" s="52" t="s">
        <v>37</v>
      </c>
      <c r="AL47" s="52" t="s">
        <v>38</v>
      </c>
      <c r="AM47" s="15"/>
    </row>
    <row r="48" ht="12.75" customHeight="1" spans="2:39" x14ac:dyDescent="0.25">
      <c r="B48" s="16"/>
      <c r="C48" s="17"/>
      <c r="D48" s="17" t="s">
        <v>41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42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43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44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20"/>
      <c r="C52" s="21"/>
      <c r="D52" s="21" t="s">
        <v>45</v>
      </c>
      <c r="E52" s="21"/>
      <c r="F52" s="21"/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5">
        <f>AK48+AK49+AK50+AK51</f>
      </c>
      <c r="AL52" s="25">
        <f>AL48+AL49+AL50+AL51</f>
      </c>
      <c r="AM5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1107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1108</v>
      </c>
      <c r="E13" s="32"/>
      <c r="F13" s="32"/>
      <c r="G13" s="32"/>
      <c r="H13" s="33">
        <v>18.27</v>
      </c>
      <c r="I13" s="33">
        <v>18.27</v>
      </c>
      <c r="J13" s="33">
        <v>18.27</v>
      </c>
      <c r="K13" s="33">
        <v>18.27</v>
      </c>
      <c r="L13" s="33">
        <v>18.27</v>
      </c>
      <c r="M13" s="33">
        <v>18.27</v>
      </c>
      <c r="N13" s="33">
        <v>18.27</v>
      </c>
      <c r="O13" s="33">
        <v>18.27</v>
      </c>
      <c r="P13" s="33">
        <v>18.27</v>
      </c>
      <c r="Q13" s="33">
        <v>18.27</v>
      </c>
      <c r="R13" s="33">
        <v>18.27</v>
      </c>
      <c r="S13" s="33">
        <v>18.27</v>
      </c>
      <c r="T13" s="33">
        <v>18.27</v>
      </c>
      <c r="U13" s="33">
        <v>18.27</v>
      </c>
      <c r="V13" s="33">
        <v>18.27</v>
      </c>
      <c r="W13" s="33">
        <v>18.27</v>
      </c>
      <c r="X13" s="32"/>
      <c r="Y13" s="33">
        <v>18.27</v>
      </c>
      <c r="Z13" s="33">
        <v>18.27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1109</v>
      </c>
      <c r="E14" s="32"/>
      <c r="F14" s="32"/>
      <c r="G14" s="32"/>
      <c r="H14" s="33">
        <v>1276.15</v>
      </c>
      <c r="I14" s="33">
        <v>1224.68</v>
      </c>
      <c r="J14" s="33">
        <v>1155.24</v>
      </c>
      <c r="K14" s="33">
        <v>964.78</v>
      </c>
      <c r="L14" s="33">
        <v>729.17</v>
      </c>
      <c r="M14" s="33">
        <v>734.2</v>
      </c>
      <c r="N14" s="33">
        <v>754.56</v>
      </c>
      <c r="O14" s="33">
        <v>723.5</v>
      </c>
      <c r="P14" s="33">
        <v>679.95</v>
      </c>
      <c r="Q14" s="33">
        <v>853.04</v>
      </c>
      <c r="R14" s="33">
        <v>778.97</v>
      </c>
      <c r="S14" s="33">
        <v>1200.93</v>
      </c>
      <c r="T14" s="33">
        <v>1039.93</v>
      </c>
      <c r="U14" s="33">
        <v>660.63</v>
      </c>
      <c r="V14" s="33">
        <v>1046.83</v>
      </c>
      <c r="W14" s="33">
        <v>846.7</v>
      </c>
      <c r="X14" s="32"/>
      <c r="Y14" s="33">
        <v>695.51</v>
      </c>
      <c r="Z14" s="33">
        <v>713.86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1110</v>
      </c>
      <c r="E15" s="32"/>
      <c r="F15" s="32"/>
      <c r="G15" s="32"/>
      <c r="H15" s="33">
        <v>23.55</v>
      </c>
      <c r="I15" s="33">
        <v>22.66</v>
      </c>
      <c r="J15" s="33">
        <v>22.07</v>
      </c>
      <c r="K15" s="33">
        <v>22.37</v>
      </c>
      <c r="L15" s="33">
        <v>22.06</v>
      </c>
      <c r="M15" s="33">
        <v>21.91</v>
      </c>
      <c r="N15" s="33">
        <v>22.06</v>
      </c>
      <c r="O15" s="33">
        <v>21.25</v>
      </c>
      <c r="P15" s="33">
        <v>19.88</v>
      </c>
      <c r="Q15" s="33">
        <v>20.76</v>
      </c>
      <c r="R15" s="33">
        <v>21.06</v>
      </c>
      <c r="S15" s="33">
        <v>21.92</v>
      </c>
      <c r="T15" s="33">
        <v>22.94</v>
      </c>
      <c r="U15" s="33">
        <v>21.2</v>
      </c>
      <c r="V15" s="33">
        <v>21.78</v>
      </c>
      <c r="W15" s="33">
        <v>21.46</v>
      </c>
      <c r="X15" s="32"/>
      <c r="Y15" s="33">
        <v>21</v>
      </c>
      <c r="Z15" s="33">
        <v>22.68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1111</v>
      </c>
      <c r="E16" s="32"/>
      <c r="F16" s="32"/>
      <c r="G16" s="32"/>
      <c r="H16" s="33">
        <v>104.51</v>
      </c>
      <c r="I16" s="33">
        <v>110.65</v>
      </c>
      <c r="J16" s="33">
        <v>105.38</v>
      </c>
      <c r="K16" s="33">
        <v>114.59</v>
      </c>
      <c r="L16" s="33">
        <v>179.97</v>
      </c>
      <c r="M16" s="33">
        <v>234.62</v>
      </c>
      <c r="N16" s="33">
        <v>253.56</v>
      </c>
      <c r="O16" s="33">
        <v>271.96</v>
      </c>
      <c r="P16" s="33">
        <v>239.49</v>
      </c>
      <c r="Q16" s="33">
        <v>235.53</v>
      </c>
      <c r="R16" s="33">
        <v>167.01</v>
      </c>
      <c r="S16" s="33">
        <v>114.31</v>
      </c>
      <c r="T16" s="33">
        <v>102.45</v>
      </c>
      <c r="U16" s="33">
        <v>148.56</v>
      </c>
      <c r="V16" s="33">
        <v>126.17</v>
      </c>
      <c r="W16" s="33">
        <v>216.4</v>
      </c>
      <c r="X16" s="32"/>
      <c r="Y16" s="33">
        <v>253.79</v>
      </c>
      <c r="Z16" s="33">
        <v>319.14</v>
      </c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1112</v>
      </c>
      <c r="E17" s="32"/>
      <c r="F17" s="32"/>
      <c r="G17" s="32"/>
      <c r="H17" s="33">
        <v>325.71</v>
      </c>
      <c r="I17" s="33">
        <v>374.9</v>
      </c>
      <c r="J17" s="33">
        <v>322.92</v>
      </c>
      <c r="K17" s="33">
        <v>313.12</v>
      </c>
      <c r="L17" s="33">
        <v>354.62</v>
      </c>
      <c r="M17" s="33">
        <v>263.99</v>
      </c>
      <c r="N17" s="33">
        <v>232.18</v>
      </c>
      <c r="O17" s="33">
        <v>309.58</v>
      </c>
      <c r="P17" s="33">
        <v>323.91</v>
      </c>
      <c r="Q17" s="33">
        <v>364.81</v>
      </c>
      <c r="R17" s="33">
        <v>318.54</v>
      </c>
      <c r="S17" s="33">
        <v>318.84</v>
      </c>
      <c r="T17" s="33">
        <v>305.36</v>
      </c>
      <c r="U17" s="33">
        <v>384.87</v>
      </c>
      <c r="V17" s="33">
        <v>279.88</v>
      </c>
      <c r="W17" s="33">
        <v>391.62</v>
      </c>
      <c r="X17" s="32"/>
      <c r="Y17" s="33">
        <v>409.55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1113</v>
      </c>
      <c r="E18" s="32"/>
      <c r="F18" s="32"/>
      <c r="G18" s="32"/>
      <c r="H18" s="36">
        <f>200.36+207.35</f>
        <v>407.71000000000004</v>
      </c>
      <c r="I18" s="36">
        <f>224.08+200.31</f>
        <v>424.39</v>
      </c>
      <c r="J18" s="36">
        <f>200.40+191.93</f>
        <v>392.33000000000004</v>
      </c>
      <c r="K18" s="36">
        <f>238.08+165.96</f>
        <v>404.04</v>
      </c>
      <c r="L18" s="36">
        <f>383.48+162.23</f>
        <v>545.71</v>
      </c>
      <c r="M18" s="36">
        <f>162.23+444.23</f>
        <v>606.46</v>
      </c>
      <c r="N18" s="36">
        <f>283.62+162.23</f>
        <v>445.85</v>
      </c>
      <c r="O18" s="36">
        <f>167.32+252.30</f>
        <v>419.62</v>
      </c>
      <c r="P18" s="36">
        <f>162.23+274.69</f>
        <v>436.91999999999996</v>
      </c>
      <c r="Q18" s="36">
        <f>231.94+165.96</f>
        <v>397.9</v>
      </c>
      <c r="R18" s="36">
        <f>218.94+200.32</f>
        <v>419.26</v>
      </c>
      <c r="S18" s="36">
        <f>243.35+165.96</f>
        <v>409.31</v>
      </c>
      <c r="T18" s="36">
        <f>194.60+165.96</f>
        <v>360.56</v>
      </c>
      <c r="U18" s="36">
        <f>165.96+225.93</f>
        <v>391.89</v>
      </c>
      <c r="V18" s="36">
        <f>218.18+165.96</f>
        <v>384.14</v>
      </c>
      <c r="W18" s="36">
        <f>167.88+266.26</f>
        <v>434.14</v>
      </c>
      <c r="X18" s="32"/>
      <c r="Y18" s="36">
        <f>167.88+349.68</f>
        <v>517.56</v>
      </c>
      <c r="Z18" s="36">
        <f>202.17+251.11</f>
        <v>453.28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1114</v>
      </c>
      <c r="E19" s="32"/>
      <c r="F19" s="32"/>
      <c r="G19" s="32"/>
      <c r="H19" s="33">
        <v>93.22</v>
      </c>
      <c r="I19" s="33">
        <v>93.38</v>
      </c>
      <c r="J19" s="33">
        <v>71.27</v>
      </c>
      <c r="K19" s="33">
        <v>46.81</v>
      </c>
      <c r="L19" s="33">
        <v>39.65</v>
      </c>
      <c r="M19" s="33">
        <v>38.29</v>
      </c>
      <c r="N19" s="33">
        <v>39.51</v>
      </c>
      <c r="O19" s="33">
        <v>43.69</v>
      </c>
      <c r="P19" s="33">
        <v>47.36</v>
      </c>
      <c r="Q19" s="33">
        <v>63.65</v>
      </c>
      <c r="R19" s="33">
        <v>62.91</v>
      </c>
      <c r="S19" s="33">
        <v>46.24</v>
      </c>
      <c r="T19" s="33">
        <v>47.84</v>
      </c>
      <c r="U19" s="33">
        <v>53.25</v>
      </c>
      <c r="V19" s="33">
        <v>46.24</v>
      </c>
      <c r="W19" s="33">
        <v>49.87</v>
      </c>
      <c r="X19" s="32"/>
      <c r="Y19" s="33">
        <v>52</v>
      </c>
      <c r="Z19" s="33">
        <v>66.75</v>
      </c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1115</v>
      </c>
      <c r="E20" s="32"/>
      <c r="F20" s="32"/>
      <c r="G20" s="32"/>
      <c r="H20" s="36">
        <f>177.15+287.46</f>
        <v>464.61</v>
      </c>
      <c r="I20" s="36">
        <f>177.15+287.61</f>
        <v>464.76</v>
      </c>
      <c r="J20" s="36">
        <f>244.58+213.59</f>
        <v>458.17</v>
      </c>
      <c r="K20" s="36">
        <f>283.52+177.15</f>
        <v>460.66999999999996</v>
      </c>
      <c r="L20" s="36">
        <f>283.70+171.15</f>
        <v>454.85</v>
      </c>
      <c r="M20" s="36">
        <f>171.15+292.90</f>
        <v>464.04999999999995</v>
      </c>
      <c r="N20" s="36">
        <f>317.25+171.15</f>
        <v>488.4</v>
      </c>
      <c r="O20" s="36">
        <f>171.15+345.00</f>
        <v>516.15</v>
      </c>
      <c r="P20" s="36">
        <f>171.15+334.85</f>
        <v>506</v>
      </c>
      <c r="Q20" s="36">
        <f>177.15+386.58</f>
        <v>563.73</v>
      </c>
      <c r="R20" s="36">
        <f>177.15+286.44</f>
        <v>463.59000000000003</v>
      </c>
      <c r="S20" s="36">
        <f>177.15+261.12</f>
        <v>438.27</v>
      </c>
      <c r="T20" s="36">
        <f>177.15+225.39</f>
        <v>402.53999999999996</v>
      </c>
      <c r="U20" s="36">
        <f>177.15+302.25</f>
        <v>479.4</v>
      </c>
      <c r="V20" s="36">
        <f>177.15+259.50</f>
        <v>436.65</v>
      </c>
      <c r="W20" s="36">
        <f>292.20+180.23</f>
        <v>472.42999999999995</v>
      </c>
      <c r="X20" s="32"/>
      <c r="Y20" s="36">
        <f>305.57+180.23</f>
        <v>485.79999999999995</v>
      </c>
      <c r="Z20" s="36">
        <f>217.23+131.65</f>
        <v>348.88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1116</v>
      </c>
      <c r="E21" s="32"/>
      <c r="F21" s="32"/>
      <c r="G21" s="32"/>
      <c r="H21" s="33">
        <v>58.52</v>
      </c>
      <c r="I21" s="33">
        <v>69.81</v>
      </c>
      <c r="J21" s="33">
        <v>70.23</v>
      </c>
      <c r="K21" s="33">
        <v>57.21</v>
      </c>
      <c r="L21" s="33">
        <v>43.44</v>
      </c>
      <c r="M21" s="33">
        <v>24.22</v>
      </c>
      <c r="N21" s="33">
        <v>65.5</v>
      </c>
      <c r="O21" s="33">
        <v>97.14</v>
      </c>
      <c r="P21" s="33">
        <v>72.93</v>
      </c>
      <c r="Q21" s="33">
        <v>91.02</v>
      </c>
      <c r="R21" s="33">
        <v>58.82</v>
      </c>
      <c r="S21" s="33">
        <v>55.61</v>
      </c>
      <c r="T21" s="33">
        <v>61.46</v>
      </c>
      <c r="U21" s="33">
        <v>75.8</v>
      </c>
      <c r="V21" s="33">
        <v>77.41</v>
      </c>
      <c r="W21" s="33">
        <v>65.98</v>
      </c>
      <c r="X21" s="32"/>
      <c r="Y21" s="33">
        <v>77.68</v>
      </c>
      <c r="Z21" s="33">
        <v>61.73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1117</v>
      </c>
      <c r="E22" s="32"/>
      <c r="F22" s="32"/>
      <c r="G22" s="32"/>
      <c r="H22" s="33">
        <v>35.7</v>
      </c>
      <c r="I22" s="33">
        <v>40.97</v>
      </c>
      <c r="J22" s="33">
        <v>32.18</v>
      </c>
      <c r="K22" s="33">
        <v>21.48</v>
      </c>
      <c r="L22" s="33">
        <v>20.44</v>
      </c>
      <c r="M22" s="33">
        <v>20.31</v>
      </c>
      <c r="N22" s="33">
        <v>20.44</v>
      </c>
      <c r="O22" s="33">
        <v>20.44</v>
      </c>
      <c r="P22" s="33">
        <v>21.25</v>
      </c>
      <c r="Q22" s="33">
        <v>21.92</v>
      </c>
      <c r="R22" s="33">
        <v>21.34</v>
      </c>
      <c r="S22" s="33">
        <v>21.64</v>
      </c>
      <c r="T22" s="33">
        <v>22.22</v>
      </c>
      <c r="U22" s="33">
        <v>21.92</v>
      </c>
      <c r="V22" s="33">
        <v>21.48</v>
      </c>
      <c r="W22" s="33">
        <v>21.61</v>
      </c>
      <c r="X22" s="32"/>
      <c r="Y22" s="33">
        <v>21.31</v>
      </c>
      <c r="Z22" s="33">
        <v>21.31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1118</v>
      </c>
      <c r="E23" s="32"/>
      <c r="F23" s="32"/>
      <c r="G23" s="32"/>
      <c r="H23" s="33">
        <v>41.84</v>
      </c>
      <c r="I23" s="33">
        <v>44.76</v>
      </c>
      <c r="J23" s="33">
        <v>41.54</v>
      </c>
      <c r="K23" s="33">
        <v>33.35</v>
      </c>
      <c r="L23" s="33">
        <v>20.71</v>
      </c>
      <c r="M23" s="33">
        <v>20.56</v>
      </c>
      <c r="N23" s="33">
        <v>20.56</v>
      </c>
      <c r="O23" s="33">
        <v>20.97</v>
      </c>
      <c r="P23" s="33">
        <v>20.84</v>
      </c>
      <c r="Q23" s="33">
        <v>21.48</v>
      </c>
      <c r="R23" s="33">
        <v>21.34</v>
      </c>
      <c r="S23" s="33">
        <v>21.48</v>
      </c>
      <c r="T23" s="33">
        <v>22.07</v>
      </c>
      <c r="U23" s="33">
        <v>21.78</v>
      </c>
      <c r="V23" s="33">
        <v>21.34</v>
      </c>
      <c r="W23" s="33">
        <v>21.46</v>
      </c>
      <c r="X23" s="32"/>
      <c r="Y23" s="33">
        <v>21.17</v>
      </c>
      <c r="Z23" s="33">
        <v>21.17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1119</v>
      </c>
      <c r="E24" s="32"/>
      <c r="F24" s="32"/>
      <c r="G24" s="32"/>
      <c r="H24" s="33">
        <v>38.77</v>
      </c>
      <c r="I24" s="33">
        <v>40.83</v>
      </c>
      <c r="J24" s="33">
        <v>39.35</v>
      </c>
      <c r="K24" s="33">
        <v>37.6</v>
      </c>
      <c r="L24" s="33">
        <v>35.19</v>
      </c>
      <c r="M24" s="33">
        <v>77.8</v>
      </c>
      <c r="N24" s="33">
        <v>82.53</v>
      </c>
      <c r="O24" s="33">
        <v>80.78</v>
      </c>
      <c r="P24" s="33">
        <v>89.98</v>
      </c>
      <c r="Q24" s="33">
        <v>85.6</v>
      </c>
      <c r="R24" s="33">
        <v>81.96</v>
      </c>
      <c r="S24" s="33">
        <v>111.82</v>
      </c>
      <c r="T24" s="33">
        <v>121.63</v>
      </c>
      <c r="U24" s="33">
        <v>120.16</v>
      </c>
      <c r="V24" s="33">
        <v>102.6</v>
      </c>
      <c r="W24" s="33">
        <v>96.37</v>
      </c>
      <c r="X24" s="32"/>
      <c r="Y24" s="33">
        <v>113.1</v>
      </c>
      <c r="Z24" s="33">
        <v>71.61</v>
      </c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1120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6">
        <f>0.00+36.55</f>
        <v>36.55</v>
      </c>
      <c r="S25" s="33">
        <v>27.32</v>
      </c>
      <c r="T25" s="33">
        <v>80.64</v>
      </c>
      <c r="U25" s="33">
        <v>109.48</v>
      </c>
      <c r="V25" s="33">
        <v>31.22</v>
      </c>
      <c r="W25" s="32"/>
      <c r="X25" s="33">
        <v>88.87</v>
      </c>
      <c r="Y25" s="33">
        <v>122.37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85</v>
      </c>
      <c r="C27" s="21"/>
      <c r="D27" s="21"/>
      <c r="E27" s="22">
        <f>SUM(E13:E25)</f>
      </c>
      <c r="F27" s="22">
        <f>SUM(F13:F25)</f>
      </c>
      <c r="G27" s="22">
        <f>SUM(G13:G25)</f>
      </c>
      <c r="H27" s="22">
        <f>SUM(H13:H25)</f>
      </c>
      <c r="I27" s="22">
        <f>SUM(I13:I25)</f>
      </c>
      <c r="J27" s="22">
        <f>SUM(J13:J25)</f>
      </c>
      <c r="K27" s="22">
        <f>SUM(K13:K25)</f>
      </c>
      <c r="L27" s="22">
        <f>SUM(L13:L25)</f>
      </c>
      <c r="M27" s="22">
        <f>SUM(M13:M25)</f>
      </c>
      <c r="N27" s="22">
        <f>SUM(N13:N25)</f>
      </c>
      <c r="O27" s="22">
        <f>SUM(O13:O25)</f>
      </c>
      <c r="P27" s="22">
        <f>SUM(P13:P25)</f>
      </c>
      <c r="Q27" s="22">
        <f>SUM(Q13:Q25)</f>
      </c>
      <c r="R27" s="22">
        <f>SUM(R13:R25)</f>
      </c>
      <c r="S27" s="22">
        <f>SUM(S13:S25)</f>
      </c>
      <c r="T27" s="22">
        <f>SUM(T13:T25)</f>
      </c>
      <c r="U27" s="22">
        <f>SUM(U13:U25)</f>
      </c>
      <c r="V27" s="22">
        <f>SUM(V13:V25)</f>
      </c>
      <c r="W27" s="22">
        <f>SUM(W13:W25)</f>
      </c>
      <c r="X27" s="22">
        <f>SUM(X13:X25)</f>
      </c>
      <c r="Y27" s="22">
        <f>SUM(Y13:Y25)</f>
      </c>
      <c r="Z27" s="22">
        <f>SUM(Z13:Z25)</f>
      </c>
      <c r="AA27" s="22">
        <f>SUM(AA13:AA25)</f>
      </c>
      <c r="AB27" s="22">
        <f>SUM(AB13:AB25)</f>
      </c>
      <c r="AC27" s="22">
        <f>SUM(AC13:AC25)</f>
      </c>
      <c r="AD27" s="22">
        <f>SUM(AD13:AD25)</f>
      </c>
      <c r="AE27" s="22">
        <f>SUM(AE13:AE25)</f>
      </c>
      <c r="AF27" s="22">
        <f>SUM(AF13:AF25)</f>
      </c>
      <c r="AG27" s="22">
        <f>SUM(AG13:AG25)</f>
      </c>
      <c r="AH27" s="22">
        <f>SUM(AH13:AH25)</f>
      </c>
      <c r="AI27" s="22">
        <f>SUM(AI13:AI25)</f>
      </c>
      <c r="AJ27" s="22">
        <f>SUM(AJ13:AJ25)</f>
      </c>
      <c r="AK27" s="23"/>
    </row>
    <row r="29" ht="12.75" customHeight="1" spans="2:37" x14ac:dyDescent="0.25">
      <c r="B29" s="26" t="s">
        <v>43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89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3"/>
    </row>
    <row r="33" ht="12.75" customHeight="1" spans="2:37" x14ac:dyDescent="0.25">
      <c r="B33" s="26" t="s">
        <v>44</v>
      </c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9"/>
    </row>
    <row r="34" ht="12.75" customHeight="1" spans="2:37" x14ac:dyDescent="0.25">
      <c r="B34" s="37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40"/>
    </row>
    <row r="35" ht="12.75" customHeight="1" spans="2:37" x14ac:dyDescent="0.25">
      <c r="B35" s="20" t="s">
        <v>90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3"/>
    </row>
    <row r="38" ht="12.75" customHeight="1" spans="2:37" x14ac:dyDescent="0.25">
      <c r="B38" s="11" t="s">
        <v>40</v>
      </c>
      <c r="C38" s="12"/>
      <c r="D38" s="13"/>
      <c r="E38" s="14" t="s">
        <v>7</v>
      </c>
      <c r="F38" s="14" t="s">
        <v>8</v>
      </c>
      <c r="G38" s="14" t="s">
        <v>9</v>
      </c>
      <c r="H38" s="14" t="s">
        <v>10</v>
      </c>
      <c r="I38" s="14" t="s">
        <v>11</v>
      </c>
      <c r="J38" s="14" t="s">
        <v>12</v>
      </c>
      <c r="K38" s="14" t="s">
        <v>13</v>
      </c>
      <c r="L38" s="14" t="s">
        <v>14</v>
      </c>
      <c r="M38" s="14" t="s">
        <v>15</v>
      </c>
      <c r="N38" s="14" t="s">
        <v>16</v>
      </c>
      <c r="O38" s="14" t="s">
        <v>17</v>
      </c>
      <c r="P38" s="14" t="s">
        <v>18</v>
      </c>
      <c r="Q38" s="14" t="s">
        <v>19</v>
      </c>
      <c r="R38" s="14" t="s">
        <v>20</v>
      </c>
      <c r="S38" s="14" t="s">
        <v>21</v>
      </c>
      <c r="T38" s="14" t="s">
        <v>22</v>
      </c>
      <c r="U38" s="14" t="s">
        <v>23</v>
      </c>
      <c r="V38" s="14" t="s">
        <v>24</v>
      </c>
      <c r="W38" s="14" t="s">
        <v>25</v>
      </c>
      <c r="X38" s="14" t="s">
        <v>26</v>
      </c>
      <c r="Y38" s="14" t="s">
        <v>27</v>
      </c>
      <c r="Z38" s="14" t="s">
        <v>28</v>
      </c>
      <c r="AA38" s="14" t="s">
        <v>29</v>
      </c>
      <c r="AB38" s="14" t="s">
        <v>30</v>
      </c>
      <c r="AC38" s="14" t="s">
        <v>31</v>
      </c>
      <c r="AD38" s="14" t="s">
        <v>32</v>
      </c>
      <c r="AE38" s="14" t="s">
        <v>33</v>
      </c>
      <c r="AF38" s="14" t="s">
        <v>34</v>
      </c>
      <c r="AG38" s="14" t="s">
        <v>35</v>
      </c>
      <c r="AH38" s="14" t="s">
        <v>36</v>
      </c>
      <c r="AI38" s="14" t="s">
        <v>37</v>
      </c>
      <c r="AJ38" s="14" t="s">
        <v>38</v>
      </c>
      <c r="AK38" s="15"/>
    </row>
    <row r="39" ht="12.75" customHeight="1" spans="2:37" x14ac:dyDescent="0.25">
      <c r="B39" s="16" t="s">
        <v>41</v>
      </c>
      <c r="C39" s="17"/>
      <c r="D39" s="17"/>
      <c r="E39" s="18">
        <f>E10</f>
      </c>
      <c r="F39" s="18">
        <f>F10</f>
      </c>
      <c r="G39" s="18">
        <f>G10</f>
      </c>
      <c r="H39" s="18">
        <f>H10</f>
      </c>
      <c r="I39" s="18">
        <f>I10</f>
      </c>
      <c r="J39" s="18">
        <f>J10</f>
      </c>
      <c r="K39" s="18">
        <f>K10</f>
      </c>
      <c r="L39" s="18">
        <f>L10</f>
      </c>
      <c r="M39" s="18">
        <f>M10</f>
      </c>
      <c r="N39" s="18">
        <f>N10</f>
      </c>
      <c r="O39" s="18">
        <f>O10</f>
      </c>
      <c r="P39" s="18">
        <f>P10</f>
      </c>
      <c r="Q39" s="18">
        <f>Q10</f>
      </c>
      <c r="R39" s="18">
        <f>R10</f>
      </c>
      <c r="S39" s="18">
        <f>S10</f>
      </c>
      <c r="T39" s="18">
        <f>T10</f>
      </c>
      <c r="U39" s="18">
        <f>U10</f>
      </c>
      <c r="V39" s="18">
        <f>V10</f>
      </c>
      <c r="W39" s="18">
        <f>W10</f>
      </c>
      <c r="X39" s="18">
        <f>X10</f>
      </c>
      <c r="Y39" s="18">
        <f>Y10</f>
      </c>
      <c r="Z39" s="18">
        <f>Z10</f>
      </c>
      <c r="AA39" s="18">
        <f>AA10</f>
      </c>
      <c r="AB39" s="18">
        <f>AB10</f>
      </c>
      <c r="AC39" s="18">
        <f>AC10</f>
      </c>
      <c r="AD39" s="18">
        <f>AD10</f>
      </c>
      <c r="AE39" s="18">
        <f>AE10</f>
      </c>
      <c r="AF39" s="18">
        <f>AF10</f>
      </c>
      <c r="AG39" s="18">
        <f>AG10</f>
      </c>
      <c r="AH39" s="18">
        <f>AH10</f>
      </c>
      <c r="AI39" s="18">
        <f>AI10</f>
      </c>
      <c r="AJ39" s="18">
        <f>AJ10</f>
      </c>
      <c r="AK39" s="19"/>
    </row>
    <row r="40" ht="12.75" customHeight="1" spans="2:37" x14ac:dyDescent="0.25">
      <c r="B40" s="16" t="s">
        <v>42</v>
      </c>
      <c r="C40" s="17"/>
      <c r="D40" s="17"/>
      <c r="E40" s="18">
        <f>E27</f>
      </c>
      <c r="F40" s="18">
        <f>F27</f>
      </c>
      <c r="G40" s="18">
        <f>G27</f>
      </c>
      <c r="H40" s="18">
        <f>H27</f>
      </c>
      <c r="I40" s="18">
        <f>I27</f>
      </c>
      <c r="J40" s="18">
        <f>J27</f>
      </c>
      <c r="K40" s="18">
        <f>K27</f>
      </c>
      <c r="L40" s="18">
        <f>L27</f>
      </c>
      <c r="M40" s="18">
        <f>M27</f>
      </c>
      <c r="N40" s="18">
        <f>N27</f>
      </c>
      <c r="O40" s="18">
        <f>O27</f>
      </c>
      <c r="P40" s="18">
        <f>P27</f>
      </c>
      <c r="Q40" s="18">
        <f>Q27</f>
      </c>
      <c r="R40" s="18">
        <f>R27</f>
      </c>
      <c r="S40" s="18">
        <f>S27</f>
      </c>
      <c r="T40" s="18">
        <f>T27</f>
      </c>
      <c r="U40" s="18">
        <f>U27</f>
      </c>
      <c r="V40" s="18">
        <f>V27</f>
      </c>
      <c r="W40" s="18">
        <f>W27</f>
      </c>
      <c r="X40" s="18">
        <f>X27</f>
      </c>
      <c r="Y40" s="18">
        <f>Y27</f>
      </c>
      <c r="Z40" s="18">
        <f>Z27</f>
      </c>
      <c r="AA40" s="18">
        <f>AA27</f>
      </c>
      <c r="AB40" s="18">
        <f>AB27</f>
      </c>
      <c r="AC40" s="18">
        <f>AC27</f>
      </c>
      <c r="AD40" s="18">
        <f>AD27</f>
      </c>
      <c r="AE40" s="18">
        <f>AE27</f>
      </c>
      <c r="AF40" s="18">
        <f>AF27</f>
      </c>
      <c r="AG40" s="18">
        <f>AG27</f>
      </c>
      <c r="AH40" s="18">
        <f>AH27</f>
      </c>
      <c r="AI40" s="18">
        <f>AI27</f>
      </c>
      <c r="AJ40" s="18">
        <f>AJ27</f>
      </c>
      <c r="AK40" s="19"/>
    </row>
    <row r="41" ht="12.75" customHeight="1" spans="2:37" x14ac:dyDescent="0.25">
      <c r="B41" s="16" t="s">
        <v>43</v>
      </c>
      <c r="C41" s="17"/>
      <c r="D41" s="17"/>
      <c r="E41" s="18">
        <f>E31</f>
      </c>
      <c r="F41" s="18">
        <f>F31</f>
      </c>
      <c r="G41" s="18">
        <f>G31</f>
      </c>
      <c r="H41" s="18">
        <f>H31</f>
      </c>
      <c r="I41" s="18">
        <f>I31</f>
      </c>
      <c r="J41" s="18">
        <f>J31</f>
      </c>
      <c r="K41" s="18">
        <f>K31</f>
      </c>
      <c r="L41" s="18">
        <f>L31</f>
      </c>
      <c r="M41" s="18">
        <f>M31</f>
      </c>
      <c r="N41" s="18">
        <f>N31</f>
      </c>
      <c r="O41" s="18">
        <f>O31</f>
      </c>
      <c r="P41" s="18">
        <f>P31</f>
      </c>
      <c r="Q41" s="18">
        <f>Q31</f>
      </c>
      <c r="R41" s="18">
        <f>R31</f>
      </c>
      <c r="S41" s="18">
        <f>S31</f>
      </c>
      <c r="T41" s="18">
        <f>T31</f>
      </c>
      <c r="U41" s="18">
        <f>U31</f>
      </c>
      <c r="V41" s="18">
        <f>V31</f>
      </c>
      <c r="W41" s="18">
        <f>W31</f>
      </c>
      <c r="X41" s="18">
        <f>X31</f>
      </c>
      <c r="Y41" s="18">
        <f>Y31</f>
      </c>
      <c r="Z41" s="18">
        <f>Z31</f>
      </c>
      <c r="AA41" s="18">
        <f>AA31</f>
      </c>
      <c r="AB41" s="18">
        <f>AB31</f>
      </c>
      <c r="AC41" s="18">
        <f>AC31</f>
      </c>
      <c r="AD41" s="18">
        <f>AD31</f>
      </c>
      <c r="AE41" s="18">
        <f>AE31</f>
      </c>
      <c r="AF41" s="18">
        <f>AF31</f>
      </c>
      <c r="AG41" s="18">
        <f>AG31</f>
      </c>
      <c r="AH41" s="18">
        <f>AH31</f>
      </c>
      <c r="AI41" s="18">
        <f>AI31</f>
      </c>
      <c r="AJ41" s="18">
        <f>AJ31</f>
      </c>
      <c r="AK41" s="19"/>
    </row>
    <row r="42" ht="12.75" customHeight="1" spans="2:37" x14ac:dyDescent="0.25">
      <c r="B42" s="16" t="s">
        <v>44</v>
      </c>
      <c r="C42" s="17"/>
      <c r="D42" s="17"/>
      <c r="E42" s="18">
        <f>E35</f>
      </c>
      <c r="F42" s="18">
        <f>F35</f>
      </c>
      <c r="G42" s="18">
        <f>G35</f>
      </c>
      <c r="H42" s="18">
        <f>H35</f>
      </c>
      <c r="I42" s="18">
        <f>I35</f>
      </c>
      <c r="J42" s="18">
        <f>J35</f>
      </c>
      <c r="K42" s="18">
        <f>K35</f>
      </c>
      <c r="L42" s="18">
        <f>L35</f>
      </c>
      <c r="M42" s="18">
        <f>M35</f>
      </c>
      <c r="N42" s="18">
        <f>N35</f>
      </c>
      <c r="O42" s="18">
        <f>O35</f>
      </c>
      <c r="P42" s="18">
        <f>P35</f>
      </c>
      <c r="Q42" s="18">
        <f>Q35</f>
      </c>
      <c r="R42" s="18">
        <f>R35</f>
      </c>
      <c r="S42" s="18">
        <f>S35</f>
      </c>
      <c r="T42" s="18">
        <f>T35</f>
      </c>
      <c r="U42" s="18">
        <f>U35</f>
      </c>
      <c r="V42" s="18">
        <f>V35</f>
      </c>
      <c r="W42" s="18">
        <f>W35</f>
      </c>
      <c r="X42" s="18">
        <f>X35</f>
      </c>
      <c r="Y42" s="18">
        <f>Y35</f>
      </c>
      <c r="Z42" s="18">
        <f>Z35</f>
      </c>
      <c r="AA42" s="18">
        <f>AA35</f>
      </c>
      <c r="AB42" s="18">
        <f>AB35</f>
      </c>
      <c r="AC42" s="18">
        <f>AC35</f>
      </c>
      <c r="AD42" s="18">
        <f>AD35</f>
      </c>
      <c r="AE42" s="18">
        <f>AE35</f>
      </c>
      <c r="AF42" s="18">
        <f>AF35</f>
      </c>
      <c r="AG42" s="18">
        <f>AG35</f>
      </c>
      <c r="AH42" s="18">
        <f>AH35</f>
      </c>
      <c r="AI42" s="18">
        <f>AI35</f>
      </c>
      <c r="AJ42" s="18">
        <f>AJ35</f>
      </c>
      <c r="AK42" s="19"/>
    </row>
    <row r="43" ht="12.75" customHeight="1" spans="2:37" x14ac:dyDescent="0.25">
      <c r="B43" s="20" t="s">
        <v>45</v>
      </c>
      <c r="C43" s="21"/>
      <c r="D43" s="21"/>
      <c r="E43" s="22">
        <f>E39+E40+E41+E42</f>
      </c>
      <c r="F43" s="22">
        <f>F39+F40+F41+F42</f>
      </c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3"/>
    </row>
    <row r="45" ht="12.75" customHeight="1" spans="2:37" x14ac:dyDescent="0.25">
      <c r="B45" s="11" t="s">
        <v>46</v>
      </c>
      <c r="C45" s="12"/>
      <c r="D45" s="13"/>
      <c r="E45" s="14" t="s">
        <v>7</v>
      </c>
      <c r="F45" s="14" t="s">
        <v>8</v>
      </c>
      <c r="G45" s="14" t="s">
        <v>9</v>
      </c>
      <c r="H45" s="14" t="s">
        <v>10</v>
      </c>
      <c r="I45" s="14" t="s">
        <v>11</v>
      </c>
      <c r="J45" s="14" t="s">
        <v>12</v>
      </c>
      <c r="K45" s="14" t="s">
        <v>13</v>
      </c>
      <c r="L45" s="14" t="s">
        <v>14</v>
      </c>
      <c r="M45" s="14" t="s">
        <v>15</v>
      </c>
      <c r="N45" s="14" t="s">
        <v>16</v>
      </c>
      <c r="O45" s="14" t="s">
        <v>17</v>
      </c>
      <c r="P45" s="14" t="s">
        <v>18</v>
      </c>
      <c r="Q45" s="14" t="s">
        <v>19</v>
      </c>
      <c r="R45" s="14" t="s">
        <v>20</v>
      </c>
      <c r="S45" s="14" t="s">
        <v>21</v>
      </c>
      <c r="T45" s="14" t="s">
        <v>22</v>
      </c>
      <c r="U45" s="14" t="s">
        <v>23</v>
      </c>
      <c r="V45" s="14" t="s">
        <v>24</v>
      </c>
      <c r="W45" s="14" t="s">
        <v>25</v>
      </c>
      <c r="X45" s="14" t="s">
        <v>26</v>
      </c>
      <c r="Y45" s="14" t="s">
        <v>27</v>
      </c>
      <c r="Z45" s="14" t="s">
        <v>28</v>
      </c>
      <c r="AA45" s="14" t="s">
        <v>29</v>
      </c>
      <c r="AB45" s="14" t="s">
        <v>30</v>
      </c>
      <c r="AC45" s="14" t="s">
        <v>31</v>
      </c>
      <c r="AD45" s="14" t="s">
        <v>32</v>
      </c>
      <c r="AE45" s="14" t="s">
        <v>33</v>
      </c>
      <c r="AF45" s="14" t="s">
        <v>34</v>
      </c>
      <c r="AG45" s="14" t="s">
        <v>35</v>
      </c>
      <c r="AH45" s="14" t="s">
        <v>36</v>
      </c>
      <c r="AI45" s="14" t="s">
        <v>37</v>
      </c>
      <c r="AJ45" s="14" t="s">
        <v>38</v>
      </c>
      <c r="AK45" s="15"/>
    </row>
    <row r="46" ht="12.75" customHeight="1" spans="2:37" x14ac:dyDescent="0.25">
      <c r="B46" s="16" t="s">
        <v>41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16" t="s">
        <v>42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16" t="s">
        <v>43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ht="12.75" customHeight="1" spans="2:37" x14ac:dyDescent="0.25">
      <c r="B49" s="16" t="s">
        <v>44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20" t="s">
        <v>45</v>
      </c>
      <c r="C50" s="21"/>
      <c r="D50" s="21"/>
      <c r="E50" s="22">
        <f>E46+E47+E48+E49</f>
      </c>
      <c r="F50" s="22">
        <f>F46+F47+F48+F49</f>
      </c>
      <c r="G50" s="22">
        <f>G46+G47+G48+G49</f>
      </c>
      <c r="H50" s="22">
        <f>H46+H47+H48+H49</f>
      </c>
      <c r="I50" s="22">
        <f>I46+I47+I48+I49</f>
      </c>
      <c r="J50" s="22">
        <f>J46+J47+J48+J49</f>
      </c>
      <c r="K50" s="22">
        <f>K46+K47+K48+K49</f>
      </c>
      <c r="L50" s="22">
        <f>L46+L47+L48+L49</f>
      </c>
      <c r="M50" s="22">
        <f>M46+M47+M48+M49</f>
      </c>
      <c r="N50" s="22">
        <f>N46+N47+N48+N49</f>
      </c>
      <c r="O50" s="22">
        <f>O46+O47+O48+O49</f>
      </c>
      <c r="P50" s="22">
        <f>P46+P47+P48+P49</f>
      </c>
      <c r="Q50" s="22">
        <f>Q46+Q47+Q48+Q49</f>
      </c>
      <c r="R50" s="22">
        <f>R46+R47+R48+R49</f>
      </c>
      <c r="S50" s="22">
        <f>S46+S47+S48+S49</f>
      </c>
      <c r="T50" s="22">
        <f>T46+T47+T48+T49</f>
      </c>
      <c r="U50" s="22">
        <f>U46+U47+U48+U49</f>
      </c>
      <c r="V50" s="22">
        <f>V46+V47+V48+V49</f>
      </c>
      <c r="W50" s="22">
        <f>W46+W47+W48+W49</f>
      </c>
      <c r="X50" s="22">
        <f>X46+X47+X48+X49</f>
      </c>
      <c r="Y50" s="22">
        <f>Y46+Y47+Y48+Y49</f>
      </c>
      <c r="Z50" s="22">
        <f>Z46+Z47+Z48+Z49</f>
      </c>
      <c r="AA50" s="22">
        <f>AA46+AA47+AA48+AA49</f>
      </c>
      <c r="AB50" s="22">
        <f>AB46+AB47+AB48+AB49</f>
      </c>
      <c r="AC50" s="22">
        <f>AC46+AC47+AC48+AC49</f>
      </c>
      <c r="AD50" s="22">
        <f>AD46+AD47+AD48+AD49</f>
      </c>
      <c r="AE50" s="22">
        <f>AE46+AE47+AE48+AE49</f>
      </c>
      <c r="AF50" s="22">
        <f>AF46+AF47+AF48+AF49</f>
      </c>
      <c r="AG50" s="22">
        <f>AG46+AG47+AG48+AG49</f>
      </c>
      <c r="AH50" s="22">
        <f>AH46+AH47+AH48+AH49</f>
      </c>
      <c r="AI50" s="22">
        <f>AI46+AI47+AI48+AI49</f>
      </c>
      <c r="AJ50" s="22">
        <f>AJ46+AJ47+AJ48+AJ49</f>
      </c>
      <c r="AK50" s="23"/>
    </row>
    <row r="52" ht="12.75" customHeight="1" spans="2:37" x14ac:dyDescent="0.25">
      <c r="B52" s="11" t="s">
        <v>47</v>
      </c>
      <c r="C52" s="12"/>
      <c r="D52" s="13"/>
      <c r="E52" s="14" t="s">
        <v>7</v>
      </c>
      <c r="F52" s="14" t="s">
        <v>8</v>
      </c>
      <c r="G52" s="14" t="s">
        <v>9</v>
      </c>
      <c r="H52" s="14" t="s">
        <v>10</v>
      </c>
      <c r="I52" s="14" t="s">
        <v>11</v>
      </c>
      <c r="J52" s="14" t="s">
        <v>12</v>
      </c>
      <c r="K52" s="14" t="s">
        <v>13</v>
      </c>
      <c r="L52" s="14" t="s">
        <v>14</v>
      </c>
      <c r="M52" s="14" t="s">
        <v>15</v>
      </c>
      <c r="N52" s="14" t="s">
        <v>16</v>
      </c>
      <c r="O52" s="14" t="s">
        <v>17</v>
      </c>
      <c r="P52" s="14" t="s">
        <v>18</v>
      </c>
      <c r="Q52" s="14" t="s">
        <v>19</v>
      </c>
      <c r="R52" s="14" t="s">
        <v>20</v>
      </c>
      <c r="S52" s="14" t="s">
        <v>21</v>
      </c>
      <c r="T52" s="14" t="s">
        <v>22</v>
      </c>
      <c r="U52" s="14" t="s">
        <v>23</v>
      </c>
      <c r="V52" s="14" t="s">
        <v>24</v>
      </c>
      <c r="W52" s="14" t="s">
        <v>25</v>
      </c>
      <c r="X52" s="14" t="s">
        <v>26</v>
      </c>
      <c r="Y52" s="14" t="s">
        <v>27</v>
      </c>
      <c r="Z52" s="14" t="s">
        <v>28</v>
      </c>
      <c r="AA52" s="14" t="s">
        <v>29</v>
      </c>
      <c r="AB52" s="14" t="s">
        <v>30</v>
      </c>
      <c r="AC52" s="14" t="s">
        <v>31</v>
      </c>
      <c r="AD52" s="14" t="s">
        <v>32</v>
      </c>
      <c r="AE52" s="14" t="s">
        <v>33</v>
      </c>
      <c r="AF52" s="14" t="s">
        <v>34</v>
      </c>
      <c r="AG52" s="14" t="s">
        <v>35</v>
      </c>
      <c r="AH52" s="14" t="s">
        <v>36</v>
      </c>
      <c r="AI52" s="14" t="s">
        <v>37</v>
      </c>
      <c r="AJ52" s="14" t="s">
        <v>38</v>
      </c>
      <c r="AK52" s="15"/>
    </row>
    <row r="53" ht="12.75" customHeight="1" spans="2:37" x14ac:dyDescent="0.25">
      <c r="B53" s="16" t="s">
        <v>41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16" t="s">
        <v>42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16" t="s">
        <v>43</v>
      </c>
      <c r="C55" s="17"/>
      <c r="D55" s="17"/>
      <c r="E55" s="24">
        <f>E48-E41</f>
      </c>
      <c r="F55" s="24">
        <f>F48-F41</f>
      </c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19"/>
    </row>
    <row r="56" ht="12.75" customHeight="1" spans="2:37" x14ac:dyDescent="0.25">
      <c r="B56" s="16" t="s">
        <v>44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20" t="s">
        <v>45</v>
      </c>
      <c r="C57" s="21"/>
      <c r="D57" s="21"/>
      <c r="E57" s="25">
        <f>E53+E54+E55+E56</f>
      </c>
      <c r="F57" s="25">
        <f>F53+F54+F55+F56</f>
      </c>
      <c r="G57" s="25">
        <f>G53+G54+G55+G56</f>
      </c>
      <c r="H57" s="25">
        <f>H53+H54+H55+H56</f>
      </c>
      <c r="I57" s="25">
        <f>I53+I54+I55+I56</f>
      </c>
      <c r="J57" s="25">
        <f>J53+J54+J55+J56</f>
      </c>
      <c r="K57" s="25">
        <f>K53+K54+K55+K56</f>
      </c>
      <c r="L57" s="25">
        <f>L53+L54+L55+L56</f>
      </c>
      <c r="M57" s="25">
        <f>M53+M54+M55+M56</f>
      </c>
      <c r="N57" s="25">
        <f>N53+N54+N55+N56</f>
      </c>
      <c r="O57" s="25">
        <f>O53+O54+O55+O56</f>
      </c>
      <c r="P57" s="25">
        <f>P53+P54+P55+P56</f>
      </c>
      <c r="Q57" s="25">
        <f>Q53+Q54+Q55+Q56</f>
      </c>
      <c r="R57" s="25">
        <f>R53+R54+R55+R56</f>
      </c>
      <c r="S57" s="25">
        <f>S53+S54+S55+S56</f>
      </c>
      <c r="T57" s="25">
        <f>T53+T54+T55+T56</f>
      </c>
      <c r="U57" s="25">
        <f>U53+U54+U55+U56</f>
      </c>
      <c r="V57" s="25">
        <f>V53+V54+V55+V56</f>
      </c>
      <c r="W57" s="25">
        <f>W53+W54+W55+W56</f>
      </c>
      <c r="X57" s="25">
        <f>X53+X54+X55+X56</f>
      </c>
      <c r="Y57" s="25">
        <f>Y53+Y54+Y55+Y56</f>
      </c>
      <c r="Z57" s="25">
        <f>Z53+Z54+Z55+Z56</f>
      </c>
      <c r="AA57" s="25">
        <f>AA53+AA54+AA55+AA56</f>
      </c>
      <c r="AB57" s="25">
        <f>AB53+AB54+AB55+AB56</f>
      </c>
      <c r="AC57" s="25">
        <f>AC53+AC54+AC55+AC56</f>
      </c>
      <c r="AD57" s="25">
        <f>AD53+AD54+AD55+AD56</f>
      </c>
      <c r="AE57" s="25">
        <f>AE53+AE54+AE55+AE56</f>
      </c>
      <c r="AF57" s="25">
        <f>AF53+AF54+AF55+AF56</f>
      </c>
      <c r="AG57" s="25">
        <f>AG53+AG54+AG55+AG56</f>
      </c>
      <c r="AH57" s="25">
        <f>AH53+AH54+AH55+AH56</f>
      </c>
      <c r="AI57" s="25">
        <f>AI53+AI54+AI55+AI56</f>
      </c>
      <c r="AJ57" s="25">
        <f>AJ53+AJ54+AJ55+AJ56</f>
      </c>
      <c r="AK5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1107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713</v>
      </c>
      <c r="K8" s="44" t="s">
        <v>1121</v>
      </c>
      <c r="L8" s="44" t="s">
        <v>1122</v>
      </c>
      <c r="M8" s="44" t="s">
        <v>1123</v>
      </c>
      <c r="N8" s="44" t="s">
        <v>1124</v>
      </c>
      <c r="O8" s="44" t="s">
        <v>1125</v>
      </c>
      <c r="P8" s="44" t="s">
        <v>1126</v>
      </c>
      <c r="Q8" s="44" t="s">
        <v>1127</v>
      </c>
      <c r="R8" s="44" t="s">
        <v>1128</v>
      </c>
      <c r="S8" s="44" t="s">
        <v>1129</v>
      </c>
      <c r="T8" s="44" t="s">
        <v>1130</v>
      </c>
      <c r="U8" s="44" t="s">
        <v>1131</v>
      </c>
      <c r="V8" s="44" t="s">
        <v>1132</v>
      </c>
      <c r="W8" s="44" t="s">
        <v>1133</v>
      </c>
      <c r="X8" s="44" t="s">
        <v>1134</v>
      </c>
      <c r="Y8" s="44" t="s">
        <v>1135</v>
      </c>
      <c r="Z8" s="44" t="s">
        <v>1136</v>
      </c>
      <c r="AA8" s="44" t="s">
        <v>1137</v>
      </c>
      <c r="AB8" s="44" t="s">
        <v>1138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1107</v>
      </c>
      <c r="D14" s="50" t="s">
        <v>42</v>
      </c>
      <c r="E14" s="32" t="s">
        <v>3</v>
      </c>
      <c r="F14" s="32" t="s">
        <v>1108</v>
      </c>
      <c r="G14" s="32"/>
      <c r="H14" s="32"/>
      <c r="I14" s="32"/>
      <c r="J14" s="33">
        <v>18.27</v>
      </c>
      <c r="K14" s="33">
        <v>18.27</v>
      </c>
      <c r="L14" s="33">
        <v>18.27</v>
      </c>
      <c r="M14" s="33">
        <v>18.27</v>
      </c>
      <c r="N14" s="33">
        <v>18.27</v>
      </c>
      <c r="O14" s="33">
        <v>18.27</v>
      </c>
      <c r="P14" s="33">
        <v>18.27</v>
      </c>
      <c r="Q14" s="33">
        <v>18.27</v>
      </c>
      <c r="R14" s="33">
        <v>18.27</v>
      </c>
      <c r="S14" s="33">
        <v>18.27</v>
      </c>
      <c r="T14" s="33">
        <v>18.27</v>
      </c>
      <c r="U14" s="33">
        <v>18.27</v>
      </c>
      <c r="V14" s="33">
        <v>18.27</v>
      </c>
      <c r="W14" s="33">
        <v>18.27</v>
      </c>
      <c r="X14" s="33">
        <v>18.27</v>
      </c>
      <c r="Y14" s="33">
        <v>18.27</v>
      </c>
      <c r="Z14" s="32"/>
      <c r="AA14" s="33">
        <v>18.27</v>
      </c>
      <c r="AB14" s="33">
        <v>18.27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1107</v>
      </c>
      <c r="D15" s="50" t="s">
        <v>42</v>
      </c>
      <c r="E15" s="32" t="s">
        <v>3</v>
      </c>
      <c r="F15" s="32" t="s">
        <v>1109</v>
      </c>
      <c r="G15" s="32"/>
      <c r="H15" s="32"/>
      <c r="I15" s="32"/>
      <c r="J15" s="33">
        <v>1276.15</v>
      </c>
      <c r="K15" s="33">
        <v>1224.68</v>
      </c>
      <c r="L15" s="33">
        <v>1155.24</v>
      </c>
      <c r="M15" s="33">
        <v>964.78</v>
      </c>
      <c r="N15" s="33">
        <v>729.17</v>
      </c>
      <c r="O15" s="33">
        <v>734.2</v>
      </c>
      <c r="P15" s="33">
        <v>754.56</v>
      </c>
      <c r="Q15" s="33">
        <v>723.5</v>
      </c>
      <c r="R15" s="33">
        <v>679.95</v>
      </c>
      <c r="S15" s="33">
        <v>853.04</v>
      </c>
      <c r="T15" s="33">
        <v>778.97</v>
      </c>
      <c r="U15" s="33">
        <v>1200.93</v>
      </c>
      <c r="V15" s="33">
        <v>1039.93</v>
      </c>
      <c r="W15" s="33">
        <v>660.63</v>
      </c>
      <c r="X15" s="33">
        <v>1046.83</v>
      </c>
      <c r="Y15" s="33">
        <v>846.7</v>
      </c>
      <c r="Z15" s="32"/>
      <c r="AA15" s="33">
        <v>695.51</v>
      </c>
      <c r="AB15" s="33">
        <v>713.86</v>
      </c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1107</v>
      </c>
      <c r="D16" s="50" t="s">
        <v>42</v>
      </c>
      <c r="E16" s="32" t="s">
        <v>3</v>
      </c>
      <c r="F16" s="32" t="s">
        <v>1110</v>
      </c>
      <c r="G16" s="32"/>
      <c r="H16" s="32"/>
      <c r="I16" s="32"/>
      <c r="J16" s="33">
        <v>23.55</v>
      </c>
      <c r="K16" s="33">
        <v>22.66</v>
      </c>
      <c r="L16" s="33">
        <v>22.07</v>
      </c>
      <c r="M16" s="33">
        <v>22.37</v>
      </c>
      <c r="N16" s="33">
        <v>22.06</v>
      </c>
      <c r="O16" s="33">
        <v>21.91</v>
      </c>
      <c r="P16" s="33">
        <v>22.06</v>
      </c>
      <c r="Q16" s="33">
        <v>21.25</v>
      </c>
      <c r="R16" s="33">
        <v>19.88</v>
      </c>
      <c r="S16" s="33">
        <v>20.76</v>
      </c>
      <c r="T16" s="33">
        <v>21.06</v>
      </c>
      <c r="U16" s="33">
        <v>21.92</v>
      </c>
      <c r="V16" s="33">
        <v>22.94</v>
      </c>
      <c r="W16" s="33">
        <v>21.2</v>
      </c>
      <c r="X16" s="33">
        <v>21.78</v>
      </c>
      <c r="Y16" s="33">
        <v>21.46</v>
      </c>
      <c r="Z16" s="32"/>
      <c r="AA16" s="33">
        <v>21</v>
      </c>
      <c r="AB16" s="33">
        <v>22.68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1107</v>
      </c>
      <c r="D17" s="50" t="s">
        <v>42</v>
      </c>
      <c r="E17" s="32" t="s">
        <v>3</v>
      </c>
      <c r="F17" s="32" t="s">
        <v>1111</v>
      </c>
      <c r="G17" s="32"/>
      <c r="H17" s="32"/>
      <c r="I17" s="32"/>
      <c r="J17" s="33">
        <v>104.51</v>
      </c>
      <c r="K17" s="33">
        <v>110.65</v>
      </c>
      <c r="L17" s="33">
        <v>105.38</v>
      </c>
      <c r="M17" s="33">
        <v>114.59</v>
      </c>
      <c r="N17" s="33">
        <v>179.97</v>
      </c>
      <c r="O17" s="33">
        <v>234.62</v>
      </c>
      <c r="P17" s="33">
        <v>253.56</v>
      </c>
      <c r="Q17" s="33">
        <v>271.96</v>
      </c>
      <c r="R17" s="33">
        <v>239.49</v>
      </c>
      <c r="S17" s="33">
        <v>235.53</v>
      </c>
      <c r="T17" s="33">
        <v>167.01</v>
      </c>
      <c r="U17" s="33">
        <v>114.31</v>
      </c>
      <c r="V17" s="33">
        <v>102.45</v>
      </c>
      <c r="W17" s="33">
        <v>148.56</v>
      </c>
      <c r="X17" s="33">
        <v>126.17</v>
      </c>
      <c r="Y17" s="33">
        <v>216.4</v>
      </c>
      <c r="Z17" s="32"/>
      <c r="AA17" s="33">
        <v>253.79</v>
      </c>
      <c r="AB17" s="33">
        <v>319.14</v>
      </c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1107</v>
      </c>
      <c r="D18" s="50" t="s">
        <v>42</v>
      </c>
      <c r="E18" s="32" t="s">
        <v>3</v>
      </c>
      <c r="F18" s="32" t="s">
        <v>1112</v>
      </c>
      <c r="G18" s="32"/>
      <c r="H18" s="32"/>
      <c r="I18" s="32"/>
      <c r="J18" s="33">
        <v>325.71</v>
      </c>
      <c r="K18" s="33">
        <v>374.9</v>
      </c>
      <c r="L18" s="33">
        <v>322.92</v>
      </c>
      <c r="M18" s="33">
        <v>313.12</v>
      </c>
      <c r="N18" s="33">
        <v>354.62</v>
      </c>
      <c r="O18" s="33">
        <v>263.99</v>
      </c>
      <c r="P18" s="33">
        <v>232.18</v>
      </c>
      <c r="Q18" s="33">
        <v>309.58</v>
      </c>
      <c r="R18" s="33">
        <v>323.91</v>
      </c>
      <c r="S18" s="33">
        <v>364.81</v>
      </c>
      <c r="T18" s="33">
        <v>318.54</v>
      </c>
      <c r="U18" s="33">
        <v>318.84</v>
      </c>
      <c r="V18" s="33">
        <v>305.36</v>
      </c>
      <c r="W18" s="33">
        <v>384.87</v>
      </c>
      <c r="X18" s="33">
        <v>279.88</v>
      </c>
      <c r="Y18" s="33">
        <v>391.62</v>
      </c>
      <c r="Z18" s="32"/>
      <c r="AA18" s="33">
        <v>409.55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1107</v>
      </c>
      <c r="D19" s="50" t="s">
        <v>42</v>
      </c>
      <c r="E19" s="32" t="s">
        <v>3</v>
      </c>
      <c r="F19" s="32" t="s">
        <v>1113</v>
      </c>
      <c r="G19" s="32"/>
      <c r="H19" s="32"/>
      <c r="I19" s="32"/>
      <c r="J19" s="33">
        <f>200.36+207.35</f>
        <v>407.71000000000004</v>
      </c>
      <c r="K19" s="33">
        <f>224.08+200.31</f>
        <v>424.39</v>
      </c>
      <c r="L19" s="33">
        <f>200.40+191.93</f>
        <v>392.33000000000004</v>
      </c>
      <c r="M19" s="33">
        <f>238.08+165.96</f>
        <v>404.04</v>
      </c>
      <c r="N19" s="33">
        <f>383.48+162.23</f>
        <v>545.71</v>
      </c>
      <c r="O19" s="33">
        <f>162.23+444.23</f>
        <v>606.46</v>
      </c>
      <c r="P19" s="33">
        <f>283.62+162.23</f>
        <v>445.85</v>
      </c>
      <c r="Q19" s="33">
        <f>167.32+252.30</f>
        <v>419.62</v>
      </c>
      <c r="R19" s="33">
        <f>162.23+274.69</f>
        <v>436.91999999999996</v>
      </c>
      <c r="S19" s="33">
        <f>231.94+165.96</f>
        <v>397.9</v>
      </c>
      <c r="T19" s="33">
        <f>218.94+200.32</f>
        <v>419.26</v>
      </c>
      <c r="U19" s="33">
        <f>243.35+165.96</f>
        <v>409.31</v>
      </c>
      <c r="V19" s="33">
        <f>194.60+165.96</f>
        <v>360.56</v>
      </c>
      <c r="W19" s="33">
        <f>165.96+225.93</f>
        <v>391.89</v>
      </c>
      <c r="X19" s="33">
        <f>218.18+165.96</f>
        <v>384.14</v>
      </c>
      <c r="Y19" s="33">
        <f>167.88+266.26</f>
        <v>434.14</v>
      </c>
      <c r="Z19" s="32"/>
      <c r="AA19" s="33">
        <f>167.88+349.68</f>
        <v>517.56</v>
      </c>
      <c r="AB19" s="33">
        <f>202.17+251.11</f>
        <v>453.28</v>
      </c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1107</v>
      </c>
      <c r="D20" s="50" t="s">
        <v>42</v>
      </c>
      <c r="E20" s="32" t="s">
        <v>3</v>
      </c>
      <c r="F20" s="32" t="s">
        <v>1114</v>
      </c>
      <c r="G20" s="32"/>
      <c r="H20" s="32"/>
      <c r="I20" s="32"/>
      <c r="J20" s="33">
        <v>93.22</v>
      </c>
      <c r="K20" s="33">
        <v>93.38</v>
      </c>
      <c r="L20" s="33">
        <v>71.27</v>
      </c>
      <c r="M20" s="33">
        <v>46.81</v>
      </c>
      <c r="N20" s="33">
        <v>39.65</v>
      </c>
      <c r="O20" s="33">
        <v>38.29</v>
      </c>
      <c r="P20" s="33">
        <v>39.51</v>
      </c>
      <c r="Q20" s="33">
        <v>43.69</v>
      </c>
      <c r="R20" s="33">
        <v>47.36</v>
      </c>
      <c r="S20" s="33">
        <v>63.65</v>
      </c>
      <c r="T20" s="33">
        <v>62.91</v>
      </c>
      <c r="U20" s="33">
        <v>46.24</v>
      </c>
      <c r="V20" s="33">
        <v>47.84</v>
      </c>
      <c r="W20" s="33">
        <v>53.25</v>
      </c>
      <c r="X20" s="33">
        <v>46.24</v>
      </c>
      <c r="Y20" s="33">
        <v>49.87</v>
      </c>
      <c r="Z20" s="32"/>
      <c r="AA20" s="33">
        <v>52</v>
      </c>
      <c r="AB20" s="33">
        <v>66.75</v>
      </c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1107</v>
      </c>
      <c r="D21" s="50" t="s">
        <v>42</v>
      </c>
      <c r="E21" s="32" t="s">
        <v>3</v>
      </c>
      <c r="F21" s="32" t="s">
        <v>1115</v>
      </c>
      <c r="G21" s="32"/>
      <c r="H21" s="32"/>
      <c r="I21" s="32"/>
      <c r="J21" s="33">
        <f>177.15+287.46</f>
        <v>464.61</v>
      </c>
      <c r="K21" s="33">
        <f>177.15+287.61</f>
        <v>464.76</v>
      </c>
      <c r="L21" s="33">
        <f>244.58+213.59</f>
        <v>458.17</v>
      </c>
      <c r="M21" s="33">
        <f>283.52+177.15</f>
        <v>460.66999999999996</v>
      </c>
      <c r="N21" s="33">
        <f>283.70+171.15</f>
        <v>454.85</v>
      </c>
      <c r="O21" s="33">
        <f>171.15+292.90</f>
        <v>464.04999999999995</v>
      </c>
      <c r="P21" s="33">
        <f>317.25+171.15</f>
        <v>488.4</v>
      </c>
      <c r="Q21" s="33">
        <f>171.15+345.00</f>
        <v>516.15</v>
      </c>
      <c r="R21" s="33">
        <f>171.15+334.85</f>
        <v>506</v>
      </c>
      <c r="S21" s="33">
        <f>177.15+386.58</f>
        <v>563.73</v>
      </c>
      <c r="T21" s="33">
        <f>177.15+286.44</f>
        <v>463.59000000000003</v>
      </c>
      <c r="U21" s="33">
        <f>177.15+261.12</f>
        <v>438.27</v>
      </c>
      <c r="V21" s="33">
        <f>177.15+225.39</f>
        <v>402.53999999999996</v>
      </c>
      <c r="W21" s="33">
        <f>177.15+302.25</f>
        <v>479.4</v>
      </c>
      <c r="X21" s="33">
        <f>177.15+259.50</f>
        <v>436.65</v>
      </c>
      <c r="Y21" s="33">
        <f>292.20+180.23</f>
        <v>472.42999999999995</v>
      </c>
      <c r="Z21" s="32"/>
      <c r="AA21" s="33">
        <f>305.57+180.23</f>
        <v>485.79999999999995</v>
      </c>
      <c r="AB21" s="33">
        <f>217.23+131.65</f>
        <v>348.88</v>
      </c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1107</v>
      </c>
      <c r="D22" s="50" t="s">
        <v>42</v>
      </c>
      <c r="E22" s="32" t="s">
        <v>3</v>
      </c>
      <c r="F22" s="32" t="s">
        <v>1116</v>
      </c>
      <c r="G22" s="32"/>
      <c r="H22" s="32"/>
      <c r="I22" s="32"/>
      <c r="J22" s="33">
        <v>58.52</v>
      </c>
      <c r="K22" s="33">
        <v>69.81</v>
      </c>
      <c r="L22" s="33">
        <v>70.23</v>
      </c>
      <c r="M22" s="33">
        <v>57.21</v>
      </c>
      <c r="N22" s="33">
        <v>43.44</v>
      </c>
      <c r="O22" s="33">
        <v>24.22</v>
      </c>
      <c r="P22" s="33">
        <v>65.5</v>
      </c>
      <c r="Q22" s="33">
        <v>97.14</v>
      </c>
      <c r="R22" s="33">
        <v>72.93</v>
      </c>
      <c r="S22" s="33">
        <v>91.02</v>
      </c>
      <c r="T22" s="33">
        <v>58.82</v>
      </c>
      <c r="U22" s="33">
        <v>55.61</v>
      </c>
      <c r="V22" s="33">
        <v>61.46</v>
      </c>
      <c r="W22" s="33">
        <v>75.8</v>
      </c>
      <c r="X22" s="33">
        <v>77.41</v>
      </c>
      <c r="Y22" s="33">
        <v>65.98</v>
      </c>
      <c r="Z22" s="32"/>
      <c r="AA22" s="33">
        <v>77.68</v>
      </c>
      <c r="AB22" s="33">
        <v>61.73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1107</v>
      </c>
      <c r="D23" s="50" t="s">
        <v>42</v>
      </c>
      <c r="E23" s="32" t="s">
        <v>3</v>
      </c>
      <c r="F23" s="32" t="s">
        <v>1117</v>
      </c>
      <c r="G23" s="32"/>
      <c r="H23" s="32"/>
      <c r="I23" s="32"/>
      <c r="J23" s="33">
        <v>35.7</v>
      </c>
      <c r="K23" s="33">
        <v>40.97</v>
      </c>
      <c r="L23" s="33">
        <v>32.18</v>
      </c>
      <c r="M23" s="33">
        <v>21.48</v>
      </c>
      <c r="N23" s="33">
        <v>20.44</v>
      </c>
      <c r="O23" s="33">
        <v>20.31</v>
      </c>
      <c r="P23" s="33">
        <v>20.44</v>
      </c>
      <c r="Q23" s="33">
        <v>20.44</v>
      </c>
      <c r="R23" s="33">
        <v>21.25</v>
      </c>
      <c r="S23" s="33">
        <v>21.92</v>
      </c>
      <c r="T23" s="33">
        <v>21.34</v>
      </c>
      <c r="U23" s="33">
        <v>21.64</v>
      </c>
      <c r="V23" s="33">
        <v>22.22</v>
      </c>
      <c r="W23" s="33">
        <v>21.92</v>
      </c>
      <c r="X23" s="33">
        <v>21.48</v>
      </c>
      <c r="Y23" s="33">
        <v>21.61</v>
      </c>
      <c r="Z23" s="32"/>
      <c r="AA23" s="33">
        <v>21.31</v>
      </c>
      <c r="AB23" s="33">
        <v>21.31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1107</v>
      </c>
      <c r="D24" s="50" t="s">
        <v>42</v>
      </c>
      <c r="E24" s="32" t="s">
        <v>3</v>
      </c>
      <c r="F24" s="32" t="s">
        <v>1118</v>
      </c>
      <c r="G24" s="32"/>
      <c r="H24" s="32"/>
      <c r="I24" s="32"/>
      <c r="J24" s="33">
        <v>41.84</v>
      </c>
      <c r="K24" s="33">
        <v>44.76</v>
      </c>
      <c r="L24" s="33">
        <v>41.54</v>
      </c>
      <c r="M24" s="33">
        <v>33.35</v>
      </c>
      <c r="N24" s="33">
        <v>20.71</v>
      </c>
      <c r="O24" s="33">
        <v>20.56</v>
      </c>
      <c r="P24" s="33">
        <v>20.56</v>
      </c>
      <c r="Q24" s="33">
        <v>20.97</v>
      </c>
      <c r="R24" s="33">
        <v>20.84</v>
      </c>
      <c r="S24" s="33">
        <v>21.48</v>
      </c>
      <c r="T24" s="33">
        <v>21.34</v>
      </c>
      <c r="U24" s="33">
        <v>21.48</v>
      </c>
      <c r="V24" s="33">
        <v>22.07</v>
      </c>
      <c r="W24" s="33">
        <v>21.78</v>
      </c>
      <c r="X24" s="33">
        <v>21.34</v>
      </c>
      <c r="Y24" s="33">
        <v>21.46</v>
      </c>
      <c r="Z24" s="32"/>
      <c r="AA24" s="33">
        <v>21.17</v>
      </c>
      <c r="AB24" s="33">
        <v>21.17</v>
      </c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1107</v>
      </c>
      <c r="D25" s="50" t="s">
        <v>42</v>
      </c>
      <c r="E25" s="32" t="s">
        <v>3</v>
      </c>
      <c r="F25" s="32" t="s">
        <v>1119</v>
      </c>
      <c r="G25" s="32"/>
      <c r="H25" s="32"/>
      <c r="I25" s="32"/>
      <c r="J25" s="33">
        <v>38.77</v>
      </c>
      <c r="K25" s="33">
        <v>40.83</v>
      </c>
      <c r="L25" s="33">
        <v>39.35</v>
      </c>
      <c r="M25" s="33">
        <v>37.6</v>
      </c>
      <c r="N25" s="33">
        <v>35.19</v>
      </c>
      <c r="O25" s="33">
        <v>77.8</v>
      </c>
      <c r="P25" s="33">
        <v>82.53</v>
      </c>
      <c r="Q25" s="33">
        <v>80.78</v>
      </c>
      <c r="R25" s="33">
        <v>89.98</v>
      </c>
      <c r="S25" s="33">
        <v>85.6</v>
      </c>
      <c r="T25" s="33">
        <v>81.96</v>
      </c>
      <c r="U25" s="33">
        <v>111.82</v>
      </c>
      <c r="V25" s="33">
        <v>121.63</v>
      </c>
      <c r="W25" s="33">
        <v>120.16</v>
      </c>
      <c r="X25" s="33">
        <v>102.6</v>
      </c>
      <c r="Y25" s="33">
        <v>96.37</v>
      </c>
      <c r="Z25" s="32"/>
      <c r="AA25" s="33">
        <v>113.1</v>
      </c>
      <c r="AB25" s="33">
        <v>71.61</v>
      </c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1107</v>
      </c>
      <c r="D26" s="50" t="s">
        <v>42</v>
      </c>
      <c r="E26" s="32" t="s">
        <v>3</v>
      </c>
      <c r="F26" s="32" t="s">
        <v>1120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f>0.00+36.55</f>
        <v>36.55</v>
      </c>
      <c r="U26" s="33">
        <v>27.32</v>
      </c>
      <c r="V26" s="33">
        <v>80.64</v>
      </c>
      <c r="W26" s="33">
        <v>109.48</v>
      </c>
      <c r="X26" s="33">
        <v>31.22</v>
      </c>
      <c r="Y26" s="32"/>
      <c r="Z26" s="33">
        <v>88.87</v>
      </c>
      <c r="AA26" s="33">
        <v>122.37</v>
      </c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85</v>
      </c>
      <c r="E28" s="21"/>
      <c r="F28" s="21"/>
      <c r="G28" s="22">
        <f>SUM(G14:G26)</f>
      </c>
      <c r="H28" s="22">
        <f>SUM(H14:H26)</f>
      </c>
      <c r="I28" s="22">
        <f>SUM(I14:I26)</f>
      </c>
      <c r="J28" s="22">
        <f>SUM(J14:J26)</f>
      </c>
      <c r="K28" s="22">
        <f>SUM(K14:K26)</f>
      </c>
      <c r="L28" s="22">
        <f>SUM(L14:L26)</f>
      </c>
      <c r="M28" s="22">
        <f>SUM(M14:M26)</f>
      </c>
      <c r="N28" s="22">
        <f>SUM(N14:N26)</f>
      </c>
      <c r="O28" s="22">
        <f>SUM(O14:O26)</f>
      </c>
      <c r="P28" s="22">
        <f>SUM(P14:P26)</f>
      </c>
      <c r="Q28" s="22">
        <f>SUM(Q14:Q26)</f>
      </c>
      <c r="R28" s="22">
        <f>SUM(R14:R26)</f>
      </c>
      <c r="S28" s="22">
        <f>SUM(S14:S26)</f>
      </c>
      <c r="T28" s="22">
        <f>SUM(T14:T26)</f>
      </c>
      <c r="U28" s="22">
        <f>SUM(U14:U26)</f>
      </c>
      <c r="V28" s="22">
        <f>SUM(V14:V26)</f>
      </c>
      <c r="W28" s="22">
        <f>SUM(W14:W26)</f>
      </c>
      <c r="X28" s="22">
        <f>SUM(X14:X26)</f>
      </c>
      <c r="Y28" s="22">
        <f>SUM(Y14:Y26)</f>
      </c>
      <c r="Z28" s="22">
        <f>SUM(Z14:Z26)</f>
      </c>
      <c r="AA28" s="22">
        <f>SUM(AA14:AA26)</f>
      </c>
      <c r="AB28" s="22">
        <f>SUM(AB14:AB26)</f>
      </c>
      <c r="AC28" s="22">
        <f>SUM(AC14:AC26)</f>
      </c>
      <c r="AD28" s="22">
        <f>SUM(AD14:AD26)</f>
      </c>
      <c r="AE28" s="22">
        <f>SUM(AE14:AE26)</f>
      </c>
      <c r="AF28" s="22">
        <f>SUM(AF14:AF26)</f>
      </c>
      <c r="AG28" s="22">
        <f>SUM(AG14:AG26)</f>
      </c>
      <c r="AH28" s="22">
        <f>SUM(AH14:AH26)</f>
      </c>
      <c r="AI28" s="22">
        <f>SUM(AI14:AI26)</f>
      </c>
      <c r="AJ28" s="22">
        <f>SUM(AJ14:AJ26)</f>
      </c>
      <c r="AK28" s="22">
        <f>SUM(AK14:AK26)</f>
      </c>
      <c r="AL28" s="22">
        <f>SUM(AL14:AL26)</f>
      </c>
      <c r="AM28" s="23"/>
    </row>
    <row r="30" ht="13.5" customHeight="1" spans="2:39" x14ac:dyDescent="0.25">
      <c r="B30" s="46"/>
      <c r="C30" s="28"/>
      <c r="D30" s="47" t="s">
        <v>43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89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3"/>
    </row>
    <row r="34" ht="13.5" customHeight="1" spans="2:39" x14ac:dyDescent="0.25">
      <c r="B34" s="46"/>
      <c r="C34" s="28"/>
      <c r="D34" s="47" t="s">
        <v>44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/>
    </row>
    <row r="35" ht="13.5" customHeight="1" spans="2:39" x14ac:dyDescent="0.25">
      <c r="B35" s="51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40"/>
    </row>
    <row r="36" ht="13.5" customHeight="1" spans="2:39" x14ac:dyDescent="0.25">
      <c r="B36" s="20"/>
      <c r="C36" s="21"/>
      <c r="D36" s="21" t="s">
        <v>90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3"/>
    </row>
    <row r="39" ht="12.75" customHeight="1" spans="2:39" x14ac:dyDescent="0.25">
      <c r="B39" s="11" t="s">
        <v>40</v>
      </c>
      <c r="C39" s="12"/>
      <c r="D39" s="12"/>
      <c r="E39" s="12"/>
      <c r="F39" s="12"/>
      <c r="G39" s="52" t="s">
        <v>7</v>
      </c>
      <c r="H39" s="52" t="s">
        <v>8</v>
      </c>
      <c r="I39" s="52" t="s">
        <v>9</v>
      </c>
      <c r="J39" s="52" t="s">
        <v>10</v>
      </c>
      <c r="K39" s="52" t="s">
        <v>11</v>
      </c>
      <c r="L39" s="52" t="s">
        <v>12</v>
      </c>
      <c r="M39" s="52" t="s">
        <v>13</v>
      </c>
      <c r="N39" s="52" t="s">
        <v>14</v>
      </c>
      <c r="O39" s="52" t="s">
        <v>15</v>
      </c>
      <c r="P39" s="52" t="s">
        <v>16</v>
      </c>
      <c r="Q39" s="52" t="s">
        <v>17</v>
      </c>
      <c r="R39" s="52" t="s">
        <v>18</v>
      </c>
      <c r="S39" s="52" t="s">
        <v>19</v>
      </c>
      <c r="T39" s="52" t="s">
        <v>20</v>
      </c>
      <c r="U39" s="52" t="s">
        <v>21</v>
      </c>
      <c r="V39" s="52" t="s">
        <v>22</v>
      </c>
      <c r="W39" s="52" t="s">
        <v>23</v>
      </c>
      <c r="X39" s="52" t="s">
        <v>24</v>
      </c>
      <c r="Y39" s="52" t="s">
        <v>25</v>
      </c>
      <c r="Z39" s="52" t="s">
        <v>26</v>
      </c>
      <c r="AA39" s="52" t="s">
        <v>27</v>
      </c>
      <c r="AB39" s="52" t="s">
        <v>28</v>
      </c>
      <c r="AC39" s="52" t="s">
        <v>29</v>
      </c>
      <c r="AD39" s="52" t="s">
        <v>30</v>
      </c>
      <c r="AE39" s="52" t="s">
        <v>31</v>
      </c>
      <c r="AF39" s="52" t="s">
        <v>32</v>
      </c>
      <c r="AG39" s="52" t="s">
        <v>33</v>
      </c>
      <c r="AH39" s="52" t="s">
        <v>34</v>
      </c>
      <c r="AI39" s="52" t="s">
        <v>35</v>
      </c>
      <c r="AJ39" s="52" t="s">
        <v>36</v>
      </c>
      <c r="AK39" s="52" t="s">
        <v>37</v>
      </c>
      <c r="AL39" s="52" t="s">
        <v>38</v>
      </c>
      <c r="AM39" s="15"/>
    </row>
    <row r="40" ht="12.75" customHeight="1" spans="2:39" x14ac:dyDescent="0.25">
      <c r="B40" s="16"/>
      <c r="C40" s="17"/>
      <c r="D40" s="17" t="s">
        <v>41</v>
      </c>
      <c r="E40" s="17"/>
      <c r="F40" s="17"/>
      <c r="G40" s="18">
        <f>G11</f>
      </c>
      <c r="H40" s="18">
        <f>H11</f>
      </c>
      <c r="I40" s="18">
        <f>I11</f>
      </c>
      <c r="J40" s="18">
        <f>J11</f>
      </c>
      <c r="K40" s="18">
        <f>K11</f>
      </c>
      <c r="L40" s="18">
        <f>L11</f>
      </c>
      <c r="M40" s="18">
        <f>M11</f>
      </c>
      <c r="N40" s="18">
        <f>N11</f>
      </c>
      <c r="O40" s="18">
        <f>O11</f>
      </c>
      <c r="P40" s="18">
        <f>P11</f>
      </c>
      <c r="Q40" s="18">
        <f>Q11</f>
      </c>
      <c r="R40" s="18">
        <f>R11</f>
      </c>
      <c r="S40" s="18">
        <f>S11</f>
      </c>
      <c r="T40" s="18">
        <f>T11</f>
      </c>
      <c r="U40" s="18">
        <f>U11</f>
      </c>
      <c r="V40" s="18">
        <f>V11</f>
      </c>
      <c r="W40" s="18">
        <f>W11</f>
      </c>
      <c r="X40" s="18">
        <f>X11</f>
      </c>
      <c r="Y40" s="18">
        <f>Y11</f>
      </c>
      <c r="Z40" s="18">
        <f>Z11</f>
      </c>
      <c r="AA40" s="18">
        <f>AA11</f>
      </c>
      <c r="AB40" s="18">
        <f>AB11</f>
      </c>
      <c r="AC40" s="18">
        <f>AC11</f>
      </c>
      <c r="AD40" s="18">
        <f>AD11</f>
      </c>
      <c r="AE40" s="18">
        <f>AE11</f>
      </c>
      <c r="AF40" s="18">
        <f>AF11</f>
      </c>
      <c r="AG40" s="18">
        <f>AG11</f>
      </c>
      <c r="AH40" s="18">
        <f>AH11</f>
      </c>
      <c r="AI40" s="18">
        <f>AI11</f>
      </c>
      <c r="AJ40" s="18">
        <f>AJ11</f>
      </c>
      <c r="AK40" s="18">
        <f>AK11</f>
      </c>
      <c r="AL40" s="18">
        <f>AL11</f>
      </c>
      <c r="AM40" s="19"/>
    </row>
    <row r="41" ht="12.75" customHeight="1" spans="2:39" x14ac:dyDescent="0.25">
      <c r="B41" s="16"/>
      <c r="C41" s="17"/>
      <c r="D41" s="17" t="s">
        <v>42</v>
      </c>
      <c r="E41" s="17"/>
      <c r="F41" s="17"/>
      <c r="G41" s="18">
        <f>G28</f>
      </c>
      <c r="H41" s="18">
        <f>H28</f>
      </c>
      <c r="I41" s="18">
        <f>I28</f>
      </c>
      <c r="J41" s="18">
        <f>J28</f>
      </c>
      <c r="K41" s="18">
        <f>K28</f>
      </c>
      <c r="L41" s="18">
        <f>L28</f>
      </c>
      <c r="M41" s="18">
        <f>M28</f>
      </c>
      <c r="N41" s="18">
        <f>N28</f>
      </c>
      <c r="O41" s="18">
        <f>O28</f>
      </c>
      <c r="P41" s="18">
        <f>P28</f>
      </c>
      <c r="Q41" s="18">
        <f>Q28</f>
      </c>
      <c r="R41" s="18">
        <f>R28</f>
      </c>
      <c r="S41" s="18">
        <f>S28</f>
      </c>
      <c r="T41" s="18">
        <f>T28</f>
      </c>
      <c r="U41" s="18">
        <f>U28</f>
      </c>
      <c r="V41" s="18">
        <f>V28</f>
      </c>
      <c r="W41" s="18">
        <f>W28</f>
      </c>
      <c r="X41" s="18">
        <f>X28</f>
      </c>
      <c r="Y41" s="18">
        <f>Y28</f>
      </c>
      <c r="Z41" s="18">
        <f>Z28</f>
      </c>
      <c r="AA41" s="18">
        <f>AA28</f>
      </c>
      <c r="AB41" s="18">
        <f>AB28</f>
      </c>
      <c r="AC41" s="18">
        <f>AC28</f>
      </c>
      <c r="AD41" s="18">
        <f>AD28</f>
      </c>
      <c r="AE41" s="18">
        <f>AE28</f>
      </c>
      <c r="AF41" s="18">
        <f>AF28</f>
      </c>
      <c r="AG41" s="18">
        <f>AG28</f>
      </c>
      <c r="AH41" s="18">
        <f>AH28</f>
      </c>
      <c r="AI41" s="18">
        <f>AI28</f>
      </c>
      <c r="AJ41" s="18">
        <f>AJ28</f>
      </c>
      <c r="AK41" s="18">
        <f>AK28</f>
      </c>
      <c r="AL41" s="18">
        <f>AL28</f>
      </c>
      <c r="AM41" s="19"/>
    </row>
    <row r="42" ht="12.75" customHeight="1" spans="2:39" x14ac:dyDescent="0.25">
      <c r="B42" s="16"/>
      <c r="C42" s="17"/>
      <c r="D42" s="17" t="s">
        <v>43</v>
      </c>
      <c r="E42" s="17"/>
      <c r="F42" s="17"/>
      <c r="G42" s="18">
        <f>G32</f>
      </c>
      <c r="H42" s="18">
        <f>H32</f>
      </c>
      <c r="I42" s="18">
        <f>I32</f>
      </c>
      <c r="J42" s="18">
        <f>J32</f>
      </c>
      <c r="K42" s="18">
        <f>K32</f>
      </c>
      <c r="L42" s="18">
        <f>L32</f>
      </c>
      <c r="M42" s="18">
        <f>M32</f>
      </c>
      <c r="N42" s="18">
        <f>N32</f>
      </c>
      <c r="O42" s="18">
        <f>O32</f>
      </c>
      <c r="P42" s="18">
        <f>P32</f>
      </c>
      <c r="Q42" s="18">
        <f>Q32</f>
      </c>
      <c r="R42" s="18">
        <f>R32</f>
      </c>
      <c r="S42" s="18">
        <f>S32</f>
      </c>
      <c r="T42" s="18">
        <f>T32</f>
      </c>
      <c r="U42" s="18">
        <f>U32</f>
      </c>
      <c r="V42" s="18">
        <f>V32</f>
      </c>
      <c r="W42" s="18">
        <f>W32</f>
      </c>
      <c r="X42" s="18">
        <f>X32</f>
      </c>
      <c r="Y42" s="18">
        <f>Y32</f>
      </c>
      <c r="Z42" s="18">
        <f>Z32</f>
      </c>
      <c r="AA42" s="18">
        <f>AA32</f>
      </c>
      <c r="AB42" s="18">
        <f>AB32</f>
      </c>
      <c r="AC42" s="18">
        <f>AC32</f>
      </c>
      <c r="AD42" s="18">
        <f>AD32</f>
      </c>
      <c r="AE42" s="18">
        <f>AE32</f>
      </c>
      <c r="AF42" s="18">
        <f>AF32</f>
      </c>
      <c r="AG42" s="18">
        <f>AG32</f>
      </c>
      <c r="AH42" s="18">
        <f>AH32</f>
      </c>
      <c r="AI42" s="18">
        <f>AI32</f>
      </c>
      <c r="AJ42" s="18">
        <f>AJ32</f>
      </c>
      <c r="AK42" s="18">
        <f>AK32</f>
      </c>
      <c r="AL42" s="18">
        <f>AL32</f>
      </c>
      <c r="AM42" s="19"/>
    </row>
    <row r="43" ht="12.75" customHeight="1" spans="2:39" x14ac:dyDescent="0.25">
      <c r="B43" s="16"/>
      <c r="C43" s="17"/>
      <c r="D43" s="17" t="s">
        <v>44</v>
      </c>
      <c r="E43" s="17"/>
      <c r="F43" s="17"/>
      <c r="G43" s="18">
        <f>G36</f>
      </c>
      <c r="H43" s="18">
        <f>H36</f>
      </c>
      <c r="I43" s="18">
        <f>I36</f>
      </c>
      <c r="J43" s="18">
        <f>J36</f>
      </c>
      <c r="K43" s="18">
        <f>K36</f>
      </c>
      <c r="L43" s="18">
        <f>L36</f>
      </c>
      <c r="M43" s="18">
        <f>M36</f>
      </c>
      <c r="N43" s="18">
        <f>N36</f>
      </c>
      <c r="O43" s="18">
        <f>O36</f>
      </c>
      <c r="P43" s="18">
        <f>P36</f>
      </c>
      <c r="Q43" s="18">
        <f>Q36</f>
      </c>
      <c r="R43" s="18">
        <f>R36</f>
      </c>
      <c r="S43" s="18">
        <f>S36</f>
      </c>
      <c r="T43" s="18">
        <f>T36</f>
      </c>
      <c r="U43" s="18">
        <f>U36</f>
      </c>
      <c r="V43" s="18">
        <f>V36</f>
      </c>
      <c r="W43" s="18">
        <f>W36</f>
      </c>
      <c r="X43" s="18">
        <f>X36</f>
      </c>
      <c r="Y43" s="18">
        <f>Y36</f>
      </c>
      <c r="Z43" s="18">
        <f>Z36</f>
      </c>
      <c r="AA43" s="18">
        <f>AA36</f>
      </c>
      <c r="AB43" s="18">
        <f>AB36</f>
      </c>
      <c r="AC43" s="18">
        <f>AC36</f>
      </c>
      <c r="AD43" s="18">
        <f>AD36</f>
      </c>
      <c r="AE43" s="18">
        <f>AE36</f>
      </c>
      <c r="AF43" s="18">
        <f>AF36</f>
      </c>
      <c r="AG43" s="18">
        <f>AG36</f>
      </c>
      <c r="AH43" s="18">
        <f>AH36</f>
      </c>
      <c r="AI43" s="18">
        <f>AI36</f>
      </c>
      <c r="AJ43" s="18">
        <f>AJ36</f>
      </c>
      <c r="AK43" s="18">
        <f>AK36</f>
      </c>
      <c r="AL43" s="18">
        <f>AL36</f>
      </c>
      <c r="AM43" s="19"/>
    </row>
    <row r="44" ht="12.75" customHeight="1" spans="2:39" x14ac:dyDescent="0.25">
      <c r="B44" s="20"/>
      <c r="C44" s="21"/>
      <c r="D44" s="21" t="s">
        <v>45</v>
      </c>
      <c r="E44" s="21"/>
      <c r="F44" s="21"/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2">
        <f>AK40+AK41+AK42+AK43</f>
      </c>
      <c r="AL44" s="22">
        <f>AL40+AL41+AL42+AL43</f>
      </c>
      <c r="AM44" s="23"/>
    </row>
    <row r="46" ht="12.75" customHeight="1" spans="2:39" x14ac:dyDescent="0.25">
      <c r="B46" s="11" t="s">
        <v>46</v>
      </c>
      <c r="C46" s="12"/>
      <c r="D46" s="12"/>
      <c r="E46" s="12"/>
      <c r="F46" s="12"/>
      <c r="G46" s="52" t="s">
        <v>7</v>
      </c>
      <c r="H46" s="52" t="s">
        <v>8</v>
      </c>
      <c r="I46" s="52" t="s">
        <v>9</v>
      </c>
      <c r="J46" s="52" t="s">
        <v>10</v>
      </c>
      <c r="K46" s="52" t="s">
        <v>11</v>
      </c>
      <c r="L46" s="52" t="s">
        <v>12</v>
      </c>
      <c r="M46" s="52" t="s">
        <v>13</v>
      </c>
      <c r="N46" s="52" t="s">
        <v>14</v>
      </c>
      <c r="O46" s="52" t="s">
        <v>15</v>
      </c>
      <c r="P46" s="52" t="s">
        <v>16</v>
      </c>
      <c r="Q46" s="52" t="s">
        <v>17</v>
      </c>
      <c r="R46" s="52" t="s">
        <v>18</v>
      </c>
      <c r="S46" s="52" t="s">
        <v>19</v>
      </c>
      <c r="T46" s="52" t="s">
        <v>20</v>
      </c>
      <c r="U46" s="52" t="s">
        <v>21</v>
      </c>
      <c r="V46" s="52" t="s">
        <v>22</v>
      </c>
      <c r="W46" s="52" t="s">
        <v>23</v>
      </c>
      <c r="X46" s="52" t="s">
        <v>24</v>
      </c>
      <c r="Y46" s="52" t="s">
        <v>25</v>
      </c>
      <c r="Z46" s="52" t="s">
        <v>26</v>
      </c>
      <c r="AA46" s="52" t="s">
        <v>27</v>
      </c>
      <c r="AB46" s="52" t="s">
        <v>28</v>
      </c>
      <c r="AC46" s="52" t="s">
        <v>29</v>
      </c>
      <c r="AD46" s="52" t="s">
        <v>30</v>
      </c>
      <c r="AE46" s="52" t="s">
        <v>31</v>
      </c>
      <c r="AF46" s="52" t="s">
        <v>32</v>
      </c>
      <c r="AG46" s="52" t="s">
        <v>33</v>
      </c>
      <c r="AH46" s="52" t="s">
        <v>34</v>
      </c>
      <c r="AI46" s="52" t="s">
        <v>35</v>
      </c>
      <c r="AJ46" s="52" t="s">
        <v>36</v>
      </c>
      <c r="AK46" s="52" t="s">
        <v>37</v>
      </c>
      <c r="AL46" s="52" t="s">
        <v>38</v>
      </c>
      <c r="AM46" s="15"/>
    </row>
    <row r="47" ht="12.75" customHeight="1" spans="2:39" x14ac:dyDescent="0.25">
      <c r="B47" s="16"/>
      <c r="C47" s="17"/>
      <c r="D47" s="17" t="s">
        <v>41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16"/>
      <c r="C48" s="17"/>
      <c r="D48" s="17" t="s">
        <v>42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16"/>
      <c r="C49" s="17"/>
      <c r="D49" s="17" t="s">
        <v>43</v>
      </c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9"/>
    </row>
    <row r="50" ht="12.75" customHeight="1" spans="2:39" x14ac:dyDescent="0.25">
      <c r="B50" s="16"/>
      <c r="C50" s="17"/>
      <c r="D50" s="17" t="s">
        <v>44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20"/>
      <c r="C51" s="21"/>
      <c r="D51" s="21" t="s">
        <v>45</v>
      </c>
      <c r="E51" s="21"/>
      <c r="F51" s="21"/>
      <c r="G51" s="22">
        <f>G47+G48+G49+G50</f>
      </c>
      <c r="H51" s="22">
        <f>H47+H48+H49+H50</f>
      </c>
      <c r="I51" s="22">
        <f>I47+I48+I49+I50</f>
      </c>
      <c r="J51" s="22">
        <f>J47+J48+J49+J50</f>
      </c>
      <c r="K51" s="22">
        <f>K47+K48+K49+K50</f>
      </c>
      <c r="L51" s="22">
        <f>L47+L48+L49+L50</f>
      </c>
      <c r="M51" s="22">
        <f>M47+M48+M49+M50</f>
      </c>
      <c r="N51" s="22">
        <f>N47+N48+N49+N50</f>
      </c>
      <c r="O51" s="22">
        <f>O47+O48+O49+O50</f>
      </c>
      <c r="P51" s="22">
        <f>P47+P48+P49+P50</f>
      </c>
      <c r="Q51" s="22">
        <f>Q47+Q48+Q49+Q50</f>
      </c>
      <c r="R51" s="22">
        <f>R47+R48+R49+R50</f>
      </c>
      <c r="S51" s="22">
        <f>S47+S48+S49+S50</f>
      </c>
      <c r="T51" s="22">
        <f>T47+T48+T49+T50</f>
      </c>
      <c r="U51" s="22">
        <f>U47+U48+U49+U50</f>
      </c>
      <c r="V51" s="22">
        <f>V47+V48+V49+V50</f>
      </c>
      <c r="W51" s="22">
        <f>W47+W48+W49+W50</f>
      </c>
      <c r="X51" s="22">
        <f>X47+X48+X49+X50</f>
      </c>
      <c r="Y51" s="22">
        <f>Y47+Y48+Y49+Y50</f>
      </c>
      <c r="Z51" s="22">
        <f>Z47+Z48+Z49+Z50</f>
      </c>
      <c r="AA51" s="22">
        <f>AA47+AA48+AA49+AA50</f>
      </c>
      <c r="AB51" s="22">
        <f>AB47+AB48+AB49+AB50</f>
      </c>
      <c r="AC51" s="22">
        <f>AC47+AC48+AC49+AC50</f>
      </c>
      <c r="AD51" s="22">
        <f>AD47+AD48+AD49+AD50</f>
      </c>
      <c r="AE51" s="22">
        <f>AE47+AE48+AE49+AE50</f>
      </c>
      <c r="AF51" s="22">
        <f>AF47+AF48+AF49+AF50</f>
      </c>
      <c r="AG51" s="22">
        <f>AG47+AG48+AG49+AG50</f>
      </c>
      <c r="AH51" s="22">
        <f>AH47+AH48+AH49+AH50</f>
      </c>
      <c r="AI51" s="22">
        <f>AI47+AI48+AI49+AI50</f>
      </c>
      <c r="AJ51" s="22">
        <f>AJ47+AJ48+AJ49+AJ50</f>
      </c>
      <c r="AK51" s="22">
        <f>AK47+AK48+AK49+AK50</f>
      </c>
      <c r="AL51" s="22">
        <f>AL47+AL48+AL49+AL50</f>
      </c>
      <c r="AM51" s="23"/>
    </row>
    <row r="53" ht="12.75" customHeight="1" spans="2:39" x14ac:dyDescent="0.25">
      <c r="B53" s="11" t="s">
        <v>47</v>
      </c>
      <c r="C53" s="12"/>
      <c r="D53" s="12"/>
      <c r="E53" s="12"/>
      <c r="F53" s="12"/>
      <c r="G53" s="52" t="s">
        <v>7</v>
      </c>
      <c r="H53" s="52" t="s">
        <v>8</v>
      </c>
      <c r="I53" s="52" t="s">
        <v>9</v>
      </c>
      <c r="J53" s="52" t="s">
        <v>10</v>
      </c>
      <c r="K53" s="52" t="s">
        <v>11</v>
      </c>
      <c r="L53" s="52" t="s">
        <v>12</v>
      </c>
      <c r="M53" s="52" t="s">
        <v>13</v>
      </c>
      <c r="N53" s="52" t="s">
        <v>14</v>
      </c>
      <c r="O53" s="52" t="s">
        <v>15</v>
      </c>
      <c r="P53" s="52" t="s">
        <v>16</v>
      </c>
      <c r="Q53" s="52" t="s">
        <v>17</v>
      </c>
      <c r="R53" s="52" t="s">
        <v>18</v>
      </c>
      <c r="S53" s="52" t="s">
        <v>19</v>
      </c>
      <c r="T53" s="52" t="s">
        <v>20</v>
      </c>
      <c r="U53" s="52" t="s">
        <v>21</v>
      </c>
      <c r="V53" s="52" t="s">
        <v>22</v>
      </c>
      <c r="W53" s="52" t="s">
        <v>23</v>
      </c>
      <c r="X53" s="52" t="s">
        <v>24</v>
      </c>
      <c r="Y53" s="52" t="s">
        <v>25</v>
      </c>
      <c r="Z53" s="52" t="s">
        <v>26</v>
      </c>
      <c r="AA53" s="52" t="s">
        <v>27</v>
      </c>
      <c r="AB53" s="52" t="s">
        <v>28</v>
      </c>
      <c r="AC53" s="52" t="s">
        <v>29</v>
      </c>
      <c r="AD53" s="52" t="s">
        <v>30</v>
      </c>
      <c r="AE53" s="52" t="s">
        <v>31</v>
      </c>
      <c r="AF53" s="52" t="s">
        <v>32</v>
      </c>
      <c r="AG53" s="52" t="s">
        <v>33</v>
      </c>
      <c r="AH53" s="52" t="s">
        <v>34</v>
      </c>
      <c r="AI53" s="52" t="s">
        <v>35</v>
      </c>
      <c r="AJ53" s="52" t="s">
        <v>36</v>
      </c>
      <c r="AK53" s="52" t="s">
        <v>37</v>
      </c>
      <c r="AL53" s="52" t="s">
        <v>38</v>
      </c>
      <c r="AM53" s="15"/>
    </row>
    <row r="54" ht="12.75" customHeight="1" spans="2:39" x14ac:dyDescent="0.25">
      <c r="B54" s="16"/>
      <c r="C54" s="17"/>
      <c r="D54" s="17" t="s">
        <v>41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16"/>
      <c r="C55" s="17"/>
      <c r="D55" s="17" t="s">
        <v>42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16"/>
      <c r="C56" s="17"/>
      <c r="D56" s="17" t="s">
        <v>43</v>
      </c>
      <c r="E56" s="17"/>
      <c r="F56" s="17"/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24">
        <f>AK49-AK42</f>
      </c>
      <c r="AL56" s="24">
        <f>AL49-AL42</f>
      </c>
      <c r="AM56" s="19"/>
    </row>
    <row r="57" ht="12.75" customHeight="1" spans="2:39" x14ac:dyDescent="0.25">
      <c r="B57" s="16"/>
      <c r="C57" s="17"/>
      <c r="D57" s="17" t="s">
        <v>44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20"/>
      <c r="C58" s="21"/>
      <c r="D58" s="21" t="s">
        <v>45</v>
      </c>
      <c r="E58" s="21"/>
      <c r="F58" s="21"/>
      <c r="G58" s="25">
        <f>G54+G55+G56+G57</f>
      </c>
      <c r="H58" s="25">
        <f>H54+H55+H56+H57</f>
      </c>
      <c r="I58" s="25">
        <f>I54+I55+I56+I57</f>
      </c>
      <c r="J58" s="25">
        <f>J54+J55+J56+J57</f>
      </c>
      <c r="K58" s="25">
        <f>K54+K55+K56+K57</f>
      </c>
      <c r="L58" s="25">
        <f>L54+L55+L56+L57</f>
      </c>
      <c r="M58" s="25">
        <f>M54+M55+M56+M57</f>
      </c>
      <c r="N58" s="25">
        <f>N54+N55+N56+N57</f>
      </c>
      <c r="O58" s="25">
        <f>O54+O55+O56+O57</f>
      </c>
      <c r="P58" s="25">
        <f>P54+P55+P56+P57</f>
      </c>
      <c r="Q58" s="25">
        <f>Q54+Q55+Q56+Q57</f>
      </c>
      <c r="R58" s="25">
        <f>R54+R55+R56+R57</f>
      </c>
      <c r="S58" s="25">
        <f>S54+S55+S56+S57</f>
      </c>
      <c r="T58" s="25">
        <f>T54+T55+T56+T57</f>
      </c>
      <c r="U58" s="25">
        <f>U54+U55+U56+U57</f>
      </c>
      <c r="V58" s="25">
        <f>V54+V55+V56+V57</f>
      </c>
      <c r="W58" s="25">
        <f>W54+W55+W56+W57</f>
      </c>
      <c r="X58" s="25">
        <f>X54+X55+X56+X57</f>
      </c>
      <c r="Y58" s="25">
        <f>Y54+Y55+Y56+Y57</f>
      </c>
      <c r="Z58" s="25">
        <f>Z54+Z55+Z56+Z57</f>
      </c>
      <c r="AA58" s="25">
        <f>AA54+AA55+AA56+AA57</f>
      </c>
      <c r="AB58" s="25">
        <f>AB54+AB55+AB56+AB57</f>
      </c>
      <c r="AC58" s="25">
        <f>AC54+AC55+AC56+AC57</f>
      </c>
      <c r="AD58" s="25">
        <f>AD54+AD55+AD56+AD57</f>
      </c>
      <c r="AE58" s="25">
        <f>AE54+AE55+AE56+AE57</f>
      </c>
      <c r="AF58" s="25">
        <f>AF54+AF55+AF56+AF57</f>
      </c>
      <c r="AG58" s="25">
        <f>AG54+AG55+AG56+AG57</f>
      </c>
      <c r="AH58" s="25">
        <f>AH54+AH55+AH56+AH57</f>
      </c>
      <c r="AI58" s="25">
        <f>AI54+AI55+AI56+AI57</f>
      </c>
      <c r="AJ58" s="25">
        <f>AJ54+AJ55+AJ56+AJ57</f>
      </c>
      <c r="AK58" s="25">
        <f>AK54+AK55+AK56+AK57</f>
      </c>
      <c r="AL58" s="25">
        <f>AL54+AL55+AL56+AL57</f>
      </c>
      <c r="AM5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1139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1140</v>
      </c>
      <c r="D13" s="32" t="s">
        <v>1141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>
        <v>18.27</v>
      </c>
      <c r="AA13" s="36">
        <f>18.27+0.00</f>
        <v>18.27</v>
      </c>
      <c r="AB13" s="32"/>
      <c r="AC13" s="36">
        <f>18.27+18.27</f>
        <v>36.54</v>
      </c>
      <c r="AD13" s="33">
        <v>18.27</v>
      </c>
      <c r="AE13" s="32"/>
      <c r="AF13" s="33">
        <v>18.27</v>
      </c>
      <c r="AG13" s="33">
        <v>18.42</v>
      </c>
      <c r="AH13" s="33">
        <v>18.27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1140</v>
      </c>
      <c r="D14" s="32" t="s">
        <v>1142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>
        <v>713.86</v>
      </c>
      <c r="AA14" s="36">
        <f>760.17+-22.18</f>
        <v>737.99</v>
      </c>
      <c r="AB14" s="32"/>
      <c r="AC14" s="33">
        <v>661.16</v>
      </c>
      <c r="AD14" s="36">
        <f>929.64+658.75</f>
        <v>1588.3899999999999</v>
      </c>
      <c r="AE14" s="32"/>
      <c r="AF14" s="33">
        <v>1023.49</v>
      </c>
      <c r="AG14" s="33">
        <v>1058.17</v>
      </c>
      <c r="AH14" s="33">
        <v>1208.29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1140</v>
      </c>
      <c r="D15" s="32" t="s">
        <v>1143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3">
        <v>22.68</v>
      </c>
      <c r="AA15" s="36">
        <f>22.22+-0.46</f>
        <v>21.759999999999998</v>
      </c>
      <c r="AB15" s="32"/>
      <c r="AC15" s="33">
        <v>21.18</v>
      </c>
      <c r="AD15" s="36">
        <f>20.61+20.61</f>
        <v>41.22</v>
      </c>
      <c r="AE15" s="32"/>
      <c r="AF15" s="33">
        <v>21.64</v>
      </c>
      <c r="AG15" s="33">
        <v>21.99</v>
      </c>
      <c r="AH15" s="33">
        <v>20.66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1140</v>
      </c>
      <c r="D16" s="32" t="s">
        <v>1144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>
        <v>319.14</v>
      </c>
      <c r="AA16" s="36">
        <f>269.13+-44.07</f>
        <v>225.06</v>
      </c>
      <c r="AB16" s="32"/>
      <c r="AC16" s="33">
        <v>290</v>
      </c>
      <c r="AD16" s="36">
        <f>115.48+177.39</f>
        <v>292.87</v>
      </c>
      <c r="AE16" s="32"/>
      <c r="AF16" s="33">
        <v>76.97</v>
      </c>
      <c r="AG16" s="33">
        <v>97.62</v>
      </c>
      <c r="AH16" s="33">
        <v>204.58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1140</v>
      </c>
      <c r="D17" s="32" t="s">
        <v>1145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>
        <v>539.63</v>
      </c>
      <c r="AA17" s="36">
        <f>682.30+689.14</f>
        <v>1371.44</v>
      </c>
      <c r="AB17" s="32"/>
      <c r="AC17" s="36">
        <f>584.99+795.52</f>
        <v>1380.51</v>
      </c>
      <c r="AD17" s="33">
        <v>667.86</v>
      </c>
      <c r="AE17" s="32"/>
      <c r="AF17" s="33">
        <v>764.18</v>
      </c>
      <c r="AG17" s="33">
        <v>846.64</v>
      </c>
      <c r="AH17" s="33">
        <v>1066.08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1140</v>
      </c>
      <c r="D18" s="32" t="s">
        <v>1146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>
        <v>453.28</v>
      </c>
      <c r="AA18" s="36">
        <f>370.18+-47.40</f>
        <v>322.78000000000003</v>
      </c>
      <c r="AB18" s="32"/>
      <c r="AC18" s="33">
        <v>424.24</v>
      </c>
      <c r="AD18" s="36">
        <f>450.75+462.61</f>
        <v>913.36</v>
      </c>
      <c r="AE18" s="32"/>
      <c r="AF18" s="33">
        <v>435.08</v>
      </c>
      <c r="AG18" s="33">
        <v>391</v>
      </c>
      <c r="AH18" s="33">
        <v>440.08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1140</v>
      </c>
      <c r="D19" s="32" t="s">
        <v>1147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>
        <v>66.75</v>
      </c>
      <c r="AA19" s="36">
        <f>3.78+67.06</f>
        <v>70.84</v>
      </c>
      <c r="AB19" s="32"/>
      <c r="AC19" s="33">
        <v>73.46</v>
      </c>
      <c r="AD19" s="36">
        <f>77.70+65.70</f>
        <v>143.4</v>
      </c>
      <c r="AE19" s="32"/>
      <c r="AF19" s="33">
        <v>73.02</v>
      </c>
      <c r="AG19" s="33">
        <v>65.41</v>
      </c>
      <c r="AH19" s="33">
        <v>70.04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1140</v>
      </c>
      <c r="D20" s="32" t="s">
        <v>1148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>
        <v>348.88</v>
      </c>
      <c r="AA20" s="36">
        <f>145.60+-101.34</f>
        <v>44.25999999999999</v>
      </c>
      <c r="AB20" s="32"/>
      <c r="AC20" s="36">
        <f>241.79+243.84</f>
        <v>485.63</v>
      </c>
      <c r="AD20" s="33">
        <v>241.93</v>
      </c>
      <c r="AE20" s="32"/>
      <c r="AF20" s="33">
        <v>238.71</v>
      </c>
      <c r="AG20" s="33">
        <v>237.71</v>
      </c>
      <c r="AH20" s="33">
        <v>238.61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1140</v>
      </c>
      <c r="D21" s="32" t="s">
        <v>1149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>
        <v>61.73</v>
      </c>
      <c r="AA21" s="36">
        <f>50.49+-7.45</f>
        <v>43.04</v>
      </c>
      <c r="AB21" s="32"/>
      <c r="AC21" s="33">
        <v>59.12</v>
      </c>
      <c r="AD21" s="36">
        <f>54.27+54.72</f>
        <v>108.99000000000001</v>
      </c>
      <c r="AE21" s="32"/>
      <c r="AF21" s="33">
        <v>68.48</v>
      </c>
      <c r="AG21" s="33">
        <v>57.35</v>
      </c>
      <c r="AH21" s="33">
        <v>60.18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1140</v>
      </c>
      <c r="D22" s="32" t="s">
        <v>1150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6">
        <f>398.60+0.00</f>
        <v>398.6</v>
      </c>
      <c r="AA22" s="36">
        <f>324.31+0.00+0.00+-62.90</f>
        <v>261.41</v>
      </c>
      <c r="AB22" s="32"/>
      <c r="AC22" s="36">
        <f>0.00+296.00+307.09+0.00</f>
        <v>603.0899999999999</v>
      </c>
      <c r="AD22" s="36">
        <f>184.15+0.00</f>
        <v>184.15</v>
      </c>
      <c r="AE22" s="32"/>
      <c r="AF22" s="36">
        <f>154.71+0.00</f>
        <v>154.71</v>
      </c>
      <c r="AG22" s="36">
        <f>173.27+0.00</f>
        <v>173.27</v>
      </c>
      <c r="AH22" s="36">
        <f>209.80+0.00</f>
        <v>209.8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1140</v>
      </c>
      <c r="D23" s="32" t="s">
        <v>1151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3">
        <v>21.31</v>
      </c>
      <c r="Z23" s="33">
        <v>21.31</v>
      </c>
      <c r="AA23" s="36">
        <f>20.55+-21.62</f>
        <v>-1.0700000000000003</v>
      </c>
      <c r="AB23" s="32"/>
      <c r="AC23" s="33">
        <v>21.34</v>
      </c>
      <c r="AD23" s="36">
        <f>-0.14+-0.14</f>
        <v>-0.28</v>
      </c>
      <c r="AE23" s="32"/>
      <c r="AF23" s="33">
        <v>43.71</v>
      </c>
      <c r="AG23" s="33">
        <v>21.99</v>
      </c>
      <c r="AH23" s="33">
        <v>22.16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1140</v>
      </c>
      <c r="D24" s="32" t="s">
        <v>1152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3">
        <v>21.17</v>
      </c>
      <c r="AA24" s="36">
        <f>20.85+0.00</f>
        <v>20.85</v>
      </c>
      <c r="AB24" s="32"/>
      <c r="AC24" s="33">
        <v>21.48</v>
      </c>
      <c r="AD24" s="36">
        <f>21.48+21.34</f>
        <v>42.82</v>
      </c>
      <c r="AE24" s="32"/>
      <c r="AF24" s="33">
        <v>21.92</v>
      </c>
      <c r="AG24" s="33">
        <v>21.99</v>
      </c>
      <c r="AH24" s="33">
        <v>21.99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1140</v>
      </c>
      <c r="D25" s="32" t="s">
        <v>1153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71.61</v>
      </c>
      <c r="AA25" s="36">
        <f>107.78+41.02</f>
        <v>148.8</v>
      </c>
      <c r="AB25" s="32"/>
      <c r="AC25" s="33">
        <v>64.53</v>
      </c>
      <c r="AD25" s="36">
        <f>38.18+71.12</f>
        <v>109.30000000000001</v>
      </c>
      <c r="AE25" s="32"/>
      <c r="AF25" s="33">
        <v>43.75</v>
      </c>
      <c r="AG25" s="33">
        <v>53.32</v>
      </c>
      <c r="AH25" s="33">
        <v>114.92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1140</v>
      </c>
      <c r="D26" s="32" t="s">
        <v>1154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>
        <v>139.01</v>
      </c>
      <c r="AA26" s="36">
        <f>147.37+134.20</f>
        <v>281.57</v>
      </c>
      <c r="AB26" s="32"/>
      <c r="AC26" s="33">
        <v>116.03</v>
      </c>
      <c r="AD26" s="36">
        <f>59.31+84.02</f>
        <v>143.32999999999998</v>
      </c>
      <c r="AE26" s="32"/>
      <c r="AF26" s="36">
        <f>40.08+48.28</f>
        <v>88.36</v>
      </c>
      <c r="AG26" s="32"/>
      <c r="AH26" s="33">
        <v>38.04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1140</v>
      </c>
      <c r="D27" s="32" t="s">
        <v>1155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>
        <v>177.43</v>
      </c>
      <c r="AA27" s="36">
        <f>171.36+130.91</f>
        <v>302.27</v>
      </c>
      <c r="AB27" s="32"/>
      <c r="AC27" s="33">
        <v>154.88</v>
      </c>
      <c r="AD27" s="36">
        <f>36.68+106.73</f>
        <v>143.41</v>
      </c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85</v>
      </c>
      <c r="C29" s="21"/>
      <c r="D29" s="21"/>
      <c r="E29" s="22">
        <f>SUM(E13:E27)</f>
      </c>
      <c r="F29" s="22">
        <f>SUM(F13:F27)</f>
      </c>
      <c r="G29" s="22">
        <f>SUM(G13:G27)</f>
      </c>
      <c r="H29" s="22">
        <f>SUM(H13:H27)</f>
      </c>
      <c r="I29" s="22">
        <f>SUM(I13:I27)</f>
      </c>
      <c r="J29" s="22">
        <f>SUM(J13:J27)</f>
      </c>
      <c r="K29" s="22">
        <f>SUM(K13:K27)</f>
      </c>
      <c r="L29" s="22">
        <f>SUM(L13:L27)</f>
      </c>
      <c r="M29" s="22">
        <f>SUM(M13:M27)</f>
      </c>
      <c r="N29" s="22">
        <f>SUM(N13:N27)</f>
      </c>
      <c r="O29" s="22">
        <f>SUM(O13:O27)</f>
      </c>
      <c r="P29" s="22">
        <f>SUM(P13:P27)</f>
      </c>
      <c r="Q29" s="22">
        <f>SUM(Q13:Q27)</f>
      </c>
      <c r="R29" s="22">
        <f>SUM(R13:R27)</f>
      </c>
      <c r="S29" s="22">
        <f>SUM(S13:S27)</f>
      </c>
      <c r="T29" s="22">
        <f>SUM(T13:T27)</f>
      </c>
      <c r="U29" s="22">
        <f>SUM(U13:U27)</f>
      </c>
      <c r="V29" s="22">
        <f>SUM(V13:V27)</f>
      </c>
      <c r="W29" s="22">
        <f>SUM(W13:W27)</f>
      </c>
      <c r="X29" s="22">
        <f>SUM(X13:X27)</f>
      </c>
      <c r="Y29" s="22">
        <f>SUM(Y13:Y27)</f>
      </c>
      <c r="Z29" s="22">
        <f>SUM(Z13:Z27)</f>
      </c>
      <c r="AA29" s="22">
        <f>SUM(AA13:AA27)</f>
      </c>
      <c r="AB29" s="22">
        <f>SUM(AB13:AB27)</f>
      </c>
      <c r="AC29" s="22">
        <f>SUM(AC13:AC27)</f>
      </c>
      <c r="AD29" s="22">
        <f>SUM(AD13:AD27)</f>
      </c>
      <c r="AE29" s="22">
        <f>SUM(AE13:AE27)</f>
      </c>
      <c r="AF29" s="22">
        <f>SUM(AF13:AF27)</f>
      </c>
      <c r="AG29" s="22">
        <f>SUM(AG13:AG27)</f>
      </c>
      <c r="AH29" s="22">
        <f>SUM(AH13:AH27)</f>
      </c>
      <c r="AI29" s="22">
        <f>SUM(AI13:AI27)</f>
      </c>
      <c r="AJ29" s="22">
        <f>SUM(AJ13:AJ27)</f>
      </c>
      <c r="AK29" s="23"/>
    </row>
    <row r="31" ht="12.75" customHeight="1" spans="2:37" x14ac:dyDescent="0.25">
      <c r="B31" s="26" t="s">
        <v>43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89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3"/>
    </row>
    <row r="35" ht="12.75" customHeight="1" spans="2:37" x14ac:dyDescent="0.25">
      <c r="B35" s="26" t="s">
        <v>44</v>
      </c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9"/>
    </row>
    <row r="36" ht="12.75" customHeight="1" spans="2:37" x14ac:dyDescent="0.25"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40"/>
    </row>
    <row r="37" ht="12.75" customHeight="1" spans="2:37" x14ac:dyDescent="0.25">
      <c r="B37" s="20" t="s">
        <v>90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3"/>
    </row>
    <row r="40" ht="12.75" customHeight="1" spans="2:37" x14ac:dyDescent="0.25">
      <c r="B40" s="11" t="s">
        <v>40</v>
      </c>
      <c r="C40" s="12"/>
      <c r="D40" s="13"/>
      <c r="E40" s="14" t="s">
        <v>7</v>
      </c>
      <c r="F40" s="14" t="s">
        <v>8</v>
      </c>
      <c r="G40" s="14" t="s">
        <v>9</v>
      </c>
      <c r="H40" s="14" t="s">
        <v>10</v>
      </c>
      <c r="I40" s="14" t="s">
        <v>11</v>
      </c>
      <c r="J40" s="14" t="s">
        <v>12</v>
      </c>
      <c r="K40" s="14" t="s">
        <v>13</v>
      </c>
      <c r="L40" s="14" t="s">
        <v>14</v>
      </c>
      <c r="M40" s="14" t="s">
        <v>15</v>
      </c>
      <c r="N40" s="14" t="s">
        <v>16</v>
      </c>
      <c r="O40" s="14" t="s">
        <v>17</v>
      </c>
      <c r="P40" s="14" t="s">
        <v>18</v>
      </c>
      <c r="Q40" s="14" t="s">
        <v>19</v>
      </c>
      <c r="R40" s="14" t="s">
        <v>20</v>
      </c>
      <c r="S40" s="14" t="s">
        <v>21</v>
      </c>
      <c r="T40" s="14" t="s">
        <v>22</v>
      </c>
      <c r="U40" s="14" t="s">
        <v>23</v>
      </c>
      <c r="V40" s="14" t="s">
        <v>24</v>
      </c>
      <c r="W40" s="14" t="s">
        <v>25</v>
      </c>
      <c r="X40" s="14" t="s">
        <v>26</v>
      </c>
      <c r="Y40" s="14" t="s">
        <v>27</v>
      </c>
      <c r="Z40" s="14" t="s">
        <v>28</v>
      </c>
      <c r="AA40" s="14" t="s">
        <v>29</v>
      </c>
      <c r="AB40" s="14" t="s">
        <v>30</v>
      </c>
      <c r="AC40" s="14" t="s">
        <v>31</v>
      </c>
      <c r="AD40" s="14" t="s">
        <v>32</v>
      </c>
      <c r="AE40" s="14" t="s">
        <v>33</v>
      </c>
      <c r="AF40" s="14" t="s">
        <v>34</v>
      </c>
      <c r="AG40" s="14" t="s">
        <v>35</v>
      </c>
      <c r="AH40" s="14" t="s">
        <v>36</v>
      </c>
      <c r="AI40" s="14" t="s">
        <v>37</v>
      </c>
      <c r="AJ40" s="14" t="s">
        <v>38</v>
      </c>
      <c r="AK40" s="15"/>
    </row>
    <row r="41" ht="12.75" customHeight="1" spans="2:37" x14ac:dyDescent="0.25">
      <c r="B41" s="16" t="s">
        <v>41</v>
      </c>
      <c r="C41" s="17"/>
      <c r="D41" s="17"/>
      <c r="E41" s="18">
        <f>E10</f>
      </c>
      <c r="F41" s="18">
        <f>F10</f>
      </c>
      <c r="G41" s="18">
        <f>G10</f>
      </c>
      <c r="H41" s="18">
        <f>H10</f>
      </c>
      <c r="I41" s="18">
        <f>I10</f>
      </c>
      <c r="J41" s="18">
        <f>J10</f>
      </c>
      <c r="K41" s="18">
        <f>K10</f>
      </c>
      <c r="L41" s="18">
        <f>L10</f>
      </c>
      <c r="M41" s="18">
        <f>M10</f>
      </c>
      <c r="N41" s="18">
        <f>N10</f>
      </c>
      <c r="O41" s="18">
        <f>O10</f>
      </c>
      <c r="P41" s="18">
        <f>P10</f>
      </c>
      <c r="Q41" s="18">
        <f>Q10</f>
      </c>
      <c r="R41" s="18">
        <f>R10</f>
      </c>
      <c r="S41" s="18">
        <f>S10</f>
      </c>
      <c r="T41" s="18">
        <f>T10</f>
      </c>
      <c r="U41" s="18">
        <f>U10</f>
      </c>
      <c r="V41" s="18">
        <f>V10</f>
      </c>
      <c r="W41" s="18">
        <f>W10</f>
      </c>
      <c r="X41" s="18">
        <f>X10</f>
      </c>
      <c r="Y41" s="18">
        <f>Y10</f>
      </c>
      <c r="Z41" s="18">
        <f>Z10</f>
      </c>
      <c r="AA41" s="18">
        <f>AA10</f>
      </c>
      <c r="AB41" s="18">
        <f>AB10</f>
      </c>
      <c r="AC41" s="18">
        <f>AC10</f>
      </c>
      <c r="AD41" s="18">
        <f>AD10</f>
      </c>
      <c r="AE41" s="18">
        <f>AE10</f>
      </c>
      <c r="AF41" s="18">
        <f>AF10</f>
      </c>
      <c r="AG41" s="18">
        <f>AG10</f>
      </c>
      <c r="AH41" s="18">
        <f>AH10</f>
      </c>
      <c r="AI41" s="18">
        <f>AI10</f>
      </c>
      <c r="AJ41" s="18">
        <f>AJ10</f>
      </c>
      <c r="AK41" s="19"/>
    </row>
    <row r="42" ht="12.75" customHeight="1" spans="2:37" x14ac:dyDescent="0.25">
      <c r="B42" s="16" t="s">
        <v>42</v>
      </c>
      <c r="C42" s="17"/>
      <c r="D42" s="17"/>
      <c r="E42" s="18">
        <f>E29</f>
      </c>
      <c r="F42" s="18">
        <f>F29</f>
      </c>
      <c r="G42" s="18">
        <f>G29</f>
      </c>
      <c r="H42" s="18">
        <f>H29</f>
      </c>
      <c r="I42" s="18">
        <f>I29</f>
      </c>
      <c r="J42" s="18">
        <f>J29</f>
      </c>
      <c r="K42" s="18">
        <f>K29</f>
      </c>
      <c r="L42" s="18">
        <f>L29</f>
      </c>
      <c r="M42" s="18">
        <f>M29</f>
      </c>
      <c r="N42" s="18">
        <f>N29</f>
      </c>
      <c r="O42" s="18">
        <f>O29</f>
      </c>
      <c r="P42" s="18">
        <f>P29</f>
      </c>
      <c r="Q42" s="18">
        <f>Q29</f>
      </c>
      <c r="R42" s="18">
        <f>R29</f>
      </c>
      <c r="S42" s="18">
        <f>S29</f>
      </c>
      <c r="T42" s="18">
        <f>T29</f>
      </c>
      <c r="U42" s="18">
        <f>U29</f>
      </c>
      <c r="V42" s="18">
        <f>V29</f>
      </c>
      <c r="W42" s="18">
        <f>W29</f>
      </c>
      <c r="X42" s="18">
        <f>X29</f>
      </c>
      <c r="Y42" s="18">
        <f>Y29</f>
      </c>
      <c r="Z42" s="18">
        <f>Z29</f>
      </c>
      <c r="AA42" s="18">
        <f>AA29</f>
      </c>
      <c r="AB42" s="18">
        <f>AB29</f>
      </c>
      <c r="AC42" s="18">
        <f>AC29</f>
      </c>
      <c r="AD42" s="18">
        <f>AD29</f>
      </c>
      <c r="AE42" s="18">
        <f>AE29</f>
      </c>
      <c r="AF42" s="18">
        <f>AF29</f>
      </c>
      <c r="AG42" s="18">
        <f>AG29</f>
      </c>
      <c r="AH42" s="18">
        <f>AH29</f>
      </c>
      <c r="AI42" s="18">
        <f>AI29</f>
      </c>
      <c r="AJ42" s="18">
        <f>AJ29</f>
      </c>
      <c r="AK42" s="19"/>
    </row>
    <row r="43" ht="12.75" customHeight="1" spans="2:37" x14ac:dyDescent="0.25">
      <c r="B43" s="16" t="s">
        <v>43</v>
      </c>
      <c r="C43" s="17"/>
      <c r="D43" s="17"/>
      <c r="E43" s="18">
        <f>E33</f>
      </c>
      <c r="F43" s="18">
        <f>F33</f>
      </c>
      <c r="G43" s="18">
        <f>G33</f>
      </c>
      <c r="H43" s="18">
        <f>H33</f>
      </c>
      <c r="I43" s="18">
        <f>I33</f>
      </c>
      <c r="J43" s="18">
        <f>J33</f>
      </c>
      <c r="K43" s="18">
        <f>K33</f>
      </c>
      <c r="L43" s="18">
        <f>L33</f>
      </c>
      <c r="M43" s="18">
        <f>M33</f>
      </c>
      <c r="N43" s="18">
        <f>N33</f>
      </c>
      <c r="O43" s="18">
        <f>O33</f>
      </c>
      <c r="P43" s="18">
        <f>P33</f>
      </c>
      <c r="Q43" s="18">
        <f>Q33</f>
      </c>
      <c r="R43" s="18">
        <f>R33</f>
      </c>
      <c r="S43" s="18">
        <f>S33</f>
      </c>
      <c r="T43" s="18">
        <f>T33</f>
      </c>
      <c r="U43" s="18">
        <f>U33</f>
      </c>
      <c r="V43" s="18">
        <f>V33</f>
      </c>
      <c r="W43" s="18">
        <f>W33</f>
      </c>
      <c r="X43" s="18">
        <f>X33</f>
      </c>
      <c r="Y43" s="18">
        <f>Y33</f>
      </c>
      <c r="Z43" s="18">
        <f>Z33</f>
      </c>
      <c r="AA43" s="18">
        <f>AA33</f>
      </c>
      <c r="AB43" s="18">
        <f>AB33</f>
      </c>
      <c r="AC43" s="18">
        <f>AC33</f>
      </c>
      <c r="AD43" s="18">
        <f>AD33</f>
      </c>
      <c r="AE43" s="18">
        <f>AE33</f>
      </c>
      <c r="AF43" s="18">
        <f>AF33</f>
      </c>
      <c r="AG43" s="18">
        <f>AG33</f>
      </c>
      <c r="AH43" s="18">
        <f>AH33</f>
      </c>
      <c r="AI43" s="18">
        <f>AI33</f>
      </c>
      <c r="AJ43" s="18">
        <f>AJ33</f>
      </c>
      <c r="AK43" s="19"/>
    </row>
    <row r="44" ht="12.75" customHeight="1" spans="2:37" x14ac:dyDescent="0.25">
      <c r="B44" s="16" t="s">
        <v>44</v>
      </c>
      <c r="C44" s="17"/>
      <c r="D44" s="17"/>
      <c r="E44" s="18">
        <f>E37</f>
      </c>
      <c r="F44" s="18">
        <f>F37</f>
      </c>
      <c r="G44" s="18">
        <f>G37</f>
      </c>
      <c r="H44" s="18">
        <f>H37</f>
      </c>
      <c r="I44" s="18">
        <f>I37</f>
      </c>
      <c r="J44" s="18">
        <f>J37</f>
      </c>
      <c r="K44" s="18">
        <f>K37</f>
      </c>
      <c r="L44" s="18">
        <f>L37</f>
      </c>
      <c r="M44" s="18">
        <f>M37</f>
      </c>
      <c r="N44" s="18">
        <f>N37</f>
      </c>
      <c r="O44" s="18">
        <f>O37</f>
      </c>
      <c r="P44" s="18">
        <f>P37</f>
      </c>
      <c r="Q44" s="18">
        <f>Q37</f>
      </c>
      <c r="R44" s="18">
        <f>R37</f>
      </c>
      <c r="S44" s="18">
        <f>S37</f>
      </c>
      <c r="T44" s="18">
        <f>T37</f>
      </c>
      <c r="U44" s="18">
        <f>U37</f>
      </c>
      <c r="V44" s="18">
        <f>V37</f>
      </c>
      <c r="W44" s="18">
        <f>W37</f>
      </c>
      <c r="X44" s="18">
        <f>X37</f>
      </c>
      <c r="Y44" s="18">
        <f>Y37</f>
      </c>
      <c r="Z44" s="18">
        <f>Z37</f>
      </c>
      <c r="AA44" s="18">
        <f>AA37</f>
      </c>
      <c r="AB44" s="18">
        <f>AB37</f>
      </c>
      <c r="AC44" s="18">
        <f>AC37</f>
      </c>
      <c r="AD44" s="18">
        <f>AD37</f>
      </c>
      <c r="AE44" s="18">
        <f>AE37</f>
      </c>
      <c r="AF44" s="18">
        <f>AF37</f>
      </c>
      <c r="AG44" s="18">
        <f>AG37</f>
      </c>
      <c r="AH44" s="18">
        <f>AH37</f>
      </c>
      <c r="AI44" s="18">
        <f>AI37</f>
      </c>
      <c r="AJ44" s="18">
        <f>AJ37</f>
      </c>
      <c r="AK44" s="19"/>
    </row>
    <row r="45" ht="12.75" customHeight="1" spans="2:37" x14ac:dyDescent="0.25">
      <c r="B45" s="20" t="s">
        <v>45</v>
      </c>
      <c r="C45" s="21"/>
      <c r="D45" s="21"/>
      <c r="E45" s="22">
        <f>E41+E42+E43+E44</f>
      </c>
      <c r="F45" s="22">
        <f>F41+F42+F43+F44</f>
      </c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3"/>
    </row>
    <row r="47" ht="12.75" customHeight="1" spans="2:37" x14ac:dyDescent="0.25">
      <c r="B47" s="11" t="s">
        <v>46</v>
      </c>
      <c r="C47" s="12"/>
      <c r="D47" s="13"/>
      <c r="E47" s="14" t="s">
        <v>7</v>
      </c>
      <c r="F47" s="14" t="s">
        <v>8</v>
      </c>
      <c r="G47" s="14" t="s">
        <v>9</v>
      </c>
      <c r="H47" s="14" t="s">
        <v>10</v>
      </c>
      <c r="I47" s="14" t="s">
        <v>11</v>
      </c>
      <c r="J47" s="14" t="s">
        <v>12</v>
      </c>
      <c r="K47" s="14" t="s">
        <v>13</v>
      </c>
      <c r="L47" s="14" t="s">
        <v>14</v>
      </c>
      <c r="M47" s="14" t="s">
        <v>15</v>
      </c>
      <c r="N47" s="14" t="s">
        <v>16</v>
      </c>
      <c r="O47" s="14" t="s">
        <v>17</v>
      </c>
      <c r="P47" s="14" t="s">
        <v>18</v>
      </c>
      <c r="Q47" s="14" t="s">
        <v>19</v>
      </c>
      <c r="R47" s="14" t="s">
        <v>20</v>
      </c>
      <c r="S47" s="14" t="s">
        <v>21</v>
      </c>
      <c r="T47" s="14" t="s">
        <v>22</v>
      </c>
      <c r="U47" s="14" t="s">
        <v>23</v>
      </c>
      <c r="V47" s="14" t="s">
        <v>24</v>
      </c>
      <c r="W47" s="14" t="s">
        <v>25</v>
      </c>
      <c r="X47" s="14" t="s">
        <v>26</v>
      </c>
      <c r="Y47" s="14" t="s">
        <v>27</v>
      </c>
      <c r="Z47" s="14" t="s">
        <v>28</v>
      </c>
      <c r="AA47" s="14" t="s">
        <v>29</v>
      </c>
      <c r="AB47" s="14" t="s">
        <v>30</v>
      </c>
      <c r="AC47" s="14" t="s">
        <v>31</v>
      </c>
      <c r="AD47" s="14" t="s">
        <v>32</v>
      </c>
      <c r="AE47" s="14" t="s">
        <v>33</v>
      </c>
      <c r="AF47" s="14" t="s">
        <v>34</v>
      </c>
      <c r="AG47" s="14" t="s">
        <v>35</v>
      </c>
      <c r="AH47" s="14" t="s">
        <v>36</v>
      </c>
      <c r="AI47" s="14" t="s">
        <v>37</v>
      </c>
      <c r="AJ47" s="14" t="s">
        <v>38</v>
      </c>
      <c r="AK47" s="15"/>
    </row>
    <row r="48" ht="12.75" customHeight="1" spans="2:37" x14ac:dyDescent="0.25">
      <c r="B48" s="16" t="s">
        <v>41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ht="12.75" customHeight="1" spans="2:37" x14ac:dyDescent="0.25">
      <c r="B49" s="16" t="s">
        <v>42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16" t="s">
        <v>43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16" t="s">
        <v>44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20" t="s">
        <v>45</v>
      </c>
      <c r="C52" s="21"/>
      <c r="D52" s="21"/>
      <c r="E52" s="22">
        <f>E48+E49+E50+E51</f>
      </c>
      <c r="F52" s="22">
        <f>F48+F49+F50+F51</f>
      </c>
      <c r="G52" s="22">
        <f>G48+G49+G50+G51</f>
      </c>
      <c r="H52" s="22">
        <f>H48+H49+H50+H51</f>
      </c>
      <c r="I52" s="22">
        <f>I48+I49+I50+I51</f>
      </c>
      <c r="J52" s="22">
        <f>J48+J49+J50+J51</f>
      </c>
      <c r="K52" s="22">
        <f>K48+K49+K50+K51</f>
      </c>
      <c r="L52" s="22">
        <f>L48+L49+L50+L51</f>
      </c>
      <c r="M52" s="22">
        <f>M48+M49+M50+M51</f>
      </c>
      <c r="N52" s="22">
        <f>N48+N49+N50+N51</f>
      </c>
      <c r="O52" s="22">
        <f>O48+O49+O50+O51</f>
      </c>
      <c r="P52" s="22">
        <f>P48+P49+P50+P51</f>
      </c>
      <c r="Q52" s="22">
        <f>Q48+Q49+Q50+Q51</f>
      </c>
      <c r="R52" s="22">
        <f>R48+R49+R50+R51</f>
      </c>
      <c r="S52" s="22">
        <f>S48+S49+S50+S51</f>
      </c>
      <c r="T52" s="22">
        <f>T48+T49+T50+T51</f>
      </c>
      <c r="U52" s="22">
        <f>U48+U49+U50+U51</f>
      </c>
      <c r="V52" s="22">
        <f>V48+V49+V50+V51</f>
      </c>
      <c r="W52" s="22">
        <f>W48+W49+W50+W51</f>
      </c>
      <c r="X52" s="22">
        <f>X48+X49+X50+X51</f>
      </c>
      <c r="Y52" s="22">
        <f>Y48+Y49+Y50+Y51</f>
      </c>
      <c r="Z52" s="22">
        <f>Z48+Z49+Z50+Z51</f>
      </c>
      <c r="AA52" s="22">
        <f>AA48+AA49+AA50+AA51</f>
      </c>
      <c r="AB52" s="22">
        <f>AB48+AB49+AB50+AB51</f>
      </c>
      <c r="AC52" s="22">
        <f>AC48+AC49+AC50+AC51</f>
      </c>
      <c r="AD52" s="22">
        <f>AD48+AD49+AD50+AD51</f>
      </c>
      <c r="AE52" s="22">
        <f>AE48+AE49+AE50+AE51</f>
      </c>
      <c r="AF52" s="22">
        <f>AF48+AF49+AF50+AF51</f>
      </c>
      <c r="AG52" s="22">
        <f>AG48+AG49+AG50+AG51</f>
      </c>
      <c r="AH52" s="22">
        <f>AH48+AH49+AH50+AH51</f>
      </c>
      <c r="AI52" s="22">
        <f>AI48+AI49+AI50+AI51</f>
      </c>
      <c r="AJ52" s="22">
        <f>AJ48+AJ49+AJ50+AJ51</f>
      </c>
      <c r="AK52" s="23"/>
    </row>
    <row r="54" ht="12.75" customHeight="1" spans="2:37" x14ac:dyDescent="0.25">
      <c r="B54" s="11" t="s">
        <v>47</v>
      </c>
      <c r="C54" s="12"/>
      <c r="D54" s="13"/>
      <c r="E54" s="14" t="s">
        <v>7</v>
      </c>
      <c r="F54" s="14" t="s">
        <v>8</v>
      </c>
      <c r="G54" s="14" t="s">
        <v>9</v>
      </c>
      <c r="H54" s="14" t="s">
        <v>10</v>
      </c>
      <c r="I54" s="14" t="s">
        <v>11</v>
      </c>
      <c r="J54" s="14" t="s">
        <v>12</v>
      </c>
      <c r="K54" s="14" t="s">
        <v>13</v>
      </c>
      <c r="L54" s="14" t="s">
        <v>14</v>
      </c>
      <c r="M54" s="14" t="s">
        <v>15</v>
      </c>
      <c r="N54" s="14" t="s">
        <v>16</v>
      </c>
      <c r="O54" s="14" t="s">
        <v>17</v>
      </c>
      <c r="P54" s="14" t="s">
        <v>18</v>
      </c>
      <c r="Q54" s="14" t="s">
        <v>19</v>
      </c>
      <c r="R54" s="14" t="s">
        <v>20</v>
      </c>
      <c r="S54" s="14" t="s">
        <v>21</v>
      </c>
      <c r="T54" s="14" t="s">
        <v>22</v>
      </c>
      <c r="U54" s="14" t="s">
        <v>23</v>
      </c>
      <c r="V54" s="14" t="s">
        <v>24</v>
      </c>
      <c r="W54" s="14" t="s">
        <v>25</v>
      </c>
      <c r="X54" s="14" t="s">
        <v>26</v>
      </c>
      <c r="Y54" s="14" t="s">
        <v>27</v>
      </c>
      <c r="Z54" s="14" t="s">
        <v>28</v>
      </c>
      <c r="AA54" s="14" t="s">
        <v>29</v>
      </c>
      <c r="AB54" s="14" t="s">
        <v>30</v>
      </c>
      <c r="AC54" s="14" t="s">
        <v>31</v>
      </c>
      <c r="AD54" s="14" t="s">
        <v>32</v>
      </c>
      <c r="AE54" s="14" t="s">
        <v>33</v>
      </c>
      <c r="AF54" s="14" t="s">
        <v>34</v>
      </c>
      <c r="AG54" s="14" t="s">
        <v>35</v>
      </c>
      <c r="AH54" s="14" t="s">
        <v>36</v>
      </c>
      <c r="AI54" s="14" t="s">
        <v>37</v>
      </c>
      <c r="AJ54" s="14" t="s">
        <v>38</v>
      </c>
      <c r="AK54" s="15"/>
    </row>
    <row r="55" ht="12.75" customHeight="1" spans="2:37" x14ac:dyDescent="0.25">
      <c r="B55" s="16" t="s">
        <v>41</v>
      </c>
      <c r="C55" s="17"/>
      <c r="D55" s="17"/>
      <c r="E55" s="24">
        <f>E48-E41</f>
      </c>
      <c r="F55" s="24">
        <f>F48-F41</f>
      </c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19"/>
    </row>
    <row r="56" ht="12.75" customHeight="1" spans="2:37" x14ac:dyDescent="0.25">
      <c r="B56" s="16" t="s">
        <v>42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16" t="s">
        <v>43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16" t="s">
        <v>44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20" t="s">
        <v>45</v>
      </c>
      <c r="C59" s="21"/>
      <c r="D59" s="21"/>
      <c r="E59" s="25">
        <f>E55+E56+E57+E58</f>
      </c>
      <c r="F59" s="25">
        <f>F55+F56+F57+F58</f>
      </c>
      <c r="G59" s="25">
        <f>G55+G56+G57+G58</f>
      </c>
      <c r="H59" s="25">
        <f>H55+H56+H57+H58</f>
      </c>
      <c r="I59" s="25">
        <f>I55+I56+I57+I58</f>
      </c>
      <c r="J59" s="25">
        <f>J55+J56+J57+J58</f>
      </c>
      <c r="K59" s="25">
        <f>K55+K56+K57+K58</f>
      </c>
      <c r="L59" s="25">
        <f>L55+L56+L57+L58</f>
      </c>
      <c r="M59" s="25">
        <f>M55+M56+M57+M58</f>
      </c>
      <c r="N59" s="25">
        <f>N55+N56+N57+N58</f>
      </c>
      <c r="O59" s="25">
        <f>O55+O56+O57+O58</f>
      </c>
      <c r="P59" s="25">
        <f>P55+P56+P57+P58</f>
      </c>
      <c r="Q59" s="25">
        <f>Q55+Q56+Q57+Q58</f>
      </c>
      <c r="R59" s="25">
        <f>R55+R56+R57+R58</f>
      </c>
      <c r="S59" s="25">
        <f>S55+S56+S57+S58</f>
      </c>
      <c r="T59" s="25">
        <f>T55+T56+T57+T58</f>
      </c>
      <c r="U59" s="25">
        <f>U55+U56+U57+U58</f>
      </c>
      <c r="V59" s="25">
        <f>V55+V56+V57+V58</f>
      </c>
      <c r="W59" s="25">
        <f>W55+W56+W57+W58</f>
      </c>
      <c r="X59" s="25">
        <f>X55+X56+X57+X58</f>
      </c>
      <c r="Y59" s="25">
        <f>Y55+Y56+Y57+Y58</f>
      </c>
      <c r="Z59" s="25">
        <f>Z55+Z56+Z57+Z58</f>
      </c>
      <c r="AA59" s="25">
        <f>AA55+AA56+AA57+AA58</f>
      </c>
      <c r="AB59" s="25">
        <f>AB55+AB56+AB57+AB58</f>
      </c>
      <c r="AC59" s="25">
        <f>AC55+AC56+AC57+AC58</f>
      </c>
      <c r="AD59" s="25">
        <f>AD55+AD56+AD57+AD58</f>
      </c>
      <c r="AE59" s="25">
        <f>AE55+AE56+AE57+AE58</f>
      </c>
      <c r="AF59" s="25">
        <f>AF55+AF56+AF57+AF58</f>
      </c>
      <c r="AG59" s="25">
        <f>AG55+AG56+AG57+AG58</f>
      </c>
      <c r="AH59" s="25">
        <f>AH55+AH56+AH57+AH58</f>
      </c>
      <c r="AI59" s="25">
        <f>AI55+AI56+AI57+AI58</f>
      </c>
      <c r="AJ59" s="25">
        <f>AJ55+AJ56+AJ57+AJ58</f>
      </c>
      <c r="AK5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1139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1137</v>
      </c>
      <c r="AB8" s="44" t="s">
        <v>1138</v>
      </c>
      <c r="AC8" s="44" t="s">
        <v>1156</v>
      </c>
      <c r="AD8" s="44" t="s">
        <v>3</v>
      </c>
      <c r="AE8" s="44" t="s">
        <v>1157</v>
      </c>
      <c r="AF8" s="44" t="s">
        <v>1158</v>
      </c>
      <c r="AG8" s="44" t="s">
        <v>3</v>
      </c>
      <c r="AH8" s="44" t="s">
        <v>1159</v>
      </c>
      <c r="AI8" s="44" t="s">
        <v>1160</v>
      </c>
      <c r="AJ8" s="44" t="s">
        <v>1161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1139</v>
      </c>
      <c r="D14" s="50" t="s">
        <v>42</v>
      </c>
      <c r="E14" s="32" t="s">
        <v>1140</v>
      </c>
      <c r="F14" s="32" t="s">
        <v>1141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18.27</v>
      </c>
      <c r="AC14" s="33">
        <f>18.27+0.00</f>
        <v>18.27</v>
      </c>
      <c r="AD14" s="32"/>
      <c r="AE14" s="33">
        <f>18.27+18.27</f>
        <v>36.54</v>
      </c>
      <c r="AF14" s="33">
        <v>18.27</v>
      </c>
      <c r="AG14" s="32"/>
      <c r="AH14" s="33">
        <v>18.27</v>
      </c>
      <c r="AI14" s="33">
        <v>18.42</v>
      </c>
      <c r="AJ14" s="33">
        <v>18.27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1139</v>
      </c>
      <c r="D15" s="50" t="s">
        <v>42</v>
      </c>
      <c r="E15" s="32" t="s">
        <v>1140</v>
      </c>
      <c r="F15" s="32" t="s">
        <v>1142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713.86</v>
      </c>
      <c r="AC15" s="33">
        <f>760.17+-22.18</f>
        <v>737.99</v>
      </c>
      <c r="AD15" s="32"/>
      <c r="AE15" s="33">
        <v>661.16</v>
      </c>
      <c r="AF15" s="33">
        <f>929.64+658.75</f>
        <v>1588.3899999999999</v>
      </c>
      <c r="AG15" s="32"/>
      <c r="AH15" s="33">
        <v>1023.49</v>
      </c>
      <c r="AI15" s="33">
        <v>1058.17</v>
      </c>
      <c r="AJ15" s="33">
        <v>1208.29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1139</v>
      </c>
      <c r="D16" s="50" t="s">
        <v>42</v>
      </c>
      <c r="E16" s="32" t="s">
        <v>1140</v>
      </c>
      <c r="F16" s="32" t="s">
        <v>1143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>
        <v>22.68</v>
      </c>
      <c r="AC16" s="33">
        <f>22.22+-0.46</f>
        <v>21.759999999999998</v>
      </c>
      <c r="AD16" s="32"/>
      <c r="AE16" s="33">
        <v>21.18</v>
      </c>
      <c r="AF16" s="33">
        <f>20.61+20.61</f>
        <v>41.22</v>
      </c>
      <c r="AG16" s="32"/>
      <c r="AH16" s="33">
        <v>21.64</v>
      </c>
      <c r="AI16" s="33">
        <v>21.99</v>
      </c>
      <c r="AJ16" s="33">
        <v>20.66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1139</v>
      </c>
      <c r="D17" s="50" t="s">
        <v>42</v>
      </c>
      <c r="E17" s="32" t="s">
        <v>1140</v>
      </c>
      <c r="F17" s="32" t="s">
        <v>1144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>
        <v>319.14</v>
      </c>
      <c r="AC17" s="33">
        <f>269.13+-44.07</f>
        <v>225.06</v>
      </c>
      <c r="AD17" s="32"/>
      <c r="AE17" s="33">
        <v>290</v>
      </c>
      <c r="AF17" s="33">
        <f>115.48+177.39</f>
        <v>292.87</v>
      </c>
      <c r="AG17" s="32"/>
      <c r="AH17" s="33">
        <v>76.97</v>
      </c>
      <c r="AI17" s="33">
        <v>97.62</v>
      </c>
      <c r="AJ17" s="33">
        <v>204.58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1139</v>
      </c>
      <c r="D18" s="50" t="s">
        <v>42</v>
      </c>
      <c r="E18" s="32" t="s">
        <v>1140</v>
      </c>
      <c r="F18" s="32" t="s">
        <v>1145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539.63</v>
      </c>
      <c r="AC18" s="33">
        <f>682.30+689.14</f>
        <v>1371.44</v>
      </c>
      <c r="AD18" s="32"/>
      <c r="AE18" s="33">
        <f>584.99+795.52</f>
        <v>1380.51</v>
      </c>
      <c r="AF18" s="33">
        <v>667.86</v>
      </c>
      <c r="AG18" s="32"/>
      <c r="AH18" s="33">
        <v>764.18</v>
      </c>
      <c r="AI18" s="33">
        <v>846.64</v>
      </c>
      <c r="AJ18" s="33">
        <v>1066.08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1139</v>
      </c>
      <c r="D19" s="50" t="s">
        <v>42</v>
      </c>
      <c r="E19" s="32" t="s">
        <v>1140</v>
      </c>
      <c r="F19" s="32" t="s">
        <v>1146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>
        <v>453.28</v>
      </c>
      <c r="AC19" s="33">
        <f>370.18+-47.40</f>
        <v>322.78000000000003</v>
      </c>
      <c r="AD19" s="32"/>
      <c r="AE19" s="33">
        <v>424.24</v>
      </c>
      <c r="AF19" s="33">
        <f>450.75+462.61</f>
        <v>913.36</v>
      </c>
      <c r="AG19" s="32"/>
      <c r="AH19" s="33">
        <v>435.08</v>
      </c>
      <c r="AI19" s="33">
        <v>391</v>
      </c>
      <c r="AJ19" s="33">
        <v>440.08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1139</v>
      </c>
      <c r="D20" s="50" t="s">
        <v>42</v>
      </c>
      <c r="E20" s="32" t="s">
        <v>1140</v>
      </c>
      <c r="F20" s="32" t="s">
        <v>1147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>
        <v>66.75</v>
      </c>
      <c r="AC20" s="33">
        <f>3.78+67.06</f>
        <v>70.84</v>
      </c>
      <c r="AD20" s="32"/>
      <c r="AE20" s="33">
        <v>73.46</v>
      </c>
      <c r="AF20" s="33">
        <f>77.70+65.70</f>
        <v>143.4</v>
      </c>
      <c r="AG20" s="32"/>
      <c r="AH20" s="33">
        <v>73.02</v>
      </c>
      <c r="AI20" s="33">
        <v>65.41</v>
      </c>
      <c r="AJ20" s="33">
        <v>70.04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1139</v>
      </c>
      <c r="D21" s="50" t="s">
        <v>42</v>
      </c>
      <c r="E21" s="32" t="s">
        <v>1140</v>
      </c>
      <c r="F21" s="32" t="s">
        <v>1148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3">
        <v>348.88</v>
      </c>
      <c r="AC21" s="33">
        <f>145.60+-101.34</f>
        <v>44.25999999999999</v>
      </c>
      <c r="AD21" s="32"/>
      <c r="AE21" s="33">
        <f>241.79+243.84</f>
        <v>485.63</v>
      </c>
      <c r="AF21" s="33">
        <v>241.93</v>
      </c>
      <c r="AG21" s="32"/>
      <c r="AH21" s="33">
        <v>238.71</v>
      </c>
      <c r="AI21" s="33">
        <v>237.71</v>
      </c>
      <c r="AJ21" s="33">
        <v>238.61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1139</v>
      </c>
      <c r="D22" s="50" t="s">
        <v>42</v>
      </c>
      <c r="E22" s="32" t="s">
        <v>1140</v>
      </c>
      <c r="F22" s="32" t="s">
        <v>1149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>
        <v>61.73</v>
      </c>
      <c r="AC22" s="33">
        <f>50.49+-7.45</f>
        <v>43.04</v>
      </c>
      <c r="AD22" s="32"/>
      <c r="AE22" s="33">
        <v>59.12</v>
      </c>
      <c r="AF22" s="33">
        <f>54.27+54.72</f>
        <v>108.99000000000001</v>
      </c>
      <c r="AG22" s="32"/>
      <c r="AH22" s="33">
        <v>68.48</v>
      </c>
      <c r="AI22" s="33">
        <v>57.35</v>
      </c>
      <c r="AJ22" s="33">
        <v>60.18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1139</v>
      </c>
      <c r="D23" s="50" t="s">
        <v>42</v>
      </c>
      <c r="E23" s="32" t="s">
        <v>1140</v>
      </c>
      <c r="F23" s="32" t="s">
        <v>1150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3">
        <f>398.60+0.00</f>
        <v>398.6</v>
      </c>
      <c r="AC23" s="33">
        <f>324.31+0.00+0.00+-62.90</f>
        <v>261.41</v>
      </c>
      <c r="AD23" s="32"/>
      <c r="AE23" s="33">
        <f>0.00+296.00+307.09+0.00</f>
        <v>603.0899999999999</v>
      </c>
      <c r="AF23" s="33">
        <f>184.15+0.00</f>
        <v>184.15</v>
      </c>
      <c r="AG23" s="32"/>
      <c r="AH23" s="33">
        <f>154.71+0.00</f>
        <v>154.71</v>
      </c>
      <c r="AI23" s="33">
        <f>173.27+0.00</f>
        <v>173.27</v>
      </c>
      <c r="AJ23" s="33">
        <f>209.80+0.00</f>
        <v>209.8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1139</v>
      </c>
      <c r="D24" s="50" t="s">
        <v>42</v>
      </c>
      <c r="E24" s="32" t="s">
        <v>1140</v>
      </c>
      <c r="F24" s="32" t="s">
        <v>1151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>
        <v>21.31</v>
      </c>
      <c r="AB24" s="33">
        <v>21.31</v>
      </c>
      <c r="AC24" s="33">
        <f>20.55+-21.62</f>
        <v>-1.0700000000000003</v>
      </c>
      <c r="AD24" s="32"/>
      <c r="AE24" s="33">
        <v>21.34</v>
      </c>
      <c r="AF24" s="33">
        <f>-0.14+-0.14</f>
        <v>-0.28</v>
      </c>
      <c r="AG24" s="32"/>
      <c r="AH24" s="33">
        <v>43.71</v>
      </c>
      <c r="AI24" s="33">
        <v>21.99</v>
      </c>
      <c r="AJ24" s="33">
        <v>22.16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1139</v>
      </c>
      <c r="D25" s="50" t="s">
        <v>42</v>
      </c>
      <c r="E25" s="32" t="s">
        <v>1140</v>
      </c>
      <c r="F25" s="32" t="s">
        <v>1152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3">
        <v>21.17</v>
      </c>
      <c r="AC25" s="33">
        <f>20.85+0.00</f>
        <v>20.85</v>
      </c>
      <c r="AD25" s="32"/>
      <c r="AE25" s="33">
        <v>21.48</v>
      </c>
      <c r="AF25" s="33">
        <f>21.48+21.34</f>
        <v>42.82</v>
      </c>
      <c r="AG25" s="32"/>
      <c r="AH25" s="33">
        <v>21.92</v>
      </c>
      <c r="AI25" s="33">
        <v>21.99</v>
      </c>
      <c r="AJ25" s="33">
        <v>21.99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1139</v>
      </c>
      <c r="D26" s="50" t="s">
        <v>42</v>
      </c>
      <c r="E26" s="32" t="s">
        <v>1140</v>
      </c>
      <c r="F26" s="32" t="s">
        <v>1153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71.61</v>
      </c>
      <c r="AC26" s="33">
        <f>107.78+41.02</f>
        <v>148.8</v>
      </c>
      <c r="AD26" s="32"/>
      <c r="AE26" s="33">
        <v>64.53</v>
      </c>
      <c r="AF26" s="33">
        <f>38.18+71.12</f>
        <v>109.30000000000001</v>
      </c>
      <c r="AG26" s="32"/>
      <c r="AH26" s="33">
        <v>43.75</v>
      </c>
      <c r="AI26" s="33">
        <v>53.32</v>
      </c>
      <c r="AJ26" s="33">
        <v>114.92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1139</v>
      </c>
      <c r="D27" s="50" t="s">
        <v>42</v>
      </c>
      <c r="E27" s="32" t="s">
        <v>1140</v>
      </c>
      <c r="F27" s="32" t="s">
        <v>1154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3">
        <v>139.01</v>
      </c>
      <c r="AC27" s="33">
        <f>147.37+134.20</f>
        <v>281.57</v>
      </c>
      <c r="AD27" s="32"/>
      <c r="AE27" s="33">
        <v>116.03</v>
      </c>
      <c r="AF27" s="33">
        <f>59.31+84.02</f>
        <v>143.32999999999998</v>
      </c>
      <c r="AG27" s="32"/>
      <c r="AH27" s="33">
        <f>40.08+48.28</f>
        <v>88.36</v>
      </c>
      <c r="AI27" s="32"/>
      <c r="AJ27" s="33">
        <v>38.04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1139</v>
      </c>
      <c r="D28" s="50" t="s">
        <v>42</v>
      </c>
      <c r="E28" s="32" t="s">
        <v>1140</v>
      </c>
      <c r="F28" s="32" t="s">
        <v>1155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3">
        <v>177.43</v>
      </c>
      <c r="AC28" s="33">
        <f>171.36+130.91</f>
        <v>302.27</v>
      </c>
      <c r="AD28" s="32"/>
      <c r="AE28" s="33">
        <v>154.88</v>
      </c>
      <c r="AF28" s="33">
        <f>36.68+106.73</f>
        <v>143.41</v>
      </c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85</v>
      </c>
      <c r="E30" s="21"/>
      <c r="F30" s="21"/>
      <c r="G30" s="22">
        <f>SUM(G14:G28)</f>
      </c>
      <c r="H30" s="22">
        <f>SUM(H14:H28)</f>
      </c>
      <c r="I30" s="22">
        <f>SUM(I14:I28)</f>
      </c>
      <c r="J30" s="22">
        <f>SUM(J14:J28)</f>
      </c>
      <c r="K30" s="22">
        <f>SUM(K14:K28)</f>
      </c>
      <c r="L30" s="22">
        <f>SUM(L14:L28)</f>
      </c>
      <c r="M30" s="22">
        <f>SUM(M14:M28)</f>
      </c>
      <c r="N30" s="22">
        <f>SUM(N14:N28)</f>
      </c>
      <c r="O30" s="22">
        <f>SUM(O14:O28)</f>
      </c>
      <c r="P30" s="22">
        <f>SUM(P14:P28)</f>
      </c>
      <c r="Q30" s="22">
        <f>SUM(Q14:Q28)</f>
      </c>
      <c r="R30" s="22">
        <f>SUM(R14:R28)</f>
      </c>
      <c r="S30" s="22">
        <f>SUM(S14:S28)</f>
      </c>
      <c r="T30" s="22">
        <f>SUM(T14:T28)</f>
      </c>
      <c r="U30" s="22">
        <f>SUM(U14:U28)</f>
      </c>
      <c r="V30" s="22">
        <f>SUM(V14:V28)</f>
      </c>
      <c r="W30" s="22">
        <f>SUM(W14:W28)</f>
      </c>
      <c r="X30" s="22">
        <f>SUM(X14:X28)</f>
      </c>
      <c r="Y30" s="22">
        <f>SUM(Y14:Y28)</f>
      </c>
      <c r="Z30" s="22">
        <f>SUM(Z14:Z28)</f>
      </c>
      <c r="AA30" s="22">
        <f>SUM(AA14:AA28)</f>
      </c>
      <c r="AB30" s="22">
        <f>SUM(AB14:AB28)</f>
      </c>
      <c r="AC30" s="22">
        <f>SUM(AC14:AC28)</f>
      </c>
      <c r="AD30" s="22">
        <f>SUM(AD14:AD28)</f>
      </c>
      <c r="AE30" s="22">
        <f>SUM(AE14:AE28)</f>
      </c>
      <c r="AF30" s="22">
        <f>SUM(AF14:AF28)</f>
      </c>
      <c r="AG30" s="22">
        <f>SUM(AG14:AG28)</f>
      </c>
      <c r="AH30" s="22">
        <f>SUM(AH14:AH28)</f>
      </c>
      <c r="AI30" s="22">
        <f>SUM(AI14:AI28)</f>
      </c>
      <c r="AJ30" s="22">
        <f>SUM(AJ14:AJ28)</f>
      </c>
      <c r="AK30" s="22">
        <f>SUM(AK14:AK28)</f>
      </c>
      <c r="AL30" s="22">
        <f>SUM(AL14:AL28)</f>
      </c>
      <c r="AM30" s="23"/>
    </row>
    <row r="32" ht="13.5" customHeight="1" spans="2:39" x14ac:dyDescent="0.25">
      <c r="B32" s="46"/>
      <c r="C32" s="28"/>
      <c r="D32" s="47" t="s">
        <v>43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89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3"/>
    </row>
    <row r="36" ht="13.5" customHeight="1" spans="2:39" x14ac:dyDescent="0.25">
      <c r="B36" s="46"/>
      <c r="C36" s="28"/>
      <c r="D36" s="47" t="s">
        <v>44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9"/>
    </row>
    <row r="37" ht="13.5" customHeight="1" spans="2:39" x14ac:dyDescent="0.25">
      <c r="B37" s="5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ht="13.5" customHeight="1" spans="2:39" x14ac:dyDescent="0.25">
      <c r="B38" s="20"/>
      <c r="C38" s="21"/>
      <c r="D38" s="21" t="s">
        <v>90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3"/>
    </row>
    <row r="41" ht="12.75" customHeight="1" spans="2:39" x14ac:dyDescent="0.25">
      <c r="B41" s="11" t="s">
        <v>40</v>
      </c>
      <c r="C41" s="12"/>
      <c r="D41" s="12"/>
      <c r="E41" s="12"/>
      <c r="F41" s="12"/>
      <c r="G41" s="52" t="s">
        <v>7</v>
      </c>
      <c r="H41" s="52" t="s">
        <v>8</v>
      </c>
      <c r="I41" s="52" t="s">
        <v>9</v>
      </c>
      <c r="J41" s="52" t="s">
        <v>10</v>
      </c>
      <c r="K41" s="52" t="s">
        <v>11</v>
      </c>
      <c r="L41" s="52" t="s">
        <v>12</v>
      </c>
      <c r="M41" s="52" t="s">
        <v>13</v>
      </c>
      <c r="N41" s="52" t="s">
        <v>14</v>
      </c>
      <c r="O41" s="52" t="s">
        <v>15</v>
      </c>
      <c r="P41" s="52" t="s">
        <v>16</v>
      </c>
      <c r="Q41" s="52" t="s">
        <v>17</v>
      </c>
      <c r="R41" s="52" t="s">
        <v>18</v>
      </c>
      <c r="S41" s="52" t="s">
        <v>19</v>
      </c>
      <c r="T41" s="52" t="s">
        <v>20</v>
      </c>
      <c r="U41" s="52" t="s">
        <v>21</v>
      </c>
      <c r="V41" s="52" t="s">
        <v>22</v>
      </c>
      <c r="W41" s="52" t="s">
        <v>23</v>
      </c>
      <c r="X41" s="52" t="s">
        <v>24</v>
      </c>
      <c r="Y41" s="52" t="s">
        <v>25</v>
      </c>
      <c r="Z41" s="52" t="s">
        <v>26</v>
      </c>
      <c r="AA41" s="52" t="s">
        <v>27</v>
      </c>
      <c r="AB41" s="52" t="s">
        <v>28</v>
      </c>
      <c r="AC41" s="52" t="s">
        <v>29</v>
      </c>
      <c r="AD41" s="52" t="s">
        <v>30</v>
      </c>
      <c r="AE41" s="52" t="s">
        <v>31</v>
      </c>
      <c r="AF41" s="52" t="s">
        <v>32</v>
      </c>
      <c r="AG41" s="52" t="s">
        <v>33</v>
      </c>
      <c r="AH41" s="52" t="s">
        <v>34</v>
      </c>
      <c r="AI41" s="52" t="s">
        <v>35</v>
      </c>
      <c r="AJ41" s="52" t="s">
        <v>36</v>
      </c>
      <c r="AK41" s="52" t="s">
        <v>37</v>
      </c>
      <c r="AL41" s="52" t="s">
        <v>38</v>
      </c>
      <c r="AM41" s="15"/>
    </row>
    <row r="42" ht="12.75" customHeight="1" spans="2:39" x14ac:dyDescent="0.25">
      <c r="B42" s="16"/>
      <c r="C42" s="17"/>
      <c r="D42" s="17" t="s">
        <v>41</v>
      </c>
      <c r="E42" s="17"/>
      <c r="F42" s="17"/>
      <c r="G42" s="18">
        <f>G11</f>
      </c>
      <c r="H42" s="18">
        <f>H11</f>
      </c>
      <c r="I42" s="18">
        <f>I11</f>
      </c>
      <c r="J42" s="18">
        <f>J11</f>
      </c>
      <c r="K42" s="18">
        <f>K11</f>
      </c>
      <c r="L42" s="18">
        <f>L11</f>
      </c>
      <c r="M42" s="18">
        <f>M11</f>
      </c>
      <c r="N42" s="18">
        <f>N11</f>
      </c>
      <c r="O42" s="18">
        <f>O11</f>
      </c>
      <c r="P42" s="18">
        <f>P11</f>
      </c>
      <c r="Q42" s="18">
        <f>Q11</f>
      </c>
      <c r="R42" s="18">
        <f>R11</f>
      </c>
      <c r="S42" s="18">
        <f>S11</f>
      </c>
      <c r="T42" s="18">
        <f>T11</f>
      </c>
      <c r="U42" s="18">
        <f>U11</f>
      </c>
      <c r="V42" s="18">
        <f>V11</f>
      </c>
      <c r="W42" s="18">
        <f>W11</f>
      </c>
      <c r="X42" s="18">
        <f>X11</f>
      </c>
      <c r="Y42" s="18">
        <f>Y11</f>
      </c>
      <c r="Z42" s="18">
        <f>Z11</f>
      </c>
      <c r="AA42" s="18">
        <f>AA11</f>
      </c>
      <c r="AB42" s="18">
        <f>AB11</f>
      </c>
      <c r="AC42" s="18">
        <f>AC11</f>
      </c>
      <c r="AD42" s="18">
        <f>AD11</f>
      </c>
      <c r="AE42" s="18">
        <f>AE11</f>
      </c>
      <c r="AF42" s="18">
        <f>AF11</f>
      </c>
      <c r="AG42" s="18">
        <f>AG11</f>
      </c>
      <c r="AH42" s="18">
        <f>AH11</f>
      </c>
      <c r="AI42" s="18">
        <f>AI11</f>
      </c>
      <c r="AJ42" s="18">
        <f>AJ11</f>
      </c>
      <c r="AK42" s="18">
        <f>AK11</f>
      </c>
      <c r="AL42" s="18">
        <f>AL11</f>
      </c>
      <c r="AM42" s="19"/>
    </row>
    <row r="43" ht="12.75" customHeight="1" spans="2:39" x14ac:dyDescent="0.25">
      <c r="B43" s="16"/>
      <c r="C43" s="17"/>
      <c r="D43" s="17" t="s">
        <v>42</v>
      </c>
      <c r="E43" s="17"/>
      <c r="F43" s="17"/>
      <c r="G43" s="18">
        <f>G30</f>
      </c>
      <c r="H43" s="18">
        <f>H30</f>
      </c>
      <c r="I43" s="18">
        <f>I30</f>
      </c>
      <c r="J43" s="18">
        <f>J30</f>
      </c>
      <c r="K43" s="18">
        <f>K30</f>
      </c>
      <c r="L43" s="18">
        <f>L30</f>
      </c>
      <c r="M43" s="18">
        <f>M30</f>
      </c>
      <c r="N43" s="18">
        <f>N30</f>
      </c>
      <c r="O43" s="18">
        <f>O30</f>
      </c>
      <c r="P43" s="18">
        <f>P30</f>
      </c>
      <c r="Q43" s="18">
        <f>Q30</f>
      </c>
      <c r="R43" s="18">
        <f>R30</f>
      </c>
      <c r="S43" s="18">
        <f>S30</f>
      </c>
      <c r="T43" s="18">
        <f>T30</f>
      </c>
      <c r="U43" s="18">
        <f>U30</f>
      </c>
      <c r="V43" s="18">
        <f>V30</f>
      </c>
      <c r="W43" s="18">
        <f>W30</f>
      </c>
      <c r="X43" s="18">
        <f>X30</f>
      </c>
      <c r="Y43" s="18">
        <f>Y30</f>
      </c>
      <c r="Z43" s="18">
        <f>Z30</f>
      </c>
      <c r="AA43" s="18">
        <f>AA30</f>
      </c>
      <c r="AB43" s="18">
        <f>AB30</f>
      </c>
      <c r="AC43" s="18">
        <f>AC30</f>
      </c>
      <c r="AD43" s="18">
        <f>AD30</f>
      </c>
      <c r="AE43" s="18">
        <f>AE30</f>
      </c>
      <c r="AF43" s="18">
        <f>AF30</f>
      </c>
      <c r="AG43" s="18">
        <f>AG30</f>
      </c>
      <c r="AH43" s="18">
        <f>AH30</f>
      </c>
      <c r="AI43" s="18">
        <f>AI30</f>
      </c>
      <c r="AJ43" s="18">
        <f>AJ30</f>
      </c>
      <c r="AK43" s="18">
        <f>AK30</f>
      </c>
      <c r="AL43" s="18">
        <f>AL30</f>
      </c>
      <c r="AM43" s="19"/>
    </row>
    <row r="44" ht="12.75" customHeight="1" spans="2:39" x14ac:dyDescent="0.25">
      <c r="B44" s="16"/>
      <c r="C44" s="17"/>
      <c r="D44" s="17" t="s">
        <v>43</v>
      </c>
      <c r="E44" s="17"/>
      <c r="F44" s="17"/>
      <c r="G44" s="18">
        <f>G34</f>
      </c>
      <c r="H44" s="18">
        <f>H34</f>
      </c>
      <c r="I44" s="18">
        <f>I34</f>
      </c>
      <c r="J44" s="18">
        <f>J34</f>
      </c>
      <c r="K44" s="18">
        <f>K34</f>
      </c>
      <c r="L44" s="18">
        <f>L34</f>
      </c>
      <c r="M44" s="18">
        <f>M34</f>
      </c>
      <c r="N44" s="18">
        <f>N34</f>
      </c>
      <c r="O44" s="18">
        <f>O34</f>
      </c>
      <c r="P44" s="18">
        <f>P34</f>
      </c>
      <c r="Q44" s="18">
        <f>Q34</f>
      </c>
      <c r="R44" s="18">
        <f>R34</f>
      </c>
      <c r="S44" s="18">
        <f>S34</f>
      </c>
      <c r="T44" s="18">
        <f>T34</f>
      </c>
      <c r="U44" s="18">
        <f>U34</f>
      </c>
      <c r="V44" s="18">
        <f>V34</f>
      </c>
      <c r="W44" s="18">
        <f>W34</f>
      </c>
      <c r="X44" s="18">
        <f>X34</f>
      </c>
      <c r="Y44" s="18">
        <f>Y34</f>
      </c>
      <c r="Z44" s="18">
        <f>Z34</f>
      </c>
      <c r="AA44" s="18">
        <f>AA34</f>
      </c>
      <c r="AB44" s="18">
        <f>AB34</f>
      </c>
      <c r="AC44" s="18">
        <f>AC34</f>
      </c>
      <c r="AD44" s="18">
        <f>AD34</f>
      </c>
      <c r="AE44" s="18">
        <f>AE34</f>
      </c>
      <c r="AF44" s="18">
        <f>AF34</f>
      </c>
      <c r="AG44" s="18">
        <f>AG34</f>
      </c>
      <c r="AH44" s="18">
        <f>AH34</f>
      </c>
      <c r="AI44" s="18">
        <f>AI34</f>
      </c>
      <c r="AJ44" s="18">
        <f>AJ34</f>
      </c>
      <c r="AK44" s="18">
        <f>AK34</f>
      </c>
      <c r="AL44" s="18">
        <f>AL34</f>
      </c>
      <c r="AM44" s="19"/>
    </row>
    <row r="45" ht="12.75" customHeight="1" spans="2:39" x14ac:dyDescent="0.25">
      <c r="B45" s="16"/>
      <c r="C45" s="17"/>
      <c r="D45" s="17" t="s">
        <v>44</v>
      </c>
      <c r="E45" s="17"/>
      <c r="F45" s="17"/>
      <c r="G45" s="18">
        <f>G38</f>
      </c>
      <c r="H45" s="18">
        <f>H38</f>
      </c>
      <c r="I45" s="18">
        <f>I38</f>
      </c>
      <c r="J45" s="18">
        <f>J38</f>
      </c>
      <c r="K45" s="18">
        <f>K38</f>
      </c>
      <c r="L45" s="18">
        <f>L38</f>
      </c>
      <c r="M45" s="18">
        <f>M38</f>
      </c>
      <c r="N45" s="18">
        <f>N38</f>
      </c>
      <c r="O45" s="18">
        <f>O38</f>
      </c>
      <c r="P45" s="18">
        <f>P38</f>
      </c>
      <c r="Q45" s="18">
        <f>Q38</f>
      </c>
      <c r="R45" s="18">
        <f>R38</f>
      </c>
      <c r="S45" s="18">
        <f>S38</f>
      </c>
      <c r="T45" s="18">
        <f>T38</f>
      </c>
      <c r="U45" s="18">
        <f>U38</f>
      </c>
      <c r="V45" s="18">
        <f>V38</f>
      </c>
      <c r="W45" s="18">
        <f>W38</f>
      </c>
      <c r="X45" s="18">
        <f>X38</f>
      </c>
      <c r="Y45" s="18">
        <f>Y38</f>
      </c>
      <c r="Z45" s="18">
        <f>Z38</f>
      </c>
      <c r="AA45" s="18">
        <f>AA38</f>
      </c>
      <c r="AB45" s="18">
        <f>AB38</f>
      </c>
      <c r="AC45" s="18">
        <f>AC38</f>
      </c>
      <c r="AD45" s="18">
        <f>AD38</f>
      </c>
      <c r="AE45" s="18">
        <f>AE38</f>
      </c>
      <c r="AF45" s="18">
        <f>AF38</f>
      </c>
      <c r="AG45" s="18">
        <f>AG38</f>
      </c>
      <c r="AH45" s="18">
        <f>AH38</f>
      </c>
      <c r="AI45" s="18">
        <f>AI38</f>
      </c>
      <c r="AJ45" s="18">
        <f>AJ38</f>
      </c>
      <c r="AK45" s="18">
        <f>AK38</f>
      </c>
      <c r="AL45" s="18">
        <f>AL38</f>
      </c>
      <c r="AM45" s="19"/>
    </row>
    <row r="46" ht="12.75" customHeight="1" spans="2:39" x14ac:dyDescent="0.25">
      <c r="B46" s="20"/>
      <c r="C46" s="21"/>
      <c r="D46" s="21" t="s">
        <v>45</v>
      </c>
      <c r="E46" s="21"/>
      <c r="F46" s="21"/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2">
        <f>AK42+AK43+AK44+AK45</f>
      </c>
      <c r="AL46" s="22">
        <f>AL42+AL43+AL44+AL45</f>
      </c>
      <c r="AM46" s="23"/>
    </row>
    <row r="48" ht="12.75" customHeight="1" spans="2:39" x14ac:dyDescent="0.25">
      <c r="B48" s="11" t="s">
        <v>46</v>
      </c>
      <c r="C48" s="12"/>
      <c r="D48" s="12"/>
      <c r="E48" s="12"/>
      <c r="F48" s="12"/>
      <c r="G48" s="52" t="s">
        <v>7</v>
      </c>
      <c r="H48" s="52" t="s">
        <v>8</v>
      </c>
      <c r="I48" s="52" t="s">
        <v>9</v>
      </c>
      <c r="J48" s="52" t="s">
        <v>10</v>
      </c>
      <c r="K48" s="52" t="s">
        <v>11</v>
      </c>
      <c r="L48" s="52" t="s">
        <v>12</v>
      </c>
      <c r="M48" s="52" t="s">
        <v>13</v>
      </c>
      <c r="N48" s="52" t="s">
        <v>14</v>
      </c>
      <c r="O48" s="52" t="s">
        <v>15</v>
      </c>
      <c r="P48" s="52" t="s">
        <v>16</v>
      </c>
      <c r="Q48" s="52" t="s">
        <v>17</v>
      </c>
      <c r="R48" s="52" t="s">
        <v>18</v>
      </c>
      <c r="S48" s="52" t="s">
        <v>19</v>
      </c>
      <c r="T48" s="52" t="s">
        <v>20</v>
      </c>
      <c r="U48" s="52" t="s">
        <v>21</v>
      </c>
      <c r="V48" s="52" t="s">
        <v>22</v>
      </c>
      <c r="W48" s="52" t="s">
        <v>23</v>
      </c>
      <c r="X48" s="52" t="s">
        <v>24</v>
      </c>
      <c r="Y48" s="52" t="s">
        <v>25</v>
      </c>
      <c r="Z48" s="52" t="s">
        <v>26</v>
      </c>
      <c r="AA48" s="52" t="s">
        <v>27</v>
      </c>
      <c r="AB48" s="52" t="s">
        <v>28</v>
      </c>
      <c r="AC48" s="52" t="s">
        <v>29</v>
      </c>
      <c r="AD48" s="52" t="s">
        <v>30</v>
      </c>
      <c r="AE48" s="52" t="s">
        <v>31</v>
      </c>
      <c r="AF48" s="52" t="s">
        <v>32</v>
      </c>
      <c r="AG48" s="52" t="s">
        <v>33</v>
      </c>
      <c r="AH48" s="52" t="s">
        <v>34</v>
      </c>
      <c r="AI48" s="52" t="s">
        <v>35</v>
      </c>
      <c r="AJ48" s="52" t="s">
        <v>36</v>
      </c>
      <c r="AK48" s="52" t="s">
        <v>37</v>
      </c>
      <c r="AL48" s="52" t="s">
        <v>38</v>
      </c>
      <c r="AM48" s="15"/>
    </row>
    <row r="49" ht="12.75" customHeight="1" spans="2:39" x14ac:dyDescent="0.25">
      <c r="B49" s="16"/>
      <c r="C49" s="17"/>
      <c r="D49" s="17" t="s">
        <v>41</v>
      </c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9"/>
    </row>
    <row r="50" ht="12.75" customHeight="1" spans="2:39" x14ac:dyDescent="0.25">
      <c r="B50" s="16"/>
      <c r="C50" s="17"/>
      <c r="D50" s="17" t="s">
        <v>42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16"/>
      <c r="C51" s="17"/>
      <c r="D51" s="17" t="s">
        <v>43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16"/>
      <c r="C52" s="17"/>
      <c r="D52" s="17" t="s">
        <v>44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20"/>
      <c r="C53" s="21"/>
      <c r="D53" s="21" t="s">
        <v>45</v>
      </c>
      <c r="E53" s="21"/>
      <c r="F53" s="21"/>
      <c r="G53" s="22">
        <f>G49+G50+G51+G52</f>
      </c>
      <c r="H53" s="22">
        <f>H49+H50+H51+H52</f>
      </c>
      <c r="I53" s="22">
        <f>I49+I50+I51+I52</f>
      </c>
      <c r="J53" s="22">
        <f>J49+J50+J51+J52</f>
      </c>
      <c r="K53" s="22">
        <f>K49+K50+K51+K52</f>
      </c>
      <c r="L53" s="22">
        <f>L49+L50+L51+L52</f>
      </c>
      <c r="M53" s="22">
        <f>M49+M50+M51+M52</f>
      </c>
      <c r="N53" s="22">
        <f>N49+N50+N51+N52</f>
      </c>
      <c r="O53" s="22">
        <f>O49+O50+O51+O52</f>
      </c>
      <c r="P53" s="22">
        <f>P49+P50+P51+P52</f>
      </c>
      <c r="Q53" s="22">
        <f>Q49+Q50+Q51+Q52</f>
      </c>
      <c r="R53" s="22">
        <f>R49+R50+R51+R52</f>
      </c>
      <c r="S53" s="22">
        <f>S49+S50+S51+S52</f>
      </c>
      <c r="T53" s="22">
        <f>T49+T50+T51+T52</f>
      </c>
      <c r="U53" s="22">
        <f>U49+U50+U51+U52</f>
      </c>
      <c r="V53" s="22">
        <f>V49+V50+V51+V52</f>
      </c>
      <c r="W53" s="22">
        <f>W49+W50+W51+W52</f>
      </c>
      <c r="X53" s="22">
        <f>X49+X50+X51+X52</f>
      </c>
      <c r="Y53" s="22">
        <f>Y49+Y50+Y51+Y52</f>
      </c>
      <c r="Z53" s="22">
        <f>Z49+Z50+Z51+Z52</f>
      </c>
      <c r="AA53" s="22">
        <f>AA49+AA50+AA51+AA52</f>
      </c>
      <c r="AB53" s="22">
        <f>AB49+AB50+AB51+AB52</f>
      </c>
      <c r="AC53" s="22">
        <f>AC49+AC50+AC51+AC52</f>
      </c>
      <c r="AD53" s="22">
        <f>AD49+AD50+AD51+AD52</f>
      </c>
      <c r="AE53" s="22">
        <f>AE49+AE50+AE51+AE52</f>
      </c>
      <c r="AF53" s="22">
        <f>AF49+AF50+AF51+AF52</f>
      </c>
      <c r="AG53" s="22">
        <f>AG49+AG50+AG51+AG52</f>
      </c>
      <c r="AH53" s="22">
        <f>AH49+AH50+AH51+AH52</f>
      </c>
      <c r="AI53" s="22">
        <f>AI49+AI50+AI51+AI52</f>
      </c>
      <c r="AJ53" s="22">
        <f>AJ49+AJ50+AJ51+AJ52</f>
      </c>
      <c r="AK53" s="22">
        <f>AK49+AK50+AK51+AK52</f>
      </c>
      <c r="AL53" s="22">
        <f>AL49+AL50+AL51+AL52</f>
      </c>
      <c r="AM53" s="23"/>
    </row>
    <row r="55" ht="12.75" customHeight="1" spans="2:39" x14ac:dyDescent="0.25">
      <c r="B55" s="11" t="s">
        <v>47</v>
      </c>
      <c r="C55" s="12"/>
      <c r="D55" s="12"/>
      <c r="E55" s="12"/>
      <c r="F55" s="12"/>
      <c r="G55" s="52" t="s">
        <v>7</v>
      </c>
      <c r="H55" s="52" t="s">
        <v>8</v>
      </c>
      <c r="I55" s="52" t="s">
        <v>9</v>
      </c>
      <c r="J55" s="52" t="s">
        <v>10</v>
      </c>
      <c r="K55" s="52" t="s">
        <v>11</v>
      </c>
      <c r="L55" s="52" t="s">
        <v>12</v>
      </c>
      <c r="M55" s="52" t="s">
        <v>13</v>
      </c>
      <c r="N55" s="52" t="s">
        <v>14</v>
      </c>
      <c r="O55" s="52" t="s">
        <v>15</v>
      </c>
      <c r="P55" s="52" t="s">
        <v>16</v>
      </c>
      <c r="Q55" s="52" t="s">
        <v>17</v>
      </c>
      <c r="R55" s="52" t="s">
        <v>18</v>
      </c>
      <c r="S55" s="52" t="s">
        <v>19</v>
      </c>
      <c r="T55" s="52" t="s">
        <v>20</v>
      </c>
      <c r="U55" s="52" t="s">
        <v>21</v>
      </c>
      <c r="V55" s="52" t="s">
        <v>22</v>
      </c>
      <c r="W55" s="52" t="s">
        <v>23</v>
      </c>
      <c r="X55" s="52" t="s">
        <v>24</v>
      </c>
      <c r="Y55" s="52" t="s">
        <v>25</v>
      </c>
      <c r="Z55" s="52" t="s">
        <v>26</v>
      </c>
      <c r="AA55" s="52" t="s">
        <v>27</v>
      </c>
      <c r="AB55" s="52" t="s">
        <v>28</v>
      </c>
      <c r="AC55" s="52" t="s">
        <v>29</v>
      </c>
      <c r="AD55" s="52" t="s">
        <v>30</v>
      </c>
      <c r="AE55" s="52" t="s">
        <v>31</v>
      </c>
      <c r="AF55" s="52" t="s">
        <v>32</v>
      </c>
      <c r="AG55" s="52" t="s">
        <v>33</v>
      </c>
      <c r="AH55" s="52" t="s">
        <v>34</v>
      </c>
      <c r="AI55" s="52" t="s">
        <v>35</v>
      </c>
      <c r="AJ55" s="52" t="s">
        <v>36</v>
      </c>
      <c r="AK55" s="52" t="s">
        <v>37</v>
      </c>
      <c r="AL55" s="52" t="s">
        <v>38</v>
      </c>
      <c r="AM55" s="15"/>
    </row>
    <row r="56" ht="12.75" customHeight="1" spans="2:39" x14ac:dyDescent="0.25">
      <c r="B56" s="16"/>
      <c r="C56" s="17"/>
      <c r="D56" s="17" t="s">
        <v>41</v>
      </c>
      <c r="E56" s="17"/>
      <c r="F56" s="17"/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24">
        <f>AK49-AK42</f>
      </c>
      <c r="AL56" s="24">
        <f>AL49-AL42</f>
      </c>
      <c r="AM56" s="19"/>
    </row>
    <row r="57" ht="12.75" customHeight="1" spans="2:39" x14ac:dyDescent="0.25">
      <c r="B57" s="16"/>
      <c r="C57" s="17"/>
      <c r="D57" s="17" t="s">
        <v>42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16"/>
      <c r="C58" s="17"/>
      <c r="D58" s="17" t="s">
        <v>43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16"/>
      <c r="C59" s="17"/>
      <c r="D59" s="17" t="s">
        <v>44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20"/>
      <c r="C60" s="21"/>
      <c r="D60" s="21" t="s">
        <v>45</v>
      </c>
      <c r="E60" s="21"/>
      <c r="F60" s="21"/>
      <c r="G60" s="25">
        <f>G56+G57+G58+G59</f>
      </c>
      <c r="H60" s="25">
        <f>H56+H57+H58+H59</f>
      </c>
      <c r="I60" s="25">
        <f>I56+I57+I58+I59</f>
      </c>
      <c r="J60" s="25">
        <f>J56+J57+J58+J59</f>
      </c>
      <c r="K60" s="25">
        <f>K56+K57+K58+K59</f>
      </c>
      <c r="L60" s="25">
        <f>L56+L57+L58+L59</f>
      </c>
      <c r="M60" s="25">
        <f>M56+M57+M58+M59</f>
      </c>
      <c r="N60" s="25">
        <f>N56+N57+N58+N59</f>
      </c>
      <c r="O60" s="25">
        <f>O56+O57+O58+O59</f>
      </c>
      <c r="P60" s="25">
        <f>P56+P57+P58+P59</f>
      </c>
      <c r="Q60" s="25">
        <f>Q56+Q57+Q58+Q59</f>
      </c>
      <c r="R60" s="25">
        <f>R56+R57+R58+R59</f>
      </c>
      <c r="S60" s="25">
        <f>S56+S57+S58+S59</f>
      </c>
      <c r="T60" s="25">
        <f>T56+T57+T58+T59</f>
      </c>
      <c r="U60" s="25">
        <f>U56+U57+U58+U59</f>
      </c>
      <c r="V60" s="25">
        <f>V56+V57+V58+V59</f>
      </c>
      <c r="W60" s="25">
        <f>W56+W57+W58+W59</f>
      </c>
      <c r="X60" s="25">
        <f>X56+X57+X58+X59</f>
      </c>
      <c r="Y60" s="25">
        <f>Y56+Y57+Y58+Y59</f>
      </c>
      <c r="Z60" s="25">
        <f>Z56+Z57+Z58+Z59</f>
      </c>
      <c r="AA60" s="25">
        <f>AA56+AA57+AA58+AA59</f>
      </c>
      <c r="AB60" s="25">
        <f>AB56+AB57+AB58+AB59</f>
      </c>
      <c r="AC60" s="25">
        <f>AC56+AC57+AC58+AC59</f>
      </c>
      <c r="AD60" s="25">
        <f>AD56+AD57+AD58+AD59</f>
      </c>
      <c r="AE60" s="25">
        <f>AE56+AE57+AE58+AE59</f>
      </c>
      <c r="AF60" s="25">
        <f>AF56+AF57+AF58+AF59</f>
      </c>
      <c r="AG60" s="25">
        <f>AG56+AG57+AG58+AG59</f>
      </c>
      <c r="AH60" s="25">
        <f>AH56+AH57+AH58+AH59</f>
      </c>
      <c r="AI60" s="25">
        <f>AI56+AI57+AI58+AI59</f>
      </c>
      <c r="AJ60" s="25">
        <f>AJ56+AJ57+AJ58+AJ59</f>
      </c>
      <c r="AK60" s="25">
        <f>AK56+AK57+AK58+AK59</f>
      </c>
      <c r="AL60" s="25">
        <f>AL56+AL57+AL58+AL59</f>
      </c>
      <c r="AM6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1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1162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1163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3">
        <v>31.81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1164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64.84</v>
      </c>
      <c r="AC14" s="33">
        <v>37.35</v>
      </c>
      <c r="AD14" s="33">
        <v>27.19</v>
      </c>
      <c r="AE14" s="33">
        <v>27.19</v>
      </c>
      <c r="AF14" s="33">
        <v>38.12</v>
      </c>
      <c r="AG14" s="33">
        <v>85.03</v>
      </c>
      <c r="AH14" s="33">
        <v>99.7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1165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6">
        <f>126.85+167.31</f>
        <v>294.15999999999997</v>
      </c>
      <c r="AB15" s="33">
        <v>119.35</v>
      </c>
      <c r="AC15" s="33">
        <v>99.98</v>
      </c>
      <c r="AD15" s="33">
        <v>85.37</v>
      </c>
      <c r="AE15" s="33">
        <v>80.64</v>
      </c>
      <c r="AF15" s="33">
        <v>84.63</v>
      </c>
      <c r="AG15" s="33">
        <v>130.38</v>
      </c>
      <c r="AH15" s="33">
        <v>169.57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1166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323.55</v>
      </c>
      <c r="AB16" s="33">
        <v>320.07</v>
      </c>
      <c r="AC16" s="33">
        <v>326.16</v>
      </c>
      <c r="AD16" s="33">
        <v>221.79</v>
      </c>
      <c r="AE16" s="33">
        <v>135.27</v>
      </c>
      <c r="AF16" s="33">
        <v>146.49</v>
      </c>
      <c r="AG16" s="33">
        <v>172.2</v>
      </c>
      <c r="AH16" s="33">
        <v>176.25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1167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102.26</v>
      </c>
      <c r="AB17" s="33">
        <v>64.31</v>
      </c>
      <c r="AC17" s="33">
        <v>-50.33</v>
      </c>
      <c r="AD17" s="33">
        <v>38.32</v>
      </c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1168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32.19</v>
      </c>
      <c r="AC18" s="33">
        <v>32.19</v>
      </c>
      <c r="AD18" s="33">
        <v>32.19</v>
      </c>
      <c r="AE18" s="33">
        <v>27.19</v>
      </c>
      <c r="AF18" s="33">
        <v>32.63</v>
      </c>
      <c r="AG18" s="33">
        <v>32.63</v>
      </c>
      <c r="AH18" s="33">
        <v>32.63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1169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>
        <v>59.38</v>
      </c>
      <c r="AE19" s="33">
        <v>32.19</v>
      </c>
      <c r="AF19" s="33">
        <v>97.01</v>
      </c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1170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3">
        <v>48.64</v>
      </c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1171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v>670.8</v>
      </c>
      <c r="AB21" s="33">
        <v>638.41</v>
      </c>
      <c r="AC21" s="33">
        <v>659.65</v>
      </c>
      <c r="AD21" s="33">
        <v>566.74</v>
      </c>
      <c r="AE21" s="33">
        <v>518.96</v>
      </c>
      <c r="AF21" s="33">
        <v>606.13</v>
      </c>
      <c r="AG21" s="33">
        <v>639.56</v>
      </c>
      <c r="AH21" s="33">
        <v>568.97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227</v>
      </c>
      <c r="D22" s="32" t="s">
        <v>1172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>
        <v>91.57</v>
      </c>
      <c r="AC22" s="33">
        <v>9.06</v>
      </c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227</v>
      </c>
      <c r="D23" s="32" t="s">
        <v>1173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3">
        <v>30.23</v>
      </c>
      <c r="Z23" s="33">
        <v>3.35</v>
      </c>
      <c r="AA23" s="33">
        <v>94.84</v>
      </c>
      <c r="AB23" s="33">
        <v>68.79</v>
      </c>
      <c r="AC23" s="33">
        <v>55.36</v>
      </c>
      <c r="AD23" s="33">
        <v>-31.43</v>
      </c>
      <c r="AE23" s="33">
        <v>3.01</v>
      </c>
      <c r="AF23" s="33">
        <v>37.32</v>
      </c>
      <c r="AG23" s="33">
        <v>85.43</v>
      </c>
      <c r="AH23" s="33">
        <v>43.82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227</v>
      </c>
      <c r="D24" s="32" t="s">
        <v>1174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0</v>
      </c>
      <c r="AC24" s="33">
        <v>27.19</v>
      </c>
      <c r="AD24" s="33">
        <v>27.19</v>
      </c>
      <c r="AE24" s="33">
        <v>95.51</v>
      </c>
      <c r="AF24" s="33">
        <v>37.32</v>
      </c>
      <c r="AG24" s="33">
        <v>32.63</v>
      </c>
      <c r="AH24" s="33">
        <v>37.32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227</v>
      </c>
      <c r="D25" s="32" t="s">
        <v>1175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>
        <v>37.25</v>
      </c>
      <c r="AB25" s="33">
        <v>32.19</v>
      </c>
      <c r="AC25" s="33">
        <v>155.48</v>
      </c>
      <c r="AD25" s="33">
        <v>158.4</v>
      </c>
      <c r="AE25" s="33">
        <v>145.04</v>
      </c>
      <c r="AF25" s="33">
        <v>101.44</v>
      </c>
      <c r="AG25" s="33">
        <v>40.37</v>
      </c>
      <c r="AH25" s="33">
        <v>54.38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227</v>
      </c>
      <c r="D26" s="32" t="s">
        <v>1176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>
        <v>216.35</v>
      </c>
      <c r="AB26" s="33">
        <v>207.22</v>
      </c>
      <c r="AC26" s="33">
        <v>170.91</v>
      </c>
      <c r="AD26" s="33">
        <v>79.83</v>
      </c>
      <c r="AE26" s="33">
        <v>39.83</v>
      </c>
      <c r="AF26" s="33">
        <v>90.9</v>
      </c>
      <c r="AG26" s="33">
        <v>117.3</v>
      </c>
      <c r="AH26" s="33">
        <v>116.23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227</v>
      </c>
      <c r="D27" s="32" t="s">
        <v>1177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>
        <v>101.99</v>
      </c>
      <c r="AB27" s="33">
        <v>61.53</v>
      </c>
      <c r="AC27" s="33">
        <v>66.3</v>
      </c>
      <c r="AD27" s="33">
        <v>-4.6</v>
      </c>
      <c r="AE27" s="33">
        <v>30.82</v>
      </c>
      <c r="AF27" s="33">
        <v>-79.53</v>
      </c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227</v>
      </c>
      <c r="D28" s="32" t="s">
        <v>1178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87.35</v>
      </c>
      <c r="AA28" s="36">
        <f>111.05+0.00</f>
        <v>111.05</v>
      </c>
      <c r="AB28" s="33">
        <v>-5.67</v>
      </c>
      <c r="AC28" s="33">
        <v>74.83</v>
      </c>
      <c r="AD28" s="33">
        <v>53.92</v>
      </c>
      <c r="AE28" s="33">
        <v>39.16</v>
      </c>
      <c r="AF28" s="33">
        <v>41.53</v>
      </c>
      <c r="AG28" s="33">
        <v>88.64</v>
      </c>
      <c r="AH28" s="33">
        <v>44.77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227</v>
      </c>
      <c r="D29" s="32" t="s">
        <v>1179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>
        <v>122.39</v>
      </c>
      <c r="AB29" s="33">
        <v>35.32</v>
      </c>
      <c r="AC29" s="33">
        <v>27.41</v>
      </c>
      <c r="AD29" s="33">
        <v>27.47</v>
      </c>
      <c r="AE29" s="33">
        <v>54.03</v>
      </c>
      <c r="AF29" s="33">
        <v>116.89</v>
      </c>
      <c r="AG29" s="33">
        <v>139.83</v>
      </c>
      <c r="AH29" s="33">
        <v>216.7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227</v>
      </c>
      <c r="D30" s="32" t="s">
        <v>1180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>
        <v>177.51</v>
      </c>
      <c r="AB30" s="32"/>
      <c r="AC30" s="33">
        <v>196.31</v>
      </c>
      <c r="AD30" s="33">
        <v>140.69</v>
      </c>
      <c r="AE30" s="33">
        <v>123.03</v>
      </c>
      <c r="AF30" s="33">
        <v>109.29</v>
      </c>
      <c r="AG30" s="33">
        <v>96.89</v>
      </c>
      <c r="AH30" s="33">
        <v>134.35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227</v>
      </c>
      <c r="D31" s="32" t="s">
        <v>1181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>
        <v>222.67</v>
      </c>
      <c r="AB31" s="32"/>
      <c r="AC31" s="33">
        <v>82.21</v>
      </c>
      <c r="AD31" s="33">
        <v>27.19</v>
      </c>
      <c r="AE31" s="33">
        <v>30.59</v>
      </c>
      <c r="AF31" s="33">
        <v>90.37</v>
      </c>
      <c r="AG31" s="33">
        <v>33.45</v>
      </c>
      <c r="AH31" s="33">
        <v>60.76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227</v>
      </c>
      <c r="D32" s="32" t="s">
        <v>1182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3">
        <v>59.38</v>
      </c>
      <c r="AB32" s="33">
        <v>32.19</v>
      </c>
      <c r="AC32" s="33">
        <v>27.19</v>
      </c>
      <c r="AD32" s="33">
        <v>27.19</v>
      </c>
      <c r="AE32" s="33">
        <v>27.19</v>
      </c>
      <c r="AF32" s="33">
        <v>32.63</v>
      </c>
      <c r="AG32" s="33">
        <v>32.63</v>
      </c>
      <c r="AH32" s="33">
        <v>32.63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227</v>
      </c>
      <c r="D33" s="32" t="s">
        <v>1183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3">
        <v>59.38</v>
      </c>
      <c r="AB33" s="33">
        <v>32.19</v>
      </c>
      <c r="AC33" s="33">
        <v>55.91</v>
      </c>
      <c r="AD33" s="33">
        <v>62.85</v>
      </c>
      <c r="AE33" s="33">
        <v>27.9</v>
      </c>
      <c r="AF33" s="33">
        <v>35.22</v>
      </c>
      <c r="AG33" s="33">
        <v>38.61</v>
      </c>
      <c r="AH33" s="33">
        <v>50.9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227</v>
      </c>
      <c r="D34" s="32" t="s">
        <v>1184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3">
        <v>126.95</v>
      </c>
      <c r="Z34" s="33">
        <v>-8.35</v>
      </c>
      <c r="AA34" s="33">
        <v>97.65</v>
      </c>
      <c r="AB34" s="33">
        <v>101.81</v>
      </c>
      <c r="AC34" s="33">
        <v>109.64</v>
      </c>
      <c r="AD34" s="33">
        <v>94.27</v>
      </c>
      <c r="AE34" s="33">
        <v>74.74</v>
      </c>
      <c r="AF34" s="33">
        <v>77.64</v>
      </c>
      <c r="AG34" s="33">
        <v>66.92</v>
      </c>
      <c r="AH34" s="33">
        <v>63.05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227</v>
      </c>
      <c r="D35" s="32" t="s">
        <v>1185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3">
        <v>72.4</v>
      </c>
      <c r="AB35" s="33">
        <v>32.19</v>
      </c>
      <c r="AC35" s="33">
        <v>27.19</v>
      </c>
      <c r="AD35" s="33">
        <v>27.19</v>
      </c>
      <c r="AE35" s="33">
        <v>27.19</v>
      </c>
      <c r="AF35" s="33">
        <v>32.63</v>
      </c>
      <c r="AG35" s="33">
        <v>32.63</v>
      </c>
      <c r="AH35" s="33">
        <v>109.94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227</v>
      </c>
      <c r="D36" s="32" t="s">
        <v>1186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3">
        <v>251.94</v>
      </c>
      <c r="Z36" s="33">
        <v>9.82</v>
      </c>
      <c r="AA36" s="33">
        <v>249.61</v>
      </c>
      <c r="AB36" s="33">
        <v>250.48</v>
      </c>
      <c r="AC36" s="33">
        <v>266.55</v>
      </c>
      <c r="AD36" s="33">
        <v>242.94</v>
      </c>
      <c r="AE36" s="33">
        <v>242.64</v>
      </c>
      <c r="AF36" s="33">
        <v>274.77</v>
      </c>
      <c r="AG36" s="33">
        <v>267.33</v>
      </c>
      <c r="AH36" s="33">
        <v>253.2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227</v>
      </c>
      <c r="D37" s="32" t="s">
        <v>1187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3">
        <v>59.38</v>
      </c>
      <c r="AB37" s="32"/>
      <c r="AC37" s="33">
        <v>64.38</v>
      </c>
      <c r="AD37" s="33">
        <v>27.19</v>
      </c>
      <c r="AE37" s="33">
        <v>27.19</v>
      </c>
      <c r="AF37" s="33">
        <v>32.63</v>
      </c>
      <c r="AG37" s="33">
        <v>32.63</v>
      </c>
      <c r="AH37" s="33">
        <v>32.63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227</v>
      </c>
      <c r="D38" s="32" t="s">
        <v>1188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3">
        <v>59.38</v>
      </c>
      <c r="AB38" s="32"/>
      <c r="AC38" s="33">
        <v>27.19</v>
      </c>
      <c r="AD38" s="33">
        <v>27.19</v>
      </c>
      <c r="AE38" s="33">
        <v>27.19</v>
      </c>
      <c r="AF38" s="33">
        <v>32.63</v>
      </c>
      <c r="AG38" s="33">
        <v>32.63</v>
      </c>
      <c r="AH38" s="33">
        <v>32.63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227</v>
      </c>
      <c r="D39" s="32" t="s">
        <v>1189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3">
        <v>59.38</v>
      </c>
      <c r="AB39" s="32"/>
      <c r="AC39" s="33">
        <v>27.19</v>
      </c>
      <c r="AD39" s="33">
        <v>27.19</v>
      </c>
      <c r="AE39" s="33">
        <v>27.19</v>
      </c>
      <c r="AF39" s="33">
        <v>32.63</v>
      </c>
      <c r="AG39" s="33">
        <v>32.63</v>
      </c>
      <c r="AH39" s="33">
        <v>32.63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227</v>
      </c>
      <c r="D40" s="32" t="s">
        <v>1190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3">
        <v>248.74</v>
      </c>
      <c r="AB40" s="33">
        <v>63.77</v>
      </c>
      <c r="AC40" s="33">
        <v>-113.8</v>
      </c>
      <c r="AD40" s="33">
        <v>40.74</v>
      </c>
      <c r="AE40" s="33">
        <v>6.84</v>
      </c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227</v>
      </c>
      <c r="D41" s="32" t="s">
        <v>1191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3">
        <v>15.15</v>
      </c>
      <c r="Z41" s="33">
        <v>-0.03</v>
      </c>
      <c r="AA41" s="33">
        <v>15.09</v>
      </c>
      <c r="AB41" s="33">
        <v>15.12</v>
      </c>
      <c r="AC41" s="33">
        <v>15.12</v>
      </c>
      <c r="AD41" s="33">
        <v>15.12</v>
      </c>
      <c r="AE41" s="33">
        <v>15.12</v>
      </c>
      <c r="AF41" s="33">
        <v>14.16</v>
      </c>
      <c r="AG41" s="33">
        <v>14.16</v>
      </c>
      <c r="AH41" s="33">
        <v>14.16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227</v>
      </c>
      <c r="D42" s="32" t="s">
        <v>1192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3">
        <v>9.06</v>
      </c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227</v>
      </c>
      <c r="D43" s="32" t="s">
        <v>1193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3">
        <v>1107.31</v>
      </c>
      <c r="Z43" s="33">
        <v>-10.3</v>
      </c>
      <c r="AA43" s="33">
        <v>966.64</v>
      </c>
      <c r="AB43" s="33">
        <v>1117.89</v>
      </c>
      <c r="AC43" s="33">
        <v>1414.98</v>
      </c>
      <c r="AD43" s="33">
        <v>1620.51</v>
      </c>
      <c r="AE43" s="33">
        <v>1586.34</v>
      </c>
      <c r="AF43" s="33">
        <v>1987.8</v>
      </c>
      <c r="AG43" s="33">
        <v>2136.75</v>
      </c>
      <c r="AH43" s="33">
        <v>1589.52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227</v>
      </c>
      <c r="D44" s="32" t="s">
        <v>1194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3">
        <v>221.88</v>
      </c>
      <c r="AB44" s="32"/>
      <c r="AC44" s="33">
        <v>233.29</v>
      </c>
      <c r="AD44" s="33">
        <v>182.49</v>
      </c>
      <c r="AE44" s="33">
        <v>148.13</v>
      </c>
      <c r="AF44" s="33">
        <v>191.3</v>
      </c>
      <c r="AG44" s="33">
        <v>236.57</v>
      </c>
      <c r="AH44" s="33">
        <v>206.01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227</v>
      </c>
      <c r="D45" s="32" t="s">
        <v>1195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3">
        <v>68.79</v>
      </c>
      <c r="AA45" s="36">
        <f>85.64+0.00</f>
        <v>85.64</v>
      </c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227</v>
      </c>
      <c r="D46" s="32" t="s">
        <v>1196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3">
        <v>78.66</v>
      </c>
      <c r="AB46" s="33">
        <v>233.71</v>
      </c>
      <c r="AC46" s="33">
        <v>92.87</v>
      </c>
      <c r="AD46" s="33">
        <v>33.21</v>
      </c>
      <c r="AE46" s="33">
        <v>64.04</v>
      </c>
      <c r="AF46" s="33">
        <v>88.91</v>
      </c>
      <c r="AG46" s="33">
        <v>118.9</v>
      </c>
      <c r="AH46" s="33">
        <v>84.35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227</v>
      </c>
      <c r="D47" s="32" t="s">
        <v>1197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3">
        <v>173.91</v>
      </c>
      <c r="AA47" s="33">
        <v>361.08</v>
      </c>
      <c r="AB47" s="33">
        <v>180.45</v>
      </c>
      <c r="AC47" s="33">
        <v>158.24</v>
      </c>
      <c r="AD47" s="33">
        <v>119.09</v>
      </c>
      <c r="AE47" s="33">
        <v>30.36</v>
      </c>
      <c r="AF47" s="33">
        <v>32.63</v>
      </c>
      <c r="AG47" s="33">
        <v>124.52</v>
      </c>
      <c r="AH47" s="33">
        <v>185.1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227</v>
      </c>
      <c r="D48" s="32" t="s">
        <v>1198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6">
        <f>217.88+192.61</f>
        <v>410.49</v>
      </c>
      <c r="AB48" s="33">
        <v>174.15</v>
      </c>
      <c r="AC48" s="33">
        <v>65.52</v>
      </c>
      <c r="AD48" s="33">
        <v>27.29</v>
      </c>
      <c r="AE48" s="33">
        <v>27.29</v>
      </c>
      <c r="AF48" s="33">
        <v>32.63</v>
      </c>
      <c r="AG48" s="33">
        <v>41.58</v>
      </c>
      <c r="AH48" s="33">
        <v>50.38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227</v>
      </c>
      <c r="D49" s="32" t="s">
        <v>1199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3">
        <v>40.59</v>
      </c>
      <c r="AB49" s="33">
        <v>72.75</v>
      </c>
      <c r="AC49" s="33">
        <v>19.62</v>
      </c>
      <c r="AD49" s="33">
        <v>40.07</v>
      </c>
      <c r="AE49" s="33">
        <v>33.86</v>
      </c>
      <c r="AF49" s="33">
        <v>53.56</v>
      </c>
      <c r="AG49" s="33">
        <v>127.03</v>
      </c>
      <c r="AH49" s="33">
        <v>-69.21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227</v>
      </c>
      <c r="D50" s="32" t="s">
        <v>1200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3">
        <v>93.42</v>
      </c>
      <c r="AB50" s="32"/>
      <c r="AC50" s="33">
        <v>88.14</v>
      </c>
      <c r="AD50" s="33">
        <v>49.56</v>
      </c>
      <c r="AE50" s="33">
        <v>95.37</v>
      </c>
      <c r="AF50" s="33">
        <v>44.19</v>
      </c>
      <c r="AG50" s="33">
        <v>135.55</v>
      </c>
      <c r="AH50" s="33">
        <v>299.52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227</v>
      </c>
      <c r="D51" s="32" t="s">
        <v>1201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3">
        <v>13.97</v>
      </c>
      <c r="AD51" s="33">
        <v>190.03</v>
      </c>
      <c r="AE51" s="33">
        <v>-9.45</v>
      </c>
      <c r="AF51" s="33">
        <v>41.81</v>
      </c>
      <c r="AG51" s="33">
        <v>125.64</v>
      </c>
      <c r="AH51" s="33">
        <v>103.24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227</v>
      </c>
      <c r="D52" s="32" t="s">
        <v>1202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3">
        <v>385.59</v>
      </c>
      <c r="AB52" s="33">
        <v>226.79</v>
      </c>
      <c r="AC52" s="33">
        <v>216.88</v>
      </c>
      <c r="AD52" s="33">
        <v>134.87</v>
      </c>
      <c r="AE52" s="33">
        <v>91.55</v>
      </c>
      <c r="AF52" s="33">
        <v>179.8</v>
      </c>
      <c r="AG52" s="33">
        <v>346.21</v>
      </c>
      <c r="AH52" s="33">
        <v>402.19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227</v>
      </c>
      <c r="D53" s="32" t="s">
        <v>1203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3">
        <v>77.93</v>
      </c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227</v>
      </c>
      <c r="D54" s="32" t="s">
        <v>1204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3">
        <v>89.68</v>
      </c>
      <c r="Z54" s="33">
        <v>-3.07</v>
      </c>
      <c r="AA54" s="33">
        <v>82.97</v>
      </c>
      <c r="AB54" s="33">
        <v>82.14</v>
      </c>
      <c r="AC54" s="33">
        <v>88.8</v>
      </c>
      <c r="AD54" s="33">
        <v>69.09</v>
      </c>
      <c r="AE54" s="33">
        <v>57.54</v>
      </c>
      <c r="AF54" s="33">
        <v>62.17</v>
      </c>
      <c r="AG54" s="33">
        <v>378.81</v>
      </c>
      <c r="AH54" s="33">
        <v>96.96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227</v>
      </c>
      <c r="D55" s="32" t="s">
        <v>1205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3">
        <v>60.4</v>
      </c>
      <c r="AC55" s="33">
        <v>65.4</v>
      </c>
      <c r="AD55" s="36">
        <f>-32.70+27.70</f>
        <v>-5.0000000000000036</v>
      </c>
      <c r="AE55" s="33">
        <v>-32.7</v>
      </c>
      <c r="AF55" s="33">
        <v>-6.01</v>
      </c>
      <c r="AG55" s="33">
        <v>20.68</v>
      </c>
      <c r="AH55" s="33">
        <v>26.69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227</v>
      </c>
      <c r="D56" s="32" t="s">
        <v>1206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3">
        <v>76.03</v>
      </c>
      <c r="AA56" s="36">
        <f>79.97+0.00</f>
        <v>79.97</v>
      </c>
      <c r="AB56" s="33">
        <v>-20.8</v>
      </c>
      <c r="AC56" s="33">
        <v>44.57</v>
      </c>
      <c r="AD56" s="33">
        <v>48.49</v>
      </c>
      <c r="AE56" s="33">
        <v>39.16</v>
      </c>
      <c r="AF56" s="33">
        <v>41.12</v>
      </c>
      <c r="AG56" s="33">
        <v>82.51</v>
      </c>
      <c r="AH56" s="33">
        <v>43.25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227</v>
      </c>
      <c r="D57" s="32" t="s">
        <v>1207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3">
        <v>12.73</v>
      </c>
      <c r="AC57" s="36">
        <f>59.05+100.00</f>
        <v>159.05</v>
      </c>
      <c r="AD57" s="33">
        <v>44.93</v>
      </c>
      <c r="AE57" s="33">
        <v>34.49</v>
      </c>
      <c r="AF57" s="33">
        <v>48.37</v>
      </c>
      <c r="AG57" s="33">
        <v>106.37</v>
      </c>
      <c r="AH57" s="33">
        <v>64.37</v>
      </c>
      <c r="AI57" s="33">
        <v>-84.33</v>
      </c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227</v>
      </c>
      <c r="D58" s="32" t="s">
        <v>1208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3">
        <v>59.38</v>
      </c>
      <c r="AB58" s="32"/>
      <c r="AC58" s="33">
        <v>64.38</v>
      </c>
      <c r="AD58" s="33">
        <v>-32.19</v>
      </c>
      <c r="AE58" s="33">
        <v>-5</v>
      </c>
      <c r="AF58" s="33">
        <v>32.83</v>
      </c>
      <c r="AG58" s="33">
        <v>81.3</v>
      </c>
      <c r="AH58" s="33">
        <v>94.49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227</v>
      </c>
      <c r="D59" s="32" t="s">
        <v>1209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3">
        <v>1100.03</v>
      </c>
      <c r="AB59" s="33">
        <v>1100.03</v>
      </c>
      <c r="AC59" s="33">
        <v>1100.03</v>
      </c>
      <c r="AD59" s="33">
        <v>1100.03</v>
      </c>
      <c r="AE59" s="33">
        <v>1100.03</v>
      </c>
      <c r="AF59" s="33">
        <v>1161.43</v>
      </c>
      <c r="AG59" s="33">
        <v>1258.99</v>
      </c>
      <c r="AH59" s="33">
        <v>1277.89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227</v>
      </c>
      <c r="D60" s="32" t="s">
        <v>1210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3">
        <v>32.19</v>
      </c>
      <c r="AC60" s="33">
        <v>32.19</v>
      </c>
      <c r="AD60" s="33">
        <v>-5</v>
      </c>
      <c r="AE60" s="33">
        <v>22.19</v>
      </c>
      <c r="AF60" s="33">
        <v>32.63</v>
      </c>
      <c r="AG60" s="33">
        <v>32.63</v>
      </c>
      <c r="AH60" s="33">
        <v>32.63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227</v>
      </c>
      <c r="D61" s="32" t="s">
        <v>1211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3">
        <v>61.15</v>
      </c>
      <c r="Z61" s="33">
        <v>3</v>
      </c>
      <c r="AA61" s="33">
        <v>57.33</v>
      </c>
      <c r="AB61" s="33">
        <v>83.14</v>
      </c>
      <c r="AC61" s="33">
        <v>60.83</v>
      </c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227</v>
      </c>
      <c r="D62" s="32" t="s">
        <v>1212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3">
        <v>83.98</v>
      </c>
      <c r="AB62" s="33">
        <v>38.03</v>
      </c>
      <c r="AC62" s="33">
        <v>32.73</v>
      </c>
      <c r="AD62" s="33">
        <v>72.59</v>
      </c>
      <c r="AE62" s="33">
        <v>33.03</v>
      </c>
      <c r="AF62" s="33">
        <v>38.69</v>
      </c>
      <c r="AG62" s="33">
        <v>72.78</v>
      </c>
      <c r="AH62" s="33">
        <v>12.27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227</v>
      </c>
      <c r="D63" s="32" t="s">
        <v>1213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3">
        <v>343.46</v>
      </c>
      <c r="AB63" s="32"/>
      <c r="AC63" s="33">
        <v>268.85</v>
      </c>
      <c r="AD63" s="33">
        <v>126.86</v>
      </c>
      <c r="AE63" s="33">
        <v>85.37</v>
      </c>
      <c r="AF63" s="33">
        <v>73.97</v>
      </c>
      <c r="AG63" s="33">
        <v>91.17</v>
      </c>
      <c r="AH63" s="33">
        <v>204</v>
      </c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227</v>
      </c>
      <c r="D64" s="32" t="s">
        <v>1214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3">
        <v>54.1</v>
      </c>
      <c r="AC64" s="33">
        <v>19.7</v>
      </c>
      <c r="AD64" s="33">
        <v>14.7</v>
      </c>
      <c r="AE64" s="33">
        <v>14.7</v>
      </c>
      <c r="AF64" s="33">
        <v>13.9</v>
      </c>
      <c r="AG64" s="33">
        <v>13.9</v>
      </c>
      <c r="AH64" s="33">
        <v>13.9</v>
      </c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227</v>
      </c>
      <c r="D65" s="32" t="s">
        <v>1215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3">
        <v>52.08</v>
      </c>
      <c r="AF65" s="33">
        <v>76.17</v>
      </c>
      <c r="AG65" s="33">
        <v>190.81</v>
      </c>
      <c r="AH65" s="33">
        <v>202.44</v>
      </c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227</v>
      </c>
      <c r="D66" s="32" t="s">
        <v>1216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3">
        <v>110.73</v>
      </c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227</v>
      </c>
      <c r="D67" s="32" t="s">
        <v>1217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3">
        <v>29.35</v>
      </c>
      <c r="AA67" s="33">
        <v>63.7</v>
      </c>
      <c r="AB67" s="33">
        <v>34.35</v>
      </c>
      <c r="AC67" s="33">
        <v>4.89</v>
      </c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227</v>
      </c>
      <c r="D68" s="32" t="s">
        <v>1218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3">
        <v>27.24</v>
      </c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227</v>
      </c>
      <c r="D69" s="32" t="s">
        <v>1219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3">
        <v>0</v>
      </c>
      <c r="AC69" s="33">
        <v>135.21</v>
      </c>
      <c r="AD69" s="33">
        <v>102.77</v>
      </c>
      <c r="AE69" s="33">
        <v>91.96</v>
      </c>
      <c r="AF69" s="33">
        <v>89.73</v>
      </c>
      <c r="AG69" s="33">
        <v>87.98</v>
      </c>
      <c r="AH69" s="33">
        <v>107.15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227</v>
      </c>
      <c r="D70" s="32" t="s">
        <v>1220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3">
        <v>60.2</v>
      </c>
      <c r="AB70" s="32"/>
      <c r="AC70" s="33">
        <v>27.19</v>
      </c>
      <c r="AD70" s="33">
        <v>27.19</v>
      </c>
      <c r="AE70" s="33">
        <v>27.19</v>
      </c>
      <c r="AF70" s="33">
        <v>32.63</v>
      </c>
      <c r="AG70" s="33">
        <v>32.63</v>
      </c>
      <c r="AH70" s="33">
        <v>91.95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227</v>
      </c>
      <c r="D71" s="32" t="s">
        <v>1221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3">
        <v>95.43</v>
      </c>
      <c r="AB71" s="33">
        <v>50.07</v>
      </c>
      <c r="AC71" s="33">
        <v>-57.17</v>
      </c>
      <c r="AD71" s="33">
        <v>34.71</v>
      </c>
      <c r="AE71" s="33">
        <v>32.73</v>
      </c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227</v>
      </c>
      <c r="D72" s="32" t="s">
        <v>1222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3">
        <v>32.19</v>
      </c>
      <c r="AC72" s="33">
        <v>108.15</v>
      </c>
      <c r="AD72" s="33">
        <v>22.12</v>
      </c>
      <c r="AE72" s="33">
        <v>27.19</v>
      </c>
      <c r="AF72" s="33">
        <v>39.44</v>
      </c>
      <c r="AG72" s="33">
        <v>55.96</v>
      </c>
      <c r="AH72" s="33">
        <v>82.24</v>
      </c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227</v>
      </c>
      <c r="D73" s="32" t="s">
        <v>1223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6">
        <f>62.33+0.00</f>
        <v>62.33</v>
      </c>
      <c r="AB73" s="33">
        <v>46.53</v>
      </c>
      <c r="AC73" s="33">
        <v>38.37</v>
      </c>
      <c r="AD73" s="33">
        <v>34.14</v>
      </c>
      <c r="AE73" s="33">
        <v>32.09</v>
      </c>
      <c r="AF73" s="33">
        <v>36.96</v>
      </c>
      <c r="AG73" s="33">
        <v>-3.15</v>
      </c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227</v>
      </c>
      <c r="D74" s="32" t="s">
        <v>1224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>
        <v>98.18</v>
      </c>
      <c r="Z74" s="33">
        <v>108.93</v>
      </c>
      <c r="AA74" s="33">
        <v>123.29</v>
      </c>
      <c r="AB74" s="33">
        <v>131.98</v>
      </c>
      <c r="AC74" s="33">
        <v>116.08</v>
      </c>
      <c r="AD74" s="33">
        <v>71.68</v>
      </c>
      <c r="AE74" s="33">
        <v>56.81</v>
      </c>
      <c r="AF74" s="33">
        <v>78.64</v>
      </c>
      <c r="AG74" s="33">
        <v>148.48</v>
      </c>
      <c r="AH74" s="33">
        <v>85.17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227</v>
      </c>
      <c r="D75" s="32" t="s">
        <v>1225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6">
        <f>138.69+0.00</f>
        <v>138.69</v>
      </c>
      <c r="AB75" s="33">
        <v>134.35</v>
      </c>
      <c r="AC75" s="33">
        <v>149.51</v>
      </c>
      <c r="AD75" s="33">
        <v>97.1</v>
      </c>
      <c r="AE75" s="33">
        <v>64.97</v>
      </c>
      <c r="AF75" s="33">
        <v>46.26</v>
      </c>
      <c r="AG75" s="33">
        <v>111.3</v>
      </c>
      <c r="AH75" s="33">
        <v>20.87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227</v>
      </c>
      <c r="D76" s="32" t="s">
        <v>1226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3">
        <v>400.26</v>
      </c>
      <c r="AB76" s="32"/>
      <c r="AC76" s="33">
        <v>306.37</v>
      </c>
      <c r="AD76" s="33">
        <v>139.24</v>
      </c>
      <c r="AE76" s="33">
        <v>128.31</v>
      </c>
      <c r="AF76" s="33">
        <v>150.51</v>
      </c>
      <c r="AG76" s="33">
        <v>125.84</v>
      </c>
      <c r="AH76" s="33">
        <v>183.38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227</v>
      </c>
      <c r="D77" s="32" t="s">
        <v>1227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3">
        <v>29.41</v>
      </c>
      <c r="Z77" s="33">
        <v>-0.06</v>
      </c>
      <c r="AA77" s="33">
        <v>29.29</v>
      </c>
      <c r="AB77" s="33">
        <v>29.35</v>
      </c>
      <c r="AC77" s="33">
        <v>29.35</v>
      </c>
      <c r="AD77" s="33">
        <v>29.35</v>
      </c>
      <c r="AE77" s="33">
        <v>29.35</v>
      </c>
      <c r="AF77" s="33">
        <v>35.22</v>
      </c>
      <c r="AG77" s="33">
        <v>35.22</v>
      </c>
      <c r="AH77" s="33">
        <v>35.22</v>
      </c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227</v>
      </c>
      <c r="D78" s="32" t="s">
        <v>1228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6">
        <f>14.73+0.00</f>
        <v>14.73</v>
      </c>
      <c r="X78" s="32"/>
      <c r="Y78" s="32"/>
      <c r="Z78" s="32"/>
      <c r="AA78" s="32"/>
      <c r="AB78" s="33">
        <v>54.1</v>
      </c>
      <c r="AC78" s="33">
        <v>19.7</v>
      </c>
      <c r="AD78" s="36">
        <f>-0.03+9.82+4.88</f>
        <v>14.670000000000002</v>
      </c>
      <c r="AE78" s="33">
        <v>-0.03</v>
      </c>
      <c r="AF78" s="33">
        <v>13.87</v>
      </c>
      <c r="AG78" s="33">
        <v>13.9</v>
      </c>
      <c r="AH78" s="33">
        <v>13.9</v>
      </c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227</v>
      </c>
      <c r="D79" s="32" t="s">
        <v>1229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3">
        <v>435.16</v>
      </c>
      <c r="AC79" s="33">
        <v>441.62</v>
      </c>
      <c r="AD79" s="33">
        <v>435.64</v>
      </c>
      <c r="AE79" s="33">
        <v>442.08</v>
      </c>
      <c r="AF79" s="33">
        <v>421.26</v>
      </c>
      <c r="AG79" s="33">
        <v>481.66</v>
      </c>
      <c r="AH79" s="33">
        <v>488.89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227</v>
      </c>
      <c r="D80" s="32" t="s">
        <v>1230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3">
        <v>158.23</v>
      </c>
      <c r="AC80" s="33">
        <v>160.26</v>
      </c>
      <c r="AD80" s="33">
        <v>158.23</v>
      </c>
      <c r="AE80" s="33">
        <v>160.47</v>
      </c>
      <c r="AF80" s="33">
        <v>171.89</v>
      </c>
      <c r="AG80" s="33">
        <v>174.47</v>
      </c>
      <c r="AH80" s="36">
        <f>5.14+177.09</f>
        <v>182.23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227</v>
      </c>
      <c r="D81" s="32" t="s">
        <v>1231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3">
        <v>29.41</v>
      </c>
      <c r="Z81" s="33">
        <v>-0.06</v>
      </c>
      <c r="AA81" s="33">
        <v>29.29</v>
      </c>
      <c r="AB81" s="33">
        <v>29.35</v>
      </c>
      <c r="AC81" s="33">
        <v>29.35</v>
      </c>
      <c r="AD81" s="33">
        <v>29.35</v>
      </c>
      <c r="AE81" s="33">
        <v>29.35</v>
      </c>
      <c r="AF81" s="33">
        <v>35.22</v>
      </c>
      <c r="AG81" s="33">
        <v>35.22</v>
      </c>
      <c r="AH81" s="33">
        <v>35.22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227</v>
      </c>
      <c r="D82" s="32" t="s">
        <v>1232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3">
        <v>59.38</v>
      </c>
      <c r="AB82" s="33">
        <v>32.19</v>
      </c>
      <c r="AC82" s="33">
        <v>9.06</v>
      </c>
      <c r="AD82" s="32"/>
      <c r="AE82" s="32"/>
      <c r="AF82" s="32"/>
      <c r="AG82" s="32"/>
      <c r="AH82" s="32"/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227</v>
      </c>
      <c r="D83" s="32" t="s">
        <v>1233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3">
        <v>113.67</v>
      </c>
      <c r="AB83" s="32"/>
      <c r="AC83" s="33">
        <v>127.54</v>
      </c>
      <c r="AD83" s="33">
        <v>97.89</v>
      </c>
      <c r="AE83" s="33">
        <v>27.61</v>
      </c>
      <c r="AF83" s="33">
        <v>32.63</v>
      </c>
      <c r="AG83" s="33">
        <v>32.63</v>
      </c>
      <c r="AH83" s="33">
        <v>32.63</v>
      </c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227</v>
      </c>
      <c r="D84" s="32" t="s">
        <v>1234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3">
        <v>104.53</v>
      </c>
      <c r="Z84" s="33">
        <v>-7.43</v>
      </c>
      <c r="AA84" s="33">
        <v>101.24</v>
      </c>
      <c r="AB84" s="33">
        <v>97.35</v>
      </c>
      <c r="AC84" s="33">
        <v>33.2</v>
      </c>
      <c r="AD84" s="32"/>
      <c r="AE84" s="32"/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7"/>
      <c r="C85" s="38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40"/>
    </row>
    <row r="86" ht="12.75" customHeight="1" spans="2:37" x14ac:dyDescent="0.25">
      <c r="B86" s="20" t="s">
        <v>85</v>
      </c>
      <c r="C86" s="21"/>
      <c r="D86" s="21"/>
      <c r="E86" s="22">
        <f>SUM(E13:E84)</f>
      </c>
      <c r="F86" s="22">
        <f>SUM(F13:F84)</f>
      </c>
      <c r="G86" s="22">
        <f>SUM(G13:G84)</f>
      </c>
      <c r="H86" s="22">
        <f>SUM(H13:H84)</f>
      </c>
      <c r="I86" s="22">
        <f>SUM(I13:I84)</f>
      </c>
      <c r="J86" s="22">
        <f>SUM(J13:J84)</f>
      </c>
      <c r="K86" s="22">
        <f>SUM(K13:K84)</f>
      </c>
      <c r="L86" s="22">
        <f>SUM(L13:L84)</f>
      </c>
      <c r="M86" s="22">
        <f>SUM(M13:M84)</f>
      </c>
      <c r="N86" s="22">
        <f>SUM(N13:N84)</f>
      </c>
      <c r="O86" s="22">
        <f>SUM(O13:O84)</f>
      </c>
      <c r="P86" s="22">
        <f>SUM(P13:P84)</f>
      </c>
      <c r="Q86" s="22">
        <f>SUM(Q13:Q84)</f>
      </c>
      <c r="R86" s="22">
        <f>SUM(R13:R84)</f>
      </c>
      <c r="S86" s="22">
        <f>SUM(S13:S84)</f>
      </c>
      <c r="T86" s="22">
        <f>SUM(T13:T84)</f>
      </c>
      <c r="U86" s="22">
        <f>SUM(U13:U84)</f>
      </c>
      <c r="V86" s="22">
        <f>SUM(V13:V84)</f>
      </c>
      <c r="W86" s="22">
        <f>SUM(W13:W84)</f>
      </c>
      <c r="X86" s="22">
        <f>SUM(X13:X84)</f>
      </c>
      <c r="Y86" s="22">
        <f>SUM(Y13:Y84)</f>
      </c>
      <c r="Z86" s="22">
        <f>SUM(Z13:Z84)</f>
      </c>
      <c r="AA86" s="22">
        <f>SUM(AA13:AA84)</f>
      </c>
      <c r="AB86" s="22">
        <f>SUM(AB13:AB84)</f>
      </c>
      <c r="AC86" s="22">
        <f>SUM(AC13:AC84)</f>
      </c>
      <c r="AD86" s="22">
        <f>SUM(AD13:AD84)</f>
      </c>
      <c r="AE86" s="22">
        <f>SUM(AE13:AE84)</f>
      </c>
      <c r="AF86" s="22">
        <f>SUM(AF13:AF84)</f>
      </c>
      <c r="AG86" s="22">
        <f>SUM(AG13:AG84)</f>
      </c>
      <c r="AH86" s="22">
        <f>SUM(AH13:AH84)</f>
      </c>
      <c r="AI86" s="22">
        <f>SUM(AI13:AI84)</f>
      </c>
      <c r="AJ86" s="22">
        <f>SUM(AJ13:AJ84)</f>
      </c>
      <c r="AK86" s="23"/>
    </row>
    <row r="88" ht="12.75" customHeight="1" spans="2:37" x14ac:dyDescent="0.25">
      <c r="B88" s="26" t="s">
        <v>43</v>
      </c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9"/>
    </row>
    <row r="89" ht="12.75" customHeight="1" spans="2:37" x14ac:dyDescent="0.25">
      <c r="B89" s="30" t="s">
        <v>43</v>
      </c>
      <c r="C89" s="31" t="s">
        <v>1235</v>
      </c>
      <c r="D89" s="32" t="s">
        <v>1236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6">
        <f>9365.89+13464.96</f>
        <v>22830.85</v>
      </c>
      <c r="Z89" s="36">
        <f>-13031.87+13935.67</f>
        <v>903.7999999999993</v>
      </c>
      <c r="AA89" s="36">
        <f>8794.24+12805.65</f>
        <v>21599.89</v>
      </c>
      <c r="AB89" s="36">
        <f>11083.13+14977.02</f>
        <v>26060.15</v>
      </c>
      <c r="AC89" s="36">
        <f>10433.25+14565.68</f>
        <v>24998.93</v>
      </c>
      <c r="AD89" s="36">
        <f>8636.57+15941.08</f>
        <v>24577.65</v>
      </c>
      <c r="AE89" s="36">
        <f>9897.47+14386.63</f>
        <v>24284.1</v>
      </c>
      <c r="AF89" s="36">
        <f>10935.70+15550.21</f>
        <v>26485.91</v>
      </c>
      <c r="AG89" s="36">
        <f>11639.99+16315.56</f>
        <v>27955.55</v>
      </c>
      <c r="AH89" s="36">
        <f>10172.07+14720.37</f>
        <v>24892.440000000002</v>
      </c>
      <c r="AI89" s="32"/>
      <c r="AJ89" s="34">
        <f>SUM(E89:AI89)</f>
      </c>
      <c r="AK89" s="35"/>
    </row>
    <row r="90" ht="12.75" customHeight="1" spans="2:37" x14ac:dyDescent="0.25">
      <c r="B90" s="30" t="s">
        <v>43</v>
      </c>
      <c r="C90" s="31" t="s">
        <v>1235</v>
      </c>
      <c r="D90" s="32" t="s">
        <v>1237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6">
        <f>95.91+44.52</f>
        <v>140.43</v>
      </c>
      <c r="Z90" s="36">
        <f>87.96+-87.96</f>
        <v>0</v>
      </c>
      <c r="AA90" s="32"/>
      <c r="AB90" s="36">
        <f>87.96+56.58+95.91+44.52</f>
        <v>284.96999999999997</v>
      </c>
      <c r="AC90" s="36">
        <f>98.52+62.95</f>
        <v>161.47</v>
      </c>
      <c r="AD90" s="36">
        <f>98.52+58.78</f>
        <v>157.3</v>
      </c>
      <c r="AE90" s="36">
        <f>98.52+58.78</f>
        <v>157.3</v>
      </c>
      <c r="AF90" s="36">
        <f>98.52+58.78</f>
        <v>157.3</v>
      </c>
      <c r="AG90" s="36">
        <f>98.52+58.78</f>
        <v>157.3</v>
      </c>
      <c r="AH90" s="32"/>
      <c r="AI90" s="36">
        <f>98.52+58.78</f>
        <v>157.3</v>
      </c>
      <c r="AJ90" s="34">
        <f>SUM(E90:AI90)</f>
      </c>
      <c r="AK90" s="35"/>
    </row>
    <row r="91" ht="12.75" customHeight="1" spans="2:37" x14ac:dyDescent="0.25">
      <c r="B91" s="37"/>
      <c r="C91" s="38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40"/>
    </row>
    <row r="92" ht="12.75" customHeight="1" spans="2:37" x14ac:dyDescent="0.25">
      <c r="B92" s="20" t="s">
        <v>89</v>
      </c>
      <c r="C92" s="21"/>
      <c r="D92" s="21"/>
      <c r="E92" s="22">
        <f>SUM(E89:E90)</f>
      </c>
      <c r="F92" s="22">
        <f>SUM(F89:F90)</f>
      </c>
      <c r="G92" s="22">
        <f>SUM(G89:G90)</f>
      </c>
      <c r="H92" s="22">
        <f>SUM(H89:H90)</f>
      </c>
      <c r="I92" s="22">
        <f>SUM(I89:I90)</f>
      </c>
      <c r="J92" s="22">
        <f>SUM(J89:J90)</f>
      </c>
      <c r="K92" s="22">
        <f>SUM(K89:K90)</f>
      </c>
      <c r="L92" s="22">
        <f>SUM(L89:L90)</f>
      </c>
      <c r="M92" s="22">
        <f>SUM(M89:M90)</f>
      </c>
      <c r="N92" s="22">
        <f>SUM(N89:N90)</f>
      </c>
      <c r="O92" s="22">
        <f>SUM(O89:O90)</f>
      </c>
      <c r="P92" s="22">
        <f>SUM(P89:P90)</f>
      </c>
      <c r="Q92" s="22">
        <f>SUM(Q89:Q90)</f>
      </c>
      <c r="R92" s="22">
        <f>SUM(R89:R90)</f>
      </c>
      <c r="S92" s="22">
        <f>SUM(S89:S90)</f>
      </c>
      <c r="T92" s="22">
        <f>SUM(T89:T90)</f>
      </c>
      <c r="U92" s="22">
        <f>SUM(U89:U90)</f>
      </c>
      <c r="V92" s="22">
        <f>SUM(V89:V90)</f>
      </c>
      <c r="W92" s="22">
        <f>SUM(W89:W90)</f>
      </c>
      <c r="X92" s="22">
        <f>SUM(X89:X90)</f>
      </c>
      <c r="Y92" s="22">
        <f>SUM(Y89:Y90)</f>
      </c>
      <c r="Z92" s="22">
        <f>SUM(Z89:Z90)</f>
      </c>
      <c r="AA92" s="22">
        <f>SUM(AA89:AA90)</f>
      </c>
      <c r="AB92" s="22">
        <f>SUM(AB89:AB90)</f>
      </c>
      <c r="AC92" s="22">
        <f>SUM(AC89:AC90)</f>
      </c>
      <c r="AD92" s="22">
        <f>SUM(AD89:AD90)</f>
      </c>
      <c r="AE92" s="22">
        <f>SUM(AE89:AE90)</f>
      </c>
      <c r="AF92" s="22">
        <f>SUM(AF89:AF90)</f>
      </c>
      <c r="AG92" s="22">
        <f>SUM(AG89:AG90)</f>
      </c>
      <c r="AH92" s="22">
        <f>SUM(AH89:AH90)</f>
      </c>
      <c r="AI92" s="22">
        <f>SUM(AI89:AI90)</f>
      </c>
      <c r="AJ92" s="22">
        <f>SUM(AJ89:AJ90)</f>
      </c>
      <c r="AK92" s="23"/>
    </row>
    <row r="94" ht="12.75" customHeight="1" spans="2:37" x14ac:dyDescent="0.25">
      <c r="B94" s="26" t="s">
        <v>44</v>
      </c>
      <c r="C94" s="27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9"/>
    </row>
    <row r="95" ht="12.75" customHeight="1" spans="2:37" x14ac:dyDescent="0.25">
      <c r="B95" s="37"/>
      <c r="C95" s="38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40"/>
    </row>
    <row r="96" ht="12.75" customHeight="1" spans="2:37" x14ac:dyDescent="0.25">
      <c r="B96" s="20" t="s">
        <v>90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3"/>
    </row>
    <row r="99" ht="12.75" customHeight="1" spans="2:37" x14ac:dyDescent="0.25">
      <c r="B99" s="11" t="s">
        <v>40</v>
      </c>
      <c r="C99" s="12"/>
      <c r="D99" s="13"/>
      <c r="E99" s="14" t="s">
        <v>7</v>
      </c>
      <c r="F99" s="14" t="s">
        <v>8</v>
      </c>
      <c r="G99" s="14" t="s">
        <v>9</v>
      </c>
      <c r="H99" s="14" t="s">
        <v>10</v>
      </c>
      <c r="I99" s="14" t="s">
        <v>11</v>
      </c>
      <c r="J99" s="14" t="s">
        <v>12</v>
      </c>
      <c r="K99" s="14" t="s">
        <v>13</v>
      </c>
      <c r="L99" s="14" t="s">
        <v>14</v>
      </c>
      <c r="M99" s="14" t="s">
        <v>15</v>
      </c>
      <c r="N99" s="14" t="s">
        <v>16</v>
      </c>
      <c r="O99" s="14" t="s">
        <v>17</v>
      </c>
      <c r="P99" s="14" t="s">
        <v>18</v>
      </c>
      <c r="Q99" s="14" t="s">
        <v>19</v>
      </c>
      <c r="R99" s="14" t="s">
        <v>20</v>
      </c>
      <c r="S99" s="14" t="s">
        <v>21</v>
      </c>
      <c r="T99" s="14" t="s">
        <v>22</v>
      </c>
      <c r="U99" s="14" t="s">
        <v>23</v>
      </c>
      <c r="V99" s="14" t="s">
        <v>24</v>
      </c>
      <c r="W99" s="14" t="s">
        <v>25</v>
      </c>
      <c r="X99" s="14" t="s">
        <v>26</v>
      </c>
      <c r="Y99" s="14" t="s">
        <v>27</v>
      </c>
      <c r="Z99" s="14" t="s">
        <v>28</v>
      </c>
      <c r="AA99" s="14" t="s">
        <v>29</v>
      </c>
      <c r="AB99" s="14" t="s">
        <v>30</v>
      </c>
      <c r="AC99" s="14" t="s">
        <v>31</v>
      </c>
      <c r="AD99" s="14" t="s">
        <v>32</v>
      </c>
      <c r="AE99" s="14" t="s">
        <v>33</v>
      </c>
      <c r="AF99" s="14" t="s">
        <v>34</v>
      </c>
      <c r="AG99" s="14" t="s">
        <v>35</v>
      </c>
      <c r="AH99" s="14" t="s">
        <v>36</v>
      </c>
      <c r="AI99" s="14" t="s">
        <v>37</v>
      </c>
      <c r="AJ99" s="14" t="s">
        <v>38</v>
      </c>
      <c r="AK99" s="15"/>
    </row>
    <row r="100" ht="12.75" customHeight="1" spans="2:37" x14ac:dyDescent="0.25">
      <c r="B100" s="16" t="s">
        <v>41</v>
      </c>
      <c r="C100" s="17"/>
      <c r="D100" s="17"/>
      <c r="E100" s="18">
        <f>E10</f>
      </c>
      <c r="F100" s="18">
        <f>F10</f>
      </c>
      <c r="G100" s="18">
        <f>G10</f>
      </c>
      <c r="H100" s="18">
        <f>H10</f>
      </c>
      <c r="I100" s="18">
        <f>I10</f>
      </c>
      <c r="J100" s="18">
        <f>J10</f>
      </c>
      <c r="K100" s="18">
        <f>K10</f>
      </c>
      <c r="L100" s="18">
        <f>L10</f>
      </c>
      <c r="M100" s="18">
        <f>M10</f>
      </c>
      <c r="N100" s="18">
        <f>N10</f>
      </c>
      <c r="O100" s="18">
        <f>O10</f>
      </c>
      <c r="P100" s="18">
        <f>P10</f>
      </c>
      <c r="Q100" s="18">
        <f>Q10</f>
      </c>
      <c r="R100" s="18">
        <f>R10</f>
      </c>
      <c r="S100" s="18">
        <f>S10</f>
      </c>
      <c r="T100" s="18">
        <f>T10</f>
      </c>
      <c r="U100" s="18">
        <f>U10</f>
      </c>
      <c r="V100" s="18">
        <f>V10</f>
      </c>
      <c r="W100" s="18">
        <f>W10</f>
      </c>
      <c r="X100" s="18">
        <f>X10</f>
      </c>
      <c r="Y100" s="18">
        <f>Y10</f>
      </c>
      <c r="Z100" s="18">
        <f>Z10</f>
      </c>
      <c r="AA100" s="18">
        <f>AA10</f>
      </c>
      <c r="AB100" s="18">
        <f>AB10</f>
      </c>
      <c r="AC100" s="18">
        <f>AC10</f>
      </c>
      <c r="AD100" s="18">
        <f>AD10</f>
      </c>
      <c r="AE100" s="18">
        <f>AE10</f>
      </c>
      <c r="AF100" s="18">
        <f>AF10</f>
      </c>
      <c r="AG100" s="18">
        <f>AG10</f>
      </c>
      <c r="AH100" s="18">
        <f>AH10</f>
      </c>
      <c r="AI100" s="18">
        <f>AI10</f>
      </c>
      <c r="AJ100" s="18">
        <f>AJ10</f>
      </c>
      <c r="AK100" s="19"/>
    </row>
    <row r="101" ht="12.75" customHeight="1" spans="2:37" x14ac:dyDescent="0.25">
      <c r="B101" s="16" t="s">
        <v>42</v>
      </c>
      <c r="C101" s="17"/>
      <c r="D101" s="17"/>
      <c r="E101" s="18">
        <f>E86</f>
      </c>
      <c r="F101" s="18">
        <f>F86</f>
      </c>
      <c r="G101" s="18">
        <f>G86</f>
      </c>
      <c r="H101" s="18">
        <f>H86</f>
      </c>
      <c r="I101" s="18">
        <f>I86</f>
      </c>
      <c r="J101" s="18">
        <f>J86</f>
      </c>
      <c r="K101" s="18">
        <f>K86</f>
      </c>
      <c r="L101" s="18">
        <f>L86</f>
      </c>
      <c r="M101" s="18">
        <f>M86</f>
      </c>
      <c r="N101" s="18">
        <f>N86</f>
      </c>
      <c r="O101" s="18">
        <f>O86</f>
      </c>
      <c r="P101" s="18">
        <f>P86</f>
      </c>
      <c r="Q101" s="18">
        <f>Q86</f>
      </c>
      <c r="R101" s="18">
        <f>R86</f>
      </c>
      <c r="S101" s="18">
        <f>S86</f>
      </c>
      <c r="T101" s="18">
        <f>T86</f>
      </c>
      <c r="U101" s="18">
        <f>U86</f>
      </c>
      <c r="V101" s="18">
        <f>V86</f>
      </c>
      <c r="W101" s="18">
        <f>W86</f>
      </c>
      <c r="X101" s="18">
        <f>X86</f>
      </c>
      <c r="Y101" s="18">
        <f>Y86</f>
      </c>
      <c r="Z101" s="18">
        <f>Z86</f>
      </c>
      <c r="AA101" s="18">
        <f>AA86</f>
      </c>
      <c r="AB101" s="18">
        <f>AB86</f>
      </c>
      <c r="AC101" s="18">
        <f>AC86</f>
      </c>
      <c r="AD101" s="18">
        <f>AD86</f>
      </c>
      <c r="AE101" s="18">
        <f>AE86</f>
      </c>
      <c r="AF101" s="18">
        <f>AF86</f>
      </c>
      <c r="AG101" s="18">
        <f>AG86</f>
      </c>
      <c r="AH101" s="18">
        <f>AH86</f>
      </c>
      <c r="AI101" s="18">
        <f>AI86</f>
      </c>
      <c r="AJ101" s="18">
        <f>AJ86</f>
      </c>
      <c r="AK101" s="19"/>
    </row>
    <row r="102" ht="12.75" customHeight="1" spans="2:37" x14ac:dyDescent="0.25">
      <c r="B102" s="16" t="s">
        <v>43</v>
      </c>
      <c r="C102" s="17"/>
      <c r="D102" s="17"/>
      <c r="E102" s="18">
        <f>E92</f>
      </c>
      <c r="F102" s="18">
        <f>F92</f>
      </c>
      <c r="G102" s="18">
        <f>G92</f>
      </c>
      <c r="H102" s="18">
        <f>H92</f>
      </c>
      <c r="I102" s="18">
        <f>I92</f>
      </c>
      <c r="J102" s="18">
        <f>J92</f>
      </c>
      <c r="K102" s="18">
        <f>K92</f>
      </c>
      <c r="L102" s="18">
        <f>L92</f>
      </c>
      <c r="M102" s="18">
        <f>M92</f>
      </c>
      <c r="N102" s="18">
        <f>N92</f>
      </c>
      <c r="O102" s="18">
        <f>O92</f>
      </c>
      <c r="P102" s="18">
        <f>P92</f>
      </c>
      <c r="Q102" s="18">
        <f>Q92</f>
      </c>
      <c r="R102" s="18">
        <f>R92</f>
      </c>
      <c r="S102" s="18">
        <f>S92</f>
      </c>
      <c r="T102" s="18">
        <f>T92</f>
      </c>
      <c r="U102" s="18">
        <f>U92</f>
      </c>
      <c r="V102" s="18">
        <f>V92</f>
      </c>
      <c r="W102" s="18">
        <f>W92</f>
      </c>
      <c r="X102" s="18">
        <f>X92</f>
      </c>
      <c r="Y102" s="18">
        <f>Y92</f>
      </c>
      <c r="Z102" s="18">
        <f>Z92</f>
      </c>
      <c r="AA102" s="18">
        <f>AA92</f>
      </c>
      <c r="AB102" s="18">
        <f>AB92</f>
      </c>
      <c r="AC102" s="18">
        <f>AC92</f>
      </c>
      <c r="AD102" s="18">
        <f>AD92</f>
      </c>
      <c r="AE102" s="18">
        <f>AE92</f>
      </c>
      <c r="AF102" s="18">
        <f>AF92</f>
      </c>
      <c r="AG102" s="18">
        <f>AG92</f>
      </c>
      <c r="AH102" s="18">
        <f>AH92</f>
      </c>
      <c r="AI102" s="18">
        <f>AI92</f>
      </c>
      <c r="AJ102" s="18">
        <f>AJ92</f>
      </c>
      <c r="AK102" s="19"/>
    </row>
    <row r="103" ht="12.75" customHeight="1" spans="2:37" x14ac:dyDescent="0.25">
      <c r="B103" s="16" t="s">
        <v>44</v>
      </c>
      <c r="C103" s="17"/>
      <c r="D103" s="17"/>
      <c r="E103" s="18">
        <f>E96</f>
      </c>
      <c r="F103" s="18">
        <f>F96</f>
      </c>
      <c r="G103" s="18">
        <f>G96</f>
      </c>
      <c r="H103" s="18">
        <f>H96</f>
      </c>
      <c r="I103" s="18">
        <f>I96</f>
      </c>
      <c r="J103" s="18">
        <f>J96</f>
      </c>
      <c r="K103" s="18">
        <f>K96</f>
      </c>
      <c r="L103" s="18">
        <f>L96</f>
      </c>
      <c r="M103" s="18">
        <f>M96</f>
      </c>
      <c r="N103" s="18">
        <f>N96</f>
      </c>
      <c r="O103" s="18">
        <f>O96</f>
      </c>
      <c r="P103" s="18">
        <f>P96</f>
      </c>
      <c r="Q103" s="18">
        <f>Q96</f>
      </c>
      <c r="R103" s="18">
        <f>R96</f>
      </c>
      <c r="S103" s="18">
        <f>S96</f>
      </c>
      <c r="T103" s="18">
        <f>T96</f>
      </c>
      <c r="U103" s="18">
        <f>U96</f>
      </c>
      <c r="V103" s="18">
        <f>V96</f>
      </c>
      <c r="W103" s="18">
        <f>W96</f>
      </c>
      <c r="X103" s="18">
        <f>X96</f>
      </c>
      <c r="Y103" s="18">
        <f>Y96</f>
      </c>
      <c r="Z103" s="18">
        <f>Z96</f>
      </c>
      <c r="AA103" s="18">
        <f>AA96</f>
      </c>
      <c r="AB103" s="18">
        <f>AB96</f>
      </c>
      <c r="AC103" s="18">
        <f>AC96</f>
      </c>
      <c r="AD103" s="18">
        <f>AD96</f>
      </c>
      <c r="AE103" s="18">
        <f>AE96</f>
      </c>
      <c r="AF103" s="18">
        <f>AF96</f>
      </c>
      <c r="AG103" s="18">
        <f>AG96</f>
      </c>
      <c r="AH103" s="18">
        <f>AH96</f>
      </c>
      <c r="AI103" s="18">
        <f>AI96</f>
      </c>
      <c r="AJ103" s="18">
        <f>AJ96</f>
      </c>
      <c r="AK103" s="19"/>
    </row>
    <row r="104" ht="12.75" customHeight="1" spans="2:37" x14ac:dyDescent="0.25">
      <c r="B104" s="20" t="s">
        <v>45</v>
      </c>
      <c r="C104" s="21"/>
      <c r="D104" s="21"/>
      <c r="E104" s="22">
        <f>E100+E101+E102+E103</f>
      </c>
      <c r="F104" s="22">
        <f>F100+F101+F102+F103</f>
      </c>
      <c r="G104" s="22">
        <f>G100+G101+G102+G103</f>
      </c>
      <c r="H104" s="22">
        <f>H100+H101+H102+H103</f>
      </c>
      <c r="I104" s="22">
        <f>I100+I101+I102+I103</f>
      </c>
      <c r="J104" s="22">
        <f>J100+J101+J102+J103</f>
      </c>
      <c r="K104" s="22">
        <f>K100+K101+K102+K103</f>
      </c>
      <c r="L104" s="22">
        <f>L100+L101+L102+L103</f>
      </c>
      <c r="M104" s="22">
        <f>M100+M101+M102+M103</f>
      </c>
      <c r="N104" s="22">
        <f>N100+N101+N102+N103</f>
      </c>
      <c r="O104" s="22">
        <f>O100+O101+O102+O103</f>
      </c>
      <c r="P104" s="22">
        <f>P100+P101+P102+P103</f>
      </c>
      <c r="Q104" s="22">
        <f>Q100+Q101+Q102+Q103</f>
      </c>
      <c r="R104" s="22">
        <f>R100+R101+R102+R103</f>
      </c>
      <c r="S104" s="22">
        <f>S100+S101+S102+S103</f>
      </c>
      <c r="T104" s="22">
        <f>T100+T101+T102+T103</f>
      </c>
      <c r="U104" s="22">
        <f>U100+U101+U102+U103</f>
      </c>
      <c r="V104" s="22">
        <f>V100+V101+V102+V103</f>
      </c>
      <c r="W104" s="22">
        <f>W100+W101+W102+W103</f>
      </c>
      <c r="X104" s="22">
        <f>X100+X101+X102+X103</f>
      </c>
      <c r="Y104" s="22">
        <f>Y100+Y101+Y102+Y103</f>
      </c>
      <c r="Z104" s="22">
        <f>Z100+Z101+Z102+Z103</f>
      </c>
      <c r="AA104" s="22">
        <f>AA100+AA101+AA102+AA103</f>
      </c>
      <c r="AB104" s="22">
        <f>AB100+AB101+AB102+AB103</f>
      </c>
      <c r="AC104" s="22">
        <f>AC100+AC101+AC102+AC103</f>
      </c>
      <c r="AD104" s="22">
        <f>AD100+AD101+AD102+AD103</f>
      </c>
      <c r="AE104" s="22">
        <f>AE100+AE101+AE102+AE103</f>
      </c>
      <c r="AF104" s="22">
        <f>AF100+AF101+AF102+AF103</f>
      </c>
      <c r="AG104" s="22">
        <f>AG100+AG101+AG102+AG103</f>
      </c>
      <c r="AH104" s="22">
        <f>AH100+AH101+AH102+AH103</f>
      </c>
      <c r="AI104" s="22">
        <f>AI100+AI101+AI102+AI103</f>
      </c>
      <c r="AJ104" s="22">
        <f>AJ100+AJ101+AJ102+AJ103</f>
      </c>
      <c r="AK104" s="23"/>
    </row>
    <row r="106" ht="12.75" customHeight="1" spans="2:37" x14ac:dyDescent="0.25">
      <c r="B106" s="11" t="s">
        <v>46</v>
      </c>
      <c r="C106" s="12"/>
      <c r="D106" s="13"/>
      <c r="E106" s="14" t="s">
        <v>7</v>
      </c>
      <c r="F106" s="14" t="s">
        <v>8</v>
      </c>
      <c r="G106" s="14" t="s">
        <v>9</v>
      </c>
      <c r="H106" s="14" t="s">
        <v>10</v>
      </c>
      <c r="I106" s="14" t="s">
        <v>11</v>
      </c>
      <c r="J106" s="14" t="s">
        <v>12</v>
      </c>
      <c r="K106" s="14" t="s">
        <v>13</v>
      </c>
      <c r="L106" s="14" t="s">
        <v>14</v>
      </c>
      <c r="M106" s="14" t="s">
        <v>15</v>
      </c>
      <c r="N106" s="14" t="s">
        <v>16</v>
      </c>
      <c r="O106" s="14" t="s">
        <v>17</v>
      </c>
      <c r="P106" s="14" t="s">
        <v>18</v>
      </c>
      <c r="Q106" s="14" t="s">
        <v>19</v>
      </c>
      <c r="R106" s="14" t="s">
        <v>20</v>
      </c>
      <c r="S106" s="14" t="s">
        <v>21</v>
      </c>
      <c r="T106" s="14" t="s">
        <v>22</v>
      </c>
      <c r="U106" s="14" t="s">
        <v>23</v>
      </c>
      <c r="V106" s="14" t="s">
        <v>24</v>
      </c>
      <c r="W106" s="14" t="s">
        <v>25</v>
      </c>
      <c r="X106" s="14" t="s">
        <v>26</v>
      </c>
      <c r="Y106" s="14" t="s">
        <v>27</v>
      </c>
      <c r="Z106" s="14" t="s">
        <v>28</v>
      </c>
      <c r="AA106" s="14" t="s">
        <v>29</v>
      </c>
      <c r="AB106" s="14" t="s">
        <v>30</v>
      </c>
      <c r="AC106" s="14" t="s">
        <v>31</v>
      </c>
      <c r="AD106" s="14" t="s">
        <v>32</v>
      </c>
      <c r="AE106" s="14" t="s">
        <v>33</v>
      </c>
      <c r="AF106" s="14" t="s">
        <v>34</v>
      </c>
      <c r="AG106" s="14" t="s">
        <v>35</v>
      </c>
      <c r="AH106" s="14" t="s">
        <v>36</v>
      </c>
      <c r="AI106" s="14" t="s">
        <v>37</v>
      </c>
      <c r="AJ106" s="14" t="s">
        <v>38</v>
      </c>
      <c r="AK106" s="15"/>
    </row>
    <row r="107" ht="12.75" customHeight="1" spans="2:37" x14ac:dyDescent="0.25">
      <c r="B107" s="16" t="s">
        <v>41</v>
      </c>
      <c r="C107" s="17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9"/>
    </row>
    <row r="108" ht="12.75" customHeight="1" spans="2:37" x14ac:dyDescent="0.25">
      <c r="B108" s="16" t="s">
        <v>42</v>
      </c>
      <c r="C108" s="17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9"/>
    </row>
    <row r="109" ht="12.75" customHeight="1" spans="2:37" x14ac:dyDescent="0.25">
      <c r="B109" s="16" t="s">
        <v>43</v>
      </c>
      <c r="C109" s="17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9"/>
    </row>
    <row r="110" ht="12.75" customHeight="1" spans="2:37" x14ac:dyDescent="0.25">
      <c r="B110" s="16" t="s">
        <v>44</v>
      </c>
      <c r="C110" s="17"/>
      <c r="D110" s="1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9"/>
    </row>
    <row r="111" ht="12.75" customHeight="1" spans="2:37" x14ac:dyDescent="0.25">
      <c r="B111" s="20" t="s">
        <v>45</v>
      </c>
      <c r="C111" s="21"/>
      <c r="D111" s="21"/>
      <c r="E111" s="22">
        <f>E107+E108+E109+E110</f>
      </c>
      <c r="F111" s="22">
        <f>F107+F108+F109+F110</f>
      </c>
      <c r="G111" s="22">
        <f>G107+G108+G109+G110</f>
      </c>
      <c r="H111" s="22">
        <f>H107+H108+H109+H110</f>
      </c>
      <c r="I111" s="22">
        <f>I107+I108+I109+I110</f>
      </c>
      <c r="J111" s="22">
        <f>J107+J108+J109+J110</f>
      </c>
      <c r="K111" s="22">
        <f>K107+K108+K109+K110</f>
      </c>
      <c r="L111" s="22">
        <f>L107+L108+L109+L110</f>
      </c>
      <c r="M111" s="22">
        <f>M107+M108+M109+M110</f>
      </c>
      <c r="N111" s="22">
        <f>N107+N108+N109+N110</f>
      </c>
      <c r="O111" s="22">
        <f>O107+O108+O109+O110</f>
      </c>
      <c r="P111" s="22">
        <f>P107+P108+P109+P110</f>
      </c>
      <c r="Q111" s="22">
        <f>Q107+Q108+Q109+Q110</f>
      </c>
      <c r="R111" s="22">
        <f>R107+R108+R109+R110</f>
      </c>
      <c r="S111" s="22">
        <f>S107+S108+S109+S110</f>
      </c>
      <c r="T111" s="22">
        <f>T107+T108+T109+T110</f>
      </c>
      <c r="U111" s="22">
        <f>U107+U108+U109+U110</f>
      </c>
      <c r="V111" s="22">
        <f>V107+V108+V109+V110</f>
      </c>
      <c r="W111" s="22">
        <f>W107+W108+W109+W110</f>
      </c>
      <c r="X111" s="22">
        <f>X107+X108+X109+X110</f>
      </c>
      <c r="Y111" s="22">
        <f>Y107+Y108+Y109+Y110</f>
      </c>
      <c r="Z111" s="22">
        <f>Z107+Z108+Z109+Z110</f>
      </c>
      <c r="AA111" s="22">
        <f>AA107+AA108+AA109+AA110</f>
      </c>
      <c r="AB111" s="22">
        <f>AB107+AB108+AB109+AB110</f>
      </c>
      <c r="AC111" s="22">
        <f>AC107+AC108+AC109+AC110</f>
      </c>
      <c r="AD111" s="22">
        <f>AD107+AD108+AD109+AD110</f>
      </c>
      <c r="AE111" s="22">
        <f>AE107+AE108+AE109+AE110</f>
      </c>
      <c r="AF111" s="22">
        <f>AF107+AF108+AF109+AF110</f>
      </c>
      <c r="AG111" s="22">
        <f>AG107+AG108+AG109+AG110</f>
      </c>
      <c r="AH111" s="22">
        <f>AH107+AH108+AH109+AH110</f>
      </c>
      <c r="AI111" s="22">
        <f>AI107+AI108+AI109+AI110</f>
      </c>
      <c r="AJ111" s="22">
        <f>AJ107+AJ108+AJ109+AJ110</f>
      </c>
      <c r="AK111" s="23"/>
    </row>
    <row r="113" ht="12.75" customHeight="1" spans="2:37" x14ac:dyDescent="0.25">
      <c r="B113" s="11" t="s">
        <v>47</v>
      </c>
      <c r="C113" s="12"/>
      <c r="D113" s="13"/>
      <c r="E113" s="14" t="s">
        <v>7</v>
      </c>
      <c r="F113" s="14" t="s">
        <v>8</v>
      </c>
      <c r="G113" s="14" t="s">
        <v>9</v>
      </c>
      <c r="H113" s="14" t="s">
        <v>10</v>
      </c>
      <c r="I113" s="14" t="s">
        <v>11</v>
      </c>
      <c r="J113" s="14" t="s">
        <v>12</v>
      </c>
      <c r="K113" s="14" t="s">
        <v>13</v>
      </c>
      <c r="L113" s="14" t="s">
        <v>14</v>
      </c>
      <c r="M113" s="14" t="s">
        <v>15</v>
      </c>
      <c r="N113" s="14" t="s">
        <v>16</v>
      </c>
      <c r="O113" s="14" t="s">
        <v>17</v>
      </c>
      <c r="P113" s="14" t="s">
        <v>18</v>
      </c>
      <c r="Q113" s="14" t="s">
        <v>19</v>
      </c>
      <c r="R113" s="14" t="s">
        <v>20</v>
      </c>
      <c r="S113" s="14" t="s">
        <v>21</v>
      </c>
      <c r="T113" s="14" t="s">
        <v>22</v>
      </c>
      <c r="U113" s="14" t="s">
        <v>23</v>
      </c>
      <c r="V113" s="14" t="s">
        <v>24</v>
      </c>
      <c r="W113" s="14" t="s">
        <v>25</v>
      </c>
      <c r="X113" s="14" t="s">
        <v>26</v>
      </c>
      <c r="Y113" s="14" t="s">
        <v>27</v>
      </c>
      <c r="Z113" s="14" t="s">
        <v>28</v>
      </c>
      <c r="AA113" s="14" t="s">
        <v>29</v>
      </c>
      <c r="AB113" s="14" t="s">
        <v>30</v>
      </c>
      <c r="AC113" s="14" t="s">
        <v>31</v>
      </c>
      <c r="AD113" s="14" t="s">
        <v>32</v>
      </c>
      <c r="AE113" s="14" t="s">
        <v>33</v>
      </c>
      <c r="AF113" s="14" t="s">
        <v>34</v>
      </c>
      <c r="AG113" s="14" t="s">
        <v>35</v>
      </c>
      <c r="AH113" s="14" t="s">
        <v>36</v>
      </c>
      <c r="AI113" s="14" t="s">
        <v>37</v>
      </c>
      <c r="AJ113" s="14" t="s">
        <v>38</v>
      </c>
      <c r="AK113" s="15"/>
    </row>
    <row r="114" ht="12.75" customHeight="1" spans="2:37" x14ac:dyDescent="0.25">
      <c r="B114" s="16" t="s">
        <v>41</v>
      </c>
      <c r="C114" s="17"/>
      <c r="D114" s="17"/>
      <c r="E114" s="24">
        <f>E107-E100</f>
      </c>
      <c r="F114" s="24">
        <f>F107-F100</f>
      </c>
      <c r="G114" s="24">
        <f>G107-G100</f>
      </c>
      <c r="H114" s="24">
        <f>H107-H100</f>
      </c>
      <c r="I114" s="24">
        <f>I107-I100</f>
      </c>
      <c r="J114" s="24">
        <f>J107-J100</f>
      </c>
      <c r="K114" s="24">
        <f>K107-K100</f>
      </c>
      <c r="L114" s="24">
        <f>L107-L100</f>
      </c>
      <c r="M114" s="24">
        <f>M107-M100</f>
      </c>
      <c r="N114" s="24">
        <f>N107-N100</f>
      </c>
      <c r="O114" s="24">
        <f>O107-O100</f>
      </c>
      <c r="P114" s="24">
        <f>P107-P100</f>
      </c>
      <c r="Q114" s="24">
        <f>Q107-Q100</f>
      </c>
      <c r="R114" s="24">
        <f>R107-R100</f>
      </c>
      <c r="S114" s="24">
        <f>S107-S100</f>
      </c>
      <c r="T114" s="24">
        <f>T107-T100</f>
      </c>
      <c r="U114" s="24">
        <f>U107-U100</f>
      </c>
      <c r="V114" s="24">
        <f>V107-V100</f>
      </c>
      <c r="W114" s="24">
        <f>W107-W100</f>
      </c>
      <c r="X114" s="24">
        <f>X107-X100</f>
      </c>
      <c r="Y114" s="24">
        <f>Y107-Y100</f>
      </c>
      <c r="Z114" s="24">
        <f>Z107-Z100</f>
      </c>
      <c r="AA114" s="24">
        <f>AA107-AA100</f>
      </c>
      <c r="AB114" s="24">
        <f>AB107-AB100</f>
      </c>
      <c r="AC114" s="24">
        <f>AC107-AC100</f>
      </c>
      <c r="AD114" s="24">
        <f>AD107-AD100</f>
      </c>
      <c r="AE114" s="24">
        <f>AE107-AE100</f>
      </c>
      <c r="AF114" s="24">
        <f>AF107-AF100</f>
      </c>
      <c r="AG114" s="24">
        <f>AG107-AG100</f>
      </c>
      <c r="AH114" s="24">
        <f>AH107-AH100</f>
      </c>
      <c r="AI114" s="24">
        <f>AI107-AI100</f>
      </c>
      <c r="AJ114" s="24">
        <f>AJ107-AJ100</f>
      </c>
      <c r="AK114" s="19"/>
    </row>
    <row r="115" ht="12.75" customHeight="1" spans="2:37" x14ac:dyDescent="0.25">
      <c r="B115" s="16" t="s">
        <v>42</v>
      </c>
      <c r="C115" s="17"/>
      <c r="D115" s="17"/>
      <c r="E115" s="24">
        <f>E108-E101</f>
      </c>
      <c r="F115" s="24">
        <f>F108-F101</f>
      </c>
      <c r="G115" s="24">
        <f>G108-G101</f>
      </c>
      <c r="H115" s="24">
        <f>H108-H101</f>
      </c>
      <c r="I115" s="24">
        <f>I108-I101</f>
      </c>
      <c r="J115" s="24">
        <f>J108-J101</f>
      </c>
      <c r="K115" s="24">
        <f>K108-K101</f>
      </c>
      <c r="L115" s="24">
        <f>L108-L101</f>
      </c>
      <c r="M115" s="24">
        <f>M108-M101</f>
      </c>
      <c r="N115" s="24">
        <f>N108-N101</f>
      </c>
      <c r="O115" s="24">
        <f>O108-O101</f>
      </c>
      <c r="P115" s="24">
        <f>P108-P101</f>
      </c>
      <c r="Q115" s="24">
        <f>Q108-Q101</f>
      </c>
      <c r="R115" s="24">
        <f>R108-R101</f>
      </c>
      <c r="S115" s="24">
        <f>S108-S101</f>
      </c>
      <c r="T115" s="24">
        <f>T108-T101</f>
      </c>
      <c r="U115" s="24">
        <f>U108-U101</f>
      </c>
      <c r="V115" s="24">
        <f>V108-V101</f>
      </c>
      <c r="W115" s="24">
        <f>W108-W101</f>
      </c>
      <c r="X115" s="24">
        <f>X108-X101</f>
      </c>
      <c r="Y115" s="24">
        <f>Y108-Y101</f>
      </c>
      <c r="Z115" s="24">
        <f>Z108-Z101</f>
      </c>
      <c r="AA115" s="24">
        <f>AA108-AA101</f>
      </c>
      <c r="AB115" s="24">
        <f>AB108-AB101</f>
      </c>
      <c r="AC115" s="24">
        <f>AC108-AC101</f>
      </c>
      <c r="AD115" s="24">
        <f>AD108-AD101</f>
      </c>
      <c r="AE115" s="24">
        <f>AE108-AE101</f>
      </c>
      <c r="AF115" s="24">
        <f>AF108-AF101</f>
      </c>
      <c r="AG115" s="24">
        <f>AG108-AG101</f>
      </c>
      <c r="AH115" s="24">
        <f>AH108-AH101</f>
      </c>
      <c r="AI115" s="24">
        <f>AI108-AI101</f>
      </c>
      <c r="AJ115" s="24">
        <f>AJ108-AJ101</f>
      </c>
      <c r="AK115" s="19"/>
    </row>
    <row r="116" ht="12.75" customHeight="1" spans="2:37" x14ac:dyDescent="0.25">
      <c r="B116" s="16" t="s">
        <v>43</v>
      </c>
      <c r="C116" s="17"/>
      <c r="D116" s="17"/>
      <c r="E116" s="24">
        <f>E109-E102</f>
      </c>
      <c r="F116" s="24">
        <f>F109-F102</f>
      </c>
      <c r="G116" s="24">
        <f>G109-G102</f>
      </c>
      <c r="H116" s="24">
        <f>H109-H102</f>
      </c>
      <c r="I116" s="24">
        <f>I109-I102</f>
      </c>
      <c r="J116" s="24">
        <f>J109-J102</f>
      </c>
      <c r="K116" s="24">
        <f>K109-K102</f>
      </c>
      <c r="L116" s="24">
        <f>L109-L102</f>
      </c>
      <c r="M116" s="24">
        <f>M109-M102</f>
      </c>
      <c r="N116" s="24">
        <f>N109-N102</f>
      </c>
      <c r="O116" s="24">
        <f>O109-O102</f>
      </c>
      <c r="P116" s="24">
        <f>P109-P102</f>
      </c>
      <c r="Q116" s="24">
        <f>Q109-Q102</f>
      </c>
      <c r="R116" s="24">
        <f>R109-R102</f>
      </c>
      <c r="S116" s="24">
        <f>S109-S102</f>
      </c>
      <c r="T116" s="24">
        <f>T109-T102</f>
      </c>
      <c r="U116" s="24">
        <f>U109-U102</f>
      </c>
      <c r="V116" s="24">
        <f>V109-V102</f>
      </c>
      <c r="W116" s="24">
        <f>W109-W102</f>
      </c>
      <c r="X116" s="24">
        <f>X109-X102</f>
      </c>
      <c r="Y116" s="24">
        <f>Y109-Y102</f>
      </c>
      <c r="Z116" s="24">
        <f>Z109-Z102</f>
      </c>
      <c r="AA116" s="24">
        <f>AA109-AA102</f>
      </c>
      <c r="AB116" s="24">
        <f>AB109-AB102</f>
      </c>
      <c r="AC116" s="24">
        <f>AC109-AC102</f>
      </c>
      <c r="AD116" s="24">
        <f>AD109-AD102</f>
      </c>
      <c r="AE116" s="24">
        <f>AE109-AE102</f>
      </c>
      <c r="AF116" s="24">
        <f>AF109-AF102</f>
      </c>
      <c r="AG116" s="24">
        <f>AG109-AG102</f>
      </c>
      <c r="AH116" s="24">
        <f>AH109-AH102</f>
      </c>
      <c r="AI116" s="24">
        <f>AI109-AI102</f>
      </c>
      <c r="AJ116" s="24">
        <f>AJ109-AJ102</f>
      </c>
      <c r="AK116" s="19"/>
    </row>
    <row r="117" ht="12.75" customHeight="1" spans="2:37" x14ac:dyDescent="0.25">
      <c r="B117" s="16" t="s">
        <v>44</v>
      </c>
      <c r="C117" s="17"/>
      <c r="D117" s="17"/>
      <c r="E117" s="24">
        <f>E110-E103</f>
      </c>
      <c r="F117" s="24">
        <f>F110-F103</f>
      </c>
      <c r="G117" s="24">
        <f>G110-G103</f>
      </c>
      <c r="H117" s="24">
        <f>H110-H103</f>
      </c>
      <c r="I117" s="24">
        <f>I110-I103</f>
      </c>
      <c r="J117" s="24">
        <f>J110-J103</f>
      </c>
      <c r="K117" s="24">
        <f>K110-K103</f>
      </c>
      <c r="L117" s="24">
        <f>L110-L103</f>
      </c>
      <c r="M117" s="24">
        <f>M110-M103</f>
      </c>
      <c r="N117" s="24">
        <f>N110-N103</f>
      </c>
      <c r="O117" s="24">
        <f>O110-O103</f>
      </c>
      <c r="P117" s="24">
        <f>P110-P103</f>
      </c>
      <c r="Q117" s="24">
        <f>Q110-Q103</f>
      </c>
      <c r="R117" s="24">
        <f>R110-R103</f>
      </c>
      <c r="S117" s="24">
        <f>S110-S103</f>
      </c>
      <c r="T117" s="24">
        <f>T110-T103</f>
      </c>
      <c r="U117" s="24">
        <f>U110-U103</f>
      </c>
      <c r="V117" s="24">
        <f>V110-V103</f>
      </c>
      <c r="W117" s="24">
        <f>W110-W103</f>
      </c>
      <c r="X117" s="24">
        <f>X110-X103</f>
      </c>
      <c r="Y117" s="24">
        <f>Y110-Y103</f>
      </c>
      <c r="Z117" s="24">
        <f>Z110-Z103</f>
      </c>
      <c r="AA117" s="24">
        <f>AA110-AA103</f>
      </c>
      <c r="AB117" s="24">
        <f>AB110-AB103</f>
      </c>
      <c r="AC117" s="24">
        <f>AC110-AC103</f>
      </c>
      <c r="AD117" s="24">
        <f>AD110-AD103</f>
      </c>
      <c r="AE117" s="24">
        <f>AE110-AE103</f>
      </c>
      <c r="AF117" s="24">
        <f>AF110-AF103</f>
      </c>
      <c r="AG117" s="24">
        <f>AG110-AG103</f>
      </c>
      <c r="AH117" s="24">
        <f>AH110-AH103</f>
      </c>
      <c r="AI117" s="24">
        <f>AI110-AI103</f>
      </c>
      <c r="AJ117" s="24">
        <f>AJ110-AJ103</f>
      </c>
      <c r="AK117" s="19"/>
    </row>
    <row r="118" ht="12.75" customHeight="1" spans="2:37" x14ac:dyDescent="0.25">
      <c r="B118" s="20" t="s">
        <v>45</v>
      </c>
      <c r="C118" s="21"/>
      <c r="D118" s="21"/>
      <c r="E118" s="25">
        <f>E114+E115+E116+E117</f>
      </c>
      <c r="F118" s="25">
        <f>F114+F115+F116+F117</f>
      </c>
      <c r="G118" s="25">
        <f>G114+G115+G116+G117</f>
      </c>
      <c r="H118" s="25">
        <f>H114+H115+H116+H117</f>
      </c>
      <c r="I118" s="25">
        <f>I114+I115+I116+I117</f>
      </c>
      <c r="J118" s="25">
        <f>J114+J115+J116+J117</f>
      </c>
      <c r="K118" s="25">
        <f>K114+K115+K116+K117</f>
      </c>
      <c r="L118" s="25">
        <f>L114+L115+L116+L117</f>
      </c>
      <c r="M118" s="25">
        <f>M114+M115+M116+M117</f>
      </c>
      <c r="N118" s="25">
        <f>N114+N115+N116+N117</f>
      </c>
      <c r="O118" s="25">
        <f>O114+O115+O116+O117</f>
      </c>
      <c r="P118" s="25">
        <f>P114+P115+P116+P117</f>
      </c>
      <c r="Q118" s="25">
        <f>Q114+Q115+Q116+Q117</f>
      </c>
      <c r="R118" s="25">
        <f>R114+R115+R116+R117</f>
      </c>
      <c r="S118" s="25">
        <f>S114+S115+S116+S117</f>
      </c>
      <c r="T118" s="25">
        <f>T114+T115+T116+T117</f>
      </c>
      <c r="U118" s="25">
        <f>U114+U115+U116+U117</f>
      </c>
      <c r="V118" s="25">
        <f>V114+V115+V116+V117</f>
      </c>
      <c r="W118" s="25">
        <f>W114+W115+W116+W117</f>
      </c>
      <c r="X118" s="25">
        <f>X114+X115+X116+X117</f>
      </c>
      <c r="Y118" s="25">
        <f>Y114+Y115+Y116+Y117</f>
      </c>
      <c r="Z118" s="25">
        <f>Z114+Z115+Z116+Z117</f>
      </c>
      <c r="AA118" s="25">
        <f>AA114+AA115+AA116+AA117</f>
      </c>
      <c r="AB118" s="25">
        <f>AB114+AB115+AB116+AB117</f>
      </c>
      <c r="AC118" s="25">
        <f>AC114+AC115+AC116+AC117</f>
      </c>
      <c r="AD118" s="25">
        <f>AD114+AD115+AD116+AD117</f>
      </c>
      <c r="AE118" s="25">
        <f>AE114+AE115+AE116+AE117</f>
      </c>
      <c r="AF118" s="25">
        <f>AF114+AF115+AF116+AF117</f>
      </c>
      <c r="AG118" s="25">
        <f>AG114+AG115+AG116+AG117</f>
      </c>
      <c r="AH118" s="25">
        <f>AH114+AH115+AH116+AH117</f>
      </c>
      <c r="AI118" s="25">
        <f>AI114+AI115+AI116+AI117</f>
      </c>
      <c r="AJ118" s="25">
        <f>AJ114+AJ115+AJ116+AJ117</f>
      </c>
      <c r="AK11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1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1162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1238</v>
      </c>
      <c r="Z8" s="44" t="s">
        <v>1239</v>
      </c>
      <c r="AA8" s="44" t="s">
        <v>1240</v>
      </c>
      <c r="AB8" s="44" t="s">
        <v>1241</v>
      </c>
      <c r="AC8" s="44" t="s">
        <v>1242</v>
      </c>
      <c r="AD8" s="44" t="s">
        <v>1243</v>
      </c>
      <c r="AE8" s="44" t="s">
        <v>1244</v>
      </c>
      <c r="AF8" s="44" t="s">
        <v>1245</v>
      </c>
      <c r="AG8" s="44" t="s">
        <v>1246</v>
      </c>
      <c r="AH8" s="44" t="s">
        <v>1247</v>
      </c>
      <c r="AI8" s="44" t="s">
        <v>1248</v>
      </c>
      <c r="AJ8" s="44" t="s">
        <v>1249</v>
      </c>
      <c r="AK8" s="44" t="s">
        <v>1250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1162</v>
      </c>
      <c r="D14" s="50" t="s">
        <v>42</v>
      </c>
      <c r="E14" s="32" t="s">
        <v>227</v>
      </c>
      <c r="F14" s="32" t="s">
        <v>1163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v>31.81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1162</v>
      </c>
      <c r="D15" s="50" t="s">
        <v>42</v>
      </c>
      <c r="E15" s="32" t="s">
        <v>227</v>
      </c>
      <c r="F15" s="32" t="s">
        <v>1164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3">
        <v>64.84</v>
      </c>
      <c r="AE15" s="33">
        <v>37.35</v>
      </c>
      <c r="AF15" s="33">
        <v>27.19</v>
      </c>
      <c r="AG15" s="33">
        <v>27.19</v>
      </c>
      <c r="AH15" s="33">
        <v>38.12</v>
      </c>
      <c r="AI15" s="33">
        <v>85.03</v>
      </c>
      <c r="AJ15" s="33">
        <v>99.7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1162</v>
      </c>
      <c r="D16" s="50" t="s">
        <v>42</v>
      </c>
      <c r="E16" s="32" t="s">
        <v>227</v>
      </c>
      <c r="F16" s="32" t="s">
        <v>1165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3">
        <f>126.85+167.31</f>
        <v>294.15999999999997</v>
      </c>
      <c r="AD16" s="33">
        <v>119.35</v>
      </c>
      <c r="AE16" s="33">
        <v>99.98</v>
      </c>
      <c r="AF16" s="33">
        <v>85.37</v>
      </c>
      <c r="AG16" s="33">
        <v>80.64</v>
      </c>
      <c r="AH16" s="33">
        <v>84.63</v>
      </c>
      <c r="AI16" s="33">
        <v>130.38</v>
      </c>
      <c r="AJ16" s="33">
        <v>169.57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1162</v>
      </c>
      <c r="D17" s="50" t="s">
        <v>42</v>
      </c>
      <c r="E17" s="32" t="s">
        <v>227</v>
      </c>
      <c r="F17" s="32" t="s">
        <v>1166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3">
        <v>323.55</v>
      </c>
      <c r="AD17" s="33">
        <v>320.07</v>
      </c>
      <c r="AE17" s="33">
        <v>326.16</v>
      </c>
      <c r="AF17" s="33">
        <v>221.79</v>
      </c>
      <c r="AG17" s="33">
        <v>135.27</v>
      </c>
      <c r="AH17" s="33">
        <v>146.49</v>
      </c>
      <c r="AI17" s="33">
        <v>172.2</v>
      </c>
      <c r="AJ17" s="33">
        <v>176.25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1162</v>
      </c>
      <c r="D18" s="50" t="s">
        <v>42</v>
      </c>
      <c r="E18" s="32" t="s">
        <v>227</v>
      </c>
      <c r="F18" s="32" t="s">
        <v>1167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3">
        <v>102.26</v>
      </c>
      <c r="AD18" s="33">
        <v>64.31</v>
      </c>
      <c r="AE18" s="33">
        <v>-50.33</v>
      </c>
      <c r="AF18" s="33">
        <v>38.32</v>
      </c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1162</v>
      </c>
      <c r="D19" s="50" t="s">
        <v>42</v>
      </c>
      <c r="E19" s="32" t="s">
        <v>227</v>
      </c>
      <c r="F19" s="32" t="s">
        <v>1168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>
        <v>32.19</v>
      </c>
      <c r="AE19" s="33">
        <v>32.19</v>
      </c>
      <c r="AF19" s="33">
        <v>32.19</v>
      </c>
      <c r="AG19" s="33">
        <v>27.19</v>
      </c>
      <c r="AH19" s="33">
        <v>32.63</v>
      </c>
      <c r="AI19" s="33">
        <v>32.63</v>
      </c>
      <c r="AJ19" s="33">
        <v>32.63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1162</v>
      </c>
      <c r="D20" s="50" t="s">
        <v>42</v>
      </c>
      <c r="E20" s="32" t="s">
        <v>227</v>
      </c>
      <c r="F20" s="32" t="s">
        <v>1169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>
        <v>59.38</v>
      </c>
      <c r="AG20" s="33">
        <v>32.19</v>
      </c>
      <c r="AH20" s="33">
        <v>97.01</v>
      </c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1162</v>
      </c>
      <c r="D21" s="50" t="s">
        <v>42</v>
      </c>
      <c r="E21" s="32" t="s">
        <v>227</v>
      </c>
      <c r="F21" s="32" t="s">
        <v>1170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>
        <v>48.64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1162</v>
      </c>
      <c r="D22" s="50" t="s">
        <v>42</v>
      </c>
      <c r="E22" s="32" t="s">
        <v>227</v>
      </c>
      <c r="F22" s="32" t="s">
        <v>1171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3">
        <v>670.8</v>
      </c>
      <c r="AD22" s="33">
        <v>638.41</v>
      </c>
      <c r="AE22" s="33">
        <v>659.65</v>
      </c>
      <c r="AF22" s="33">
        <v>566.74</v>
      </c>
      <c r="AG22" s="33">
        <v>518.96</v>
      </c>
      <c r="AH22" s="33">
        <v>606.13</v>
      </c>
      <c r="AI22" s="33">
        <v>639.56</v>
      </c>
      <c r="AJ22" s="33">
        <v>568.97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1162</v>
      </c>
      <c r="D23" s="50" t="s">
        <v>42</v>
      </c>
      <c r="E23" s="32" t="s">
        <v>227</v>
      </c>
      <c r="F23" s="32" t="s">
        <v>1172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3">
        <v>91.57</v>
      </c>
      <c r="AE23" s="33">
        <v>9.06</v>
      </c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1162</v>
      </c>
      <c r="D24" s="50" t="s">
        <v>42</v>
      </c>
      <c r="E24" s="32" t="s">
        <v>227</v>
      </c>
      <c r="F24" s="32" t="s">
        <v>1173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>
        <v>30.23</v>
      </c>
      <c r="AB24" s="33">
        <v>3.35</v>
      </c>
      <c r="AC24" s="33">
        <v>94.84</v>
      </c>
      <c r="AD24" s="33">
        <v>68.79</v>
      </c>
      <c r="AE24" s="33">
        <v>55.36</v>
      </c>
      <c r="AF24" s="33">
        <v>-31.43</v>
      </c>
      <c r="AG24" s="33">
        <v>3.01</v>
      </c>
      <c r="AH24" s="33">
        <v>37.32</v>
      </c>
      <c r="AI24" s="33">
        <v>85.43</v>
      </c>
      <c r="AJ24" s="33">
        <v>43.82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1162</v>
      </c>
      <c r="D25" s="50" t="s">
        <v>42</v>
      </c>
      <c r="E25" s="32" t="s">
        <v>227</v>
      </c>
      <c r="F25" s="32" t="s">
        <v>1174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3">
        <v>0</v>
      </c>
      <c r="AE25" s="33">
        <v>27.19</v>
      </c>
      <c r="AF25" s="33">
        <v>27.19</v>
      </c>
      <c r="AG25" s="33">
        <v>95.51</v>
      </c>
      <c r="AH25" s="33">
        <v>37.32</v>
      </c>
      <c r="AI25" s="33">
        <v>32.63</v>
      </c>
      <c r="AJ25" s="33">
        <v>37.32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1162</v>
      </c>
      <c r="D26" s="50" t="s">
        <v>42</v>
      </c>
      <c r="E26" s="32" t="s">
        <v>227</v>
      </c>
      <c r="F26" s="32" t="s">
        <v>1175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3">
        <v>37.25</v>
      </c>
      <c r="AD26" s="33">
        <v>32.19</v>
      </c>
      <c r="AE26" s="33">
        <v>155.48</v>
      </c>
      <c r="AF26" s="33">
        <v>158.4</v>
      </c>
      <c r="AG26" s="33">
        <v>145.04</v>
      </c>
      <c r="AH26" s="33">
        <v>101.44</v>
      </c>
      <c r="AI26" s="33">
        <v>40.37</v>
      </c>
      <c r="AJ26" s="33">
        <v>54.38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1162</v>
      </c>
      <c r="D27" s="50" t="s">
        <v>42</v>
      </c>
      <c r="E27" s="32" t="s">
        <v>227</v>
      </c>
      <c r="F27" s="32" t="s">
        <v>1176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3">
        <v>216.35</v>
      </c>
      <c r="AD27" s="33">
        <v>207.22</v>
      </c>
      <c r="AE27" s="33">
        <v>170.91</v>
      </c>
      <c r="AF27" s="33">
        <v>79.83</v>
      </c>
      <c r="AG27" s="33">
        <v>39.83</v>
      </c>
      <c r="AH27" s="33">
        <v>90.9</v>
      </c>
      <c r="AI27" s="33">
        <v>117.3</v>
      </c>
      <c r="AJ27" s="33">
        <v>116.23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1162</v>
      </c>
      <c r="D28" s="50" t="s">
        <v>42</v>
      </c>
      <c r="E28" s="32" t="s">
        <v>227</v>
      </c>
      <c r="F28" s="32" t="s">
        <v>1177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3">
        <v>101.99</v>
      </c>
      <c r="AD28" s="33">
        <v>61.53</v>
      </c>
      <c r="AE28" s="33">
        <v>66.3</v>
      </c>
      <c r="AF28" s="33">
        <v>-4.6</v>
      </c>
      <c r="AG28" s="33">
        <v>30.82</v>
      </c>
      <c r="AH28" s="33">
        <v>-79.53</v>
      </c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1162</v>
      </c>
      <c r="D29" s="50" t="s">
        <v>42</v>
      </c>
      <c r="E29" s="32" t="s">
        <v>227</v>
      </c>
      <c r="F29" s="32" t="s">
        <v>1178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87.35</v>
      </c>
      <c r="AC29" s="33">
        <f>111.05+0.00</f>
        <v>111.05</v>
      </c>
      <c r="AD29" s="33">
        <v>-5.67</v>
      </c>
      <c r="AE29" s="33">
        <v>74.83</v>
      </c>
      <c r="AF29" s="33">
        <v>53.92</v>
      </c>
      <c r="AG29" s="33">
        <v>39.16</v>
      </c>
      <c r="AH29" s="33">
        <v>41.53</v>
      </c>
      <c r="AI29" s="33">
        <v>88.64</v>
      </c>
      <c r="AJ29" s="33">
        <v>44.77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1162</v>
      </c>
      <c r="D30" s="50" t="s">
        <v>42</v>
      </c>
      <c r="E30" s="32" t="s">
        <v>227</v>
      </c>
      <c r="F30" s="32" t="s">
        <v>1179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3">
        <v>122.39</v>
      </c>
      <c r="AD30" s="33">
        <v>35.32</v>
      </c>
      <c r="AE30" s="33">
        <v>27.41</v>
      </c>
      <c r="AF30" s="33">
        <v>27.47</v>
      </c>
      <c r="AG30" s="33">
        <v>54.03</v>
      </c>
      <c r="AH30" s="33">
        <v>116.89</v>
      </c>
      <c r="AI30" s="33">
        <v>139.83</v>
      </c>
      <c r="AJ30" s="33">
        <v>216.7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1162</v>
      </c>
      <c r="D31" s="50" t="s">
        <v>42</v>
      </c>
      <c r="E31" s="32" t="s">
        <v>227</v>
      </c>
      <c r="F31" s="32" t="s">
        <v>1180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3">
        <v>177.51</v>
      </c>
      <c r="AD31" s="32"/>
      <c r="AE31" s="33">
        <v>196.31</v>
      </c>
      <c r="AF31" s="33">
        <v>140.69</v>
      </c>
      <c r="AG31" s="33">
        <v>123.03</v>
      </c>
      <c r="AH31" s="33">
        <v>109.29</v>
      </c>
      <c r="AI31" s="33">
        <v>96.89</v>
      </c>
      <c r="AJ31" s="33">
        <v>134.35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1162</v>
      </c>
      <c r="D32" s="50" t="s">
        <v>42</v>
      </c>
      <c r="E32" s="32" t="s">
        <v>227</v>
      </c>
      <c r="F32" s="32" t="s">
        <v>1181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3">
        <v>222.67</v>
      </c>
      <c r="AD32" s="32"/>
      <c r="AE32" s="33">
        <v>82.21</v>
      </c>
      <c r="AF32" s="33">
        <v>27.19</v>
      </c>
      <c r="AG32" s="33">
        <v>30.59</v>
      </c>
      <c r="AH32" s="33">
        <v>90.37</v>
      </c>
      <c r="AI32" s="33">
        <v>33.45</v>
      </c>
      <c r="AJ32" s="33">
        <v>60.76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1162</v>
      </c>
      <c r="D33" s="50" t="s">
        <v>42</v>
      </c>
      <c r="E33" s="32" t="s">
        <v>227</v>
      </c>
      <c r="F33" s="32" t="s">
        <v>1182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3">
        <v>59.38</v>
      </c>
      <c r="AD33" s="33">
        <v>32.19</v>
      </c>
      <c r="AE33" s="33">
        <v>27.19</v>
      </c>
      <c r="AF33" s="33">
        <v>27.19</v>
      </c>
      <c r="AG33" s="33">
        <v>27.19</v>
      </c>
      <c r="AH33" s="33">
        <v>32.63</v>
      </c>
      <c r="AI33" s="33">
        <v>32.63</v>
      </c>
      <c r="AJ33" s="33">
        <v>32.63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1162</v>
      </c>
      <c r="D34" s="50" t="s">
        <v>42</v>
      </c>
      <c r="E34" s="32" t="s">
        <v>227</v>
      </c>
      <c r="F34" s="32" t="s">
        <v>1183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3">
        <v>59.38</v>
      </c>
      <c r="AD34" s="33">
        <v>32.19</v>
      </c>
      <c r="AE34" s="33">
        <v>55.91</v>
      </c>
      <c r="AF34" s="33">
        <v>62.85</v>
      </c>
      <c r="AG34" s="33">
        <v>27.9</v>
      </c>
      <c r="AH34" s="33">
        <v>35.22</v>
      </c>
      <c r="AI34" s="33">
        <v>38.61</v>
      </c>
      <c r="AJ34" s="33">
        <v>50.9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1162</v>
      </c>
      <c r="D35" s="50" t="s">
        <v>42</v>
      </c>
      <c r="E35" s="32" t="s">
        <v>227</v>
      </c>
      <c r="F35" s="32" t="s">
        <v>1184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3">
        <v>126.95</v>
      </c>
      <c r="AB35" s="33">
        <v>-8.35</v>
      </c>
      <c r="AC35" s="33">
        <v>97.65</v>
      </c>
      <c r="AD35" s="33">
        <v>101.81</v>
      </c>
      <c r="AE35" s="33">
        <v>109.64</v>
      </c>
      <c r="AF35" s="33">
        <v>94.27</v>
      </c>
      <c r="AG35" s="33">
        <v>74.74</v>
      </c>
      <c r="AH35" s="33">
        <v>77.64</v>
      </c>
      <c r="AI35" s="33">
        <v>66.92</v>
      </c>
      <c r="AJ35" s="33">
        <v>63.05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1162</v>
      </c>
      <c r="D36" s="50" t="s">
        <v>42</v>
      </c>
      <c r="E36" s="32" t="s">
        <v>227</v>
      </c>
      <c r="F36" s="32" t="s">
        <v>1185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3">
        <v>72.4</v>
      </c>
      <c r="AD36" s="33">
        <v>32.19</v>
      </c>
      <c r="AE36" s="33">
        <v>27.19</v>
      </c>
      <c r="AF36" s="33">
        <v>27.19</v>
      </c>
      <c r="AG36" s="33">
        <v>27.19</v>
      </c>
      <c r="AH36" s="33">
        <v>32.63</v>
      </c>
      <c r="AI36" s="33">
        <v>32.63</v>
      </c>
      <c r="AJ36" s="33">
        <v>109.94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1162</v>
      </c>
      <c r="D37" s="50" t="s">
        <v>42</v>
      </c>
      <c r="E37" s="32" t="s">
        <v>227</v>
      </c>
      <c r="F37" s="32" t="s">
        <v>1186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3">
        <v>251.94</v>
      </c>
      <c r="AB37" s="33">
        <v>9.82</v>
      </c>
      <c r="AC37" s="33">
        <v>249.61</v>
      </c>
      <c r="AD37" s="33">
        <v>250.48</v>
      </c>
      <c r="AE37" s="33">
        <v>266.55</v>
      </c>
      <c r="AF37" s="33">
        <v>242.94</v>
      </c>
      <c r="AG37" s="33">
        <v>242.64</v>
      </c>
      <c r="AH37" s="33">
        <v>274.77</v>
      </c>
      <c r="AI37" s="33">
        <v>267.33</v>
      </c>
      <c r="AJ37" s="33">
        <v>253.2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1162</v>
      </c>
      <c r="D38" s="50" t="s">
        <v>42</v>
      </c>
      <c r="E38" s="32" t="s">
        <v>227</v>
      </c>
      <c r="F38" s="32" t="s">
        <v>1187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3">
        <v>59.38</v>
      </c>
      <c r="AD38" s="32"/>
      <c r="AE38" s="33">
        <v>64.38</v>
      </c>
      <c r="AF38" s="33">
        <v>27.19</v>
      </c>
      <c r="AG38" s="33">
        <v>27.19</v>
      </c>
      <c r="AH38" s="33">
        <v>32.63</v>
      </c>
      <c r="AI38" s="33">
        <v>32.63</v>
      </c>
      <c r="AJ38" s="33">
        <v>32.63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1162</v>
      </c>
      <c r="D39" s="50" t="s">
        <v>42</v>
      </c>
      <c r="E39" s="32" t="s">
        <v>227</v>
      </c>
      <c r="F39" s="32" t="s">
        <v>1188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3">
        <v>59.38</v>
      </c>
      <c r="AD39" s="32"/>
      <c r="AE39" s="33">
        <v>27.19</v>
      </c>
      <c r="AF39" s="33">
        <v>27.19</v>
      </c>
      <c r="AG39" s="33">
        <v>27.19</v>
      </c>
      <c r="AH39" s="33">
        <v>32.63</v>
      </c>
      <c r="AI39" s="33">
        <v>32.63</v>
      </c>
      <c r="AJ39" s="33">
        <v>32.63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1162</v>
      </c>
      <c r="D40" s="50" t="s">
        <v>42</v>
      </c>
      <c r="E40" s="32" t="s">
        <v>227</v>
      </c>
      <c r="F40" s="32" t="s">
        <v>1189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3">
        <v>59.38</v>
      </c>
      <c r="AD40" s="32"/>
      <c r="AE40" s="33">
        <v>27.19</v>
      </c>
      <c r="AF40" s="33">
        <v>27.19</v>
      </c>
      <c r="AG40" s="33">
        <v>27.19</v>
      </c>
      <c r="AH40" s="33">
        <v>32.63</v>
      </c>
      <c r="AI40" s="33">
        <v>32.63</v>
      </c>
      <c r="AJ40" s="33">
        <v>32.63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1162</v>
      </c>
      <c r="D41" s="50" t="s">
        <v>42</v>
      </c>
      <c r="E41" s="32" t="s">
        <v>227</v>
      </c>
      <c r="F41" s="32" t="s">
        <v>1190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3">
        <v>248.74</v>
      </c>
      <c r="AD41" s="33">
        <v>63.77</v>
      </c>
      <c r="AE41" s="33">
        <v>-113.8</v>
      </c>
      <c r="AF41" s="33">
        <v>40.74</v>
      </c>
      <c r="AG41" s="33">
        <v>6.84</v>
      </c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1162</v>
      </c>
      <c r="D42" s="50" t="s">
        <v>42</v>
      </c>
      <c r="E42" s="32" t="s">
        <v>227</v>
      </c>
      <c r="F42" s="32" t="s">
        <v>1191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3">
        <v>15.15</v>
      </c>
      <c r="AB42" s="33">
        <v>-0.03</v>
      </c>
      <c r="AC42" s="33">
        <v>15.09</v>
      </c>
      <c r="AD42" s="33">
        <v>15.12</v>
      </c>
      <c r="AE42" s="33">
        <v>15.12</v>
      </c>
      <c r="AF42" s="33">
        <v>15.12</v>
      </c>
      <c r="AG42" s="33">
        <v>15.12</v>
      </c>
      <c r="AH42" s="33">
        <v>14.16</v>
      </c>
      <c r="AI42" s="33">
        <v>14.16</v>
      </c>
      <c r="AJ42" s="33">
        <v>14.16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1162</v>
      </c>
      <c r="D43" s="50" t="s">
        <v>42</v>
      </c>
      <c r="E43" s="32" t="s">
        <v>227</v>
      </c>
      <c r="F43" s="32" t="s">
        <v>1192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3">
        <v>9.06</v>
      </c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1162</v>
      </c>
      <c r="D44" s="50" t="s">
        <v>42</v>
      </c>
      <c r="E44" s="32" t="s">
        <v>227</v>
      </c>
      <c r="F44" s="32" t="s">
        <v>1193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3">
        <v>1107.31</v>
      </c>
      <c r="AB44" s="33">
        <v>-10.3</v>
      </c>
      <c r="AC44" s="33">
        <v>966.64</v>
      </c>
      <c r="AD44" s="33">
        <v>1117.89</v>
      </c>
      <c r="AE44" s="33">
        <v>1414.98</v>
      </c>
      <c r="AF44" s="33">
        <v>1620.51</v>
      </c>
      <c r="AG44" s="33">
        <v>1586.34</v>
      </c>
      <c r="AH44" s="33">
        <v>1987.8</v>
      </c>
      <c r="AI44" s="33">
        <v>2136.75</v>
      </c>
      <c r="AJ44" s="33">
        <v>1589.52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1162</v>
      </c>
      <c r="D45" s="50" t="s">
        <v>42</v>
      </c>
      <c r="E45" s="32" t="s">
        <v>227</v>
      </c>
      <c r="F45" s="32" t="s">
        <v>1194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3">
        <v>221.88</v>
      </c>
      <c r="AD45" s="32"/>
      <c r="AE45" s="33">
        <v>233.29</v>
      </c>
      <c r="AF45" s="33">
        <v>182.49</v>
      </c>
      <c r="AG45" s="33">
        <v>148.13</v>
      </c>
      <c r="AH45" s="33">
        <v>191.3</v>
      </c>
      <c r="AI45" s="33">
        <v>236.57</v>
      </c>
      <c r="AJ45" s="33">
        <v>206.01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1162</v>
      </c>
      <c r="D46" s="50" t="s">
        <v>42</v>
      </c>
      <c r="E46" s="32" t="s">
        <v>227</v>
      </c>
      <c r="F46" s="32" t="s">
        <v>1195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3">
        <v>68.79</v>
      </c>
      <c r="AC46" s="33">
        <f>85.64+0.00</f>
        <v>85.64</v>
      </c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1162</v>
      </c>
      <c r="D47" s="50" t="s">
        <v>42</v>
      </c>
      <c r="E47" s="32" t="s">
        <v>227</v>
      </c>
      <c r="F47" s="32" t="s">
        <v>1196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3">
        <v>78.66</v>
      </c>
      <c r="AD47" s="33">
        <v>233.71</v>
      </c>
      <c r="AE47" s="33">
        <v>92.87</v>
      </c>
      <c r="AF47" s="33">
        <v>33.21</v>
      </c>
      <c r="AG47" s="33">
        <v>64.04</v>
      </c>
      <c r="AH47" s="33">
        <v>88.91</v>
      </c>
      <c r="AI47" s="33">
        <v>118.9</v>
      </c>
      <c r="AJ47" s="33">
        <v>84.35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1162</v>
      </c>
      <c r="D48" s="50" t="s">
        <v>42</v>
      </c>
      <c r="E48" s="32" t="s">
        <v>227</v>
      </c>
      <c r="F48" s="32" t="s">
        <v>1197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3">
        <v>173.91</v>
      </c>
      <c r="AC48" s="33">
        <v>361.08</v>
      </c>
      <c r="AD48" s="33">
        <v>180.45</v>
      </c>
      <c r="AE48" s="33">
        <v>158.24</v>
      </c>
      <c r="AF48" s="33">
        <v>119.09</v>
      </c>
      <c r="AG48" s="33">
        <v>30.36</v>
      </c>
      <c r="AH48" s="33">
        <v>32.63</v>
      </c>
      <c r="AI48" s="33">
        <v>124.52</v>
      </c>
      <c r="AJ48" s="33">
        <v>185.1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1162</v>
      </c>
      <c r="D49" s="50" t="s">
        <v>42</v>
      </c>
      <c r="E49" s="32" t="s">
        <v>227</v>
      </c>
      <c r="F49" s="32" t="s">
        <v>1198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3">
        <f>217.88+192.61</f>
        <v>410.49</v>
      </c>
      <c r="AD49" s="33">
        <v>174.15</v>
      </c>
      <c r="AE49" s="33">
        <v>65.52</v>
      </c>
      <c r="AF49" s="33">
        <v>27.29</v>
      </c>
      <c r="AG49" s="33">
        <v>27.29</v>
      </c>
      <c r="AH49" s="33">
        <v>32.63</v>
      </c>
      <c r="AI49" s="33">
        <v>41.58</v>
      </c>
      <c r="AJ49" s="33">
        <v>50.38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1162</v>
      </c>
      <c r="D50" s="50" t="s">
        <v>42</v>
      </c>
      <c r="E50" s="32" t="s">
        <v>227</v>
      </c>
      <c r="F50" s="32" t="s">
        <v>1199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3">
        <v>40.59</v>
      </c>
      <c r="AD50" s="33">
        <v>72.75</v>
      </c>
      <c r="AE50" s="33">
        <v>19.62</v>
      </c>
      <c r="AF50" s="33">
        <v>40.07</v>
      </c>
      <c r="AG50" s="33">
        <v>33.86</v>
      </c>
      <c r="AH50" s="33">
        <v>53.56</v>
      </c>
      <c r="AI50" s="33">
        <v>127.03</v>
      </c>
      <c r="AJ50" s="33">
        <v>-69.21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1162</v>
      </c>
      <c r="D51" s="50" t="s">
        <v>42</v>
      </c>
      <c r="E51" s="32" t="s">
        <v>227</v>
      </c>
      <c r="F51" s="32" t="s">
        <v>1200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3">
        <v>93.42</v>
      </c>
      <c r="AD51" s="32"/>
      <c r="AE51" s="33">
        <v>88.14</v>
      </c>
      <c r="AF51" s="33">
        <v>49.56</v>
      </c>
      <c r="AG51" s="33">
        <v>95.37</v>
      </c>
      <c r="AH51" s="33">
        <v>44.19</v>
      </c>
      <c r="AI51" s="33">
        <v>135.55</v>
      </c>
      <c r="AJ51" s="33">
        <v>299.52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1162</v>
      </c>
      <c r="D52" s="50" t="s">
        <v>42</v>
      </c>
      <c r="E52" s="32" t="s">
        <v>227</v>
      </c>
      <c r="F52" s="32" t="s">
        <v>1201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3">
        <v>13.97</v>
      </c>
      <c r="AF52" s="33">
        <v>190.03</v>
      </c>
      <c r="AG52" s="33">
        <v>-9.45</v>
      </c>
      <c r="AH52" s="33">
        <v>41.81</v>
      </c>
      <c r="AI52" s="33">
        <v>125.64</v>
      </c>
      <c r="AJ52" s="33">
        <v>103.24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1162</v>
      </c>
      <c r="D53" s="50" t="s">
        <v>42</v>
      </c>
      <c r="E53" s="32" t="s">
        <v>227</v>
      </c>
      <c r="F53" s="32" t="s">
        <v>1202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3">
        <v>385.59</v>
      </c>
      <c r="AD53" s="33">
        <v>226.79</v>
      </c>
      <c r="AE53" s="33">
        <v>216.88</v>
      </c>
      <c r="AF53" s="33">
        <v>134.87</v>
      </c>
      <c r="AG53" s="33">
        <v>91.55</v>
      </c>
      <c r="AH53" s="33">
        <v>179.8</v>
      </c>
      <c r="AI53" s="33">
        <v>346.21</v>
      </c>
      <c r="AJ53" s="33">
        <v>402.19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1162</v>
      </c>
      <c r="D54" s="50" t="s">
        <v>42</v>
      </c>
      <c r="E54" s="32" t="s">
        <v>227</v>
      </c>
      <c r="F54" s="32" t="s">
        <v>1203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3">
        <v>77.93</v>
      </c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1162</v>
      </c>
      <c r="D55" s="50" t="s">
        <v>42</v>
      </c>
      <c r="E55" s="32" t="s">
        <v>227</v>
      </c>
      <c r="F55" s="32" t="s">
        <v>1204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3">
        <v>89.68</v>
      </c>
      <c r="AB55" s="33">
        <v>-3.07</v>
      </c>
      <c r="AC55" s="33">
        <v>82.97</v>
      </c>
      <c r="AD55" s="33">
        <v>82.14</v>
      </c>
      <c r="AE55" s="33">
        <v>88.8</v>
      </c>
      <c r="AF55" s="33">
        <v>69.09</v>
      </c>
      <c r="AG55" s="33">
        <v>57.54</v>
      </c>
      <c r="AH55" s="33">
        <v>62.17</v>
      </c>
      <c r="AI55" s="33">
        <v>378.81</v>
      </c>
      <c r="AJ55" s="33">
        <v>96.96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1162</v>
      </c>
      <c r="D56" s="50" t="s">
        <v>42</v>
      </c>
      <c r="E56" s="32" t="s">
        <v>227</v>
      </c>
      <c r="F56" s="32" t="s">
        <v>1205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3">
        <v>60.4</v>
      </c>
      <c r="AE56" s="33">
        <v>65.4</v>
      </c>
      <c r="AF56" s="33">
        <f>-32.70+27.70</f>
        <v>-5.0000000000000036</v>
      </c>
      <c r="AG56" s="33">
        <v>-32.7</v>
      </c>
      <c r="AH56" s="33">
        <v>-6.01</v>
      </c>
      <c r="AI56" s="33">
        <v>20.68</v>
      </c>
      <c r="AJ56" s="33">
        <v>26.69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1162</v>
      </c>
      <c r="D57" s="50" t="s">
        <v>42</v>
      </c>
      <c r="E57" s="32" t="s">
        <v>227</v>
      </c>
      <c r="F57" s="32" t="s">
        <v>1206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3">
        <v>76.03</v>
      </c>
      <c r="AC57" s="33">
        <f>79.97+0.00</f>
        <v>79.97</v>
      </c>
      <c r="AD57" s="33">
        <v>-20.8</v>
      </c>
      <c r="AE57" s="33">
        <v>44.57</v>
      </c>
      <c r="AF57" s="33">
        <v>48.49</v>
      </c>
      <c r="AG57" s="33">
        <v>39.16</v>
      </c>
      <c r="AH57" s="33">
        <v>41.12</v>
      </c>
      <c r="AI57" s="33">
        <v>82.51</v>
      </c>
      <c r="AJ57" s="33">
        <v>43.25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1162</v>
      </c>
      <c r="D58" s="50" t="s">
        <v>42</v>
      </c>
      <c r="E58" s="32" t="s">
        <v>227</v>
      </c>
      <c r="F58" s="32" t="s">
        <v>1207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3">
        <v>12.73</v>
      </c>
      <c r="AE58" s="33">
        <f>59.05+100.00</f>
        <v>159.05</v>
      </c>
      <c r="AF58" s="33">
        <v>44.93</v>
      </c>
      <c r="AG58" s="33">
        <v>34.49</v>
      </c>
      <c r="AH58" s="33">
        <v>48.37</v>
      </c>
      <c r="AI58" s="33">
        <v>106.37</v>
      </c>
      <c r="AJ58" s="33">
        <v>64.37</v>
      </c>
      <c r="AK58" s="33">
        <v>-84.33</v>
      </c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1162</v>
      </c>
      <c r="D59" s="50" t="s">
        <v>42</v>
      </c>
      <c r="E59" s="32" t="s">
        <v>227</v>
      </c>
      <c r="F59" s="32" t="s">
        <v>1208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3">
        <v>59.38</v>
      </c>
      <c r="AD59" s="32"/>
      <c r="AE59" s="33">
        <v>64.38</v>
      </c>
      <c r="AF59" s="33">
        <v>-32.19</v>
      </c>
      <c r="AG59" s="33">
        <v>-5</v>
      </c>
      <c r="AH59" s="33">
        <v>32.83</v>
      </c>
      <c r="AI59" s="33">
        <v>81.3</v>
      </c>
      <c r="AJ59" s="33">
        <v>94.49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1162</v>
      </c>
      <c r="D60" s="50" t="s">
        <v>42</v>
      </c>
      <c r="E60" s="32" t="s">
        <v>227</v>
      </c>
      <c r="F60" s="32" t="s">
        <v>1209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3">
        <v>1100.03</v>
      </c>
      <c r="AD60" s="33">
        <v>1100.03</v>
      </c>
      <c r="AE60" s="33">
        <v>1100.03</v>
      </c>
      <c r="AF60" s="33">
        <v>1100.03</v>
      </c>
      <c r="AG60" s="33">
        <v>1100.03</v>
      </c>
      <c r="AH60" s="33">
        <v>1161.43</v>
      </c>
      <c r="AI60" s="33">
        <v>1258.99</v>
      </c>
      <c r="AJ60" s="33">
        <v>1277.89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1162</v>
      </c>
      <c r="D61" s="50" t="s">
        <v>42</v>
      </c>
      <c r="E61" s="32" t="s">
        <v>227</v>
      </c>
      <c r="F61" s="32" t="s">
        <v>1210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3">
        <v>32.19</v>
      </c>
      <c r="AE61" s="33">
        <v>32.19</v>
      </c>
      <c r="AF61" s="33">
        <v>-5</v>
      </c>
      <c r="AG61" s="33">
        <v>22.19</v>
      </c>
      <c r="AH61" s="33">
        <v>32.63</v>
      </c>
      <c r="AI61" s="33">
        <v>32.63</v>
      </c>
      <c r="AJ61" s="33">
        <v>32.63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1162</v>
      </c>
      <c r="D62" s="50" t="s">
        <v>42</v>
      </c>
      <c r="E62" s="32" t="s">
        <v>227</v>
      </c>
      <c r="F62" s="32" t="s">
        <v>1211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3">
        <v>61.15</v>
      </c>
      <c r="AB62" s="33">
        <v>3</v>
      </c>
      <c r="AC62" s="33">
        <v>57.33</v>
      </c>
      <c r="AD62" s="33">
        <v>83.14</v>
      </c>
      <c r="AE62" s="33">
        <v>60.83</v>
      </c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1162</v>
      </c>
      <c r="D63" s="50" t="s">
        <v>42</v>
      </c>
      <c r="E63" s="32" t="s">
        <v>227</v>
      </c>
      <c r="F63" s="32" t="s">
        <v>1212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3">
        <v>83.98</v>
      </c>
      <c r="AD63" s="33">
        <v>38.03</v>
      </c>
      <c r="AE63" s="33">
        <v>32.73</v>
      </c>
      <c r="AF63" s="33">
        <v>72.59</v>
      </c>
      <c r="AG63" s="33">
        <v>33.03</v>
      </c>
      <c r="AH63" s="33">
        <v>38.69</v>
      </c>
      <c r="AI63" s="33">
        <v>72.78</v>
      </c>
      <c r="AJ63" s="33">
        <v>12.27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1162</v>
      </c>
      <c r="D64" s="50" t="s">
        <v>42</v>
      </c>
      <c r="E64" s="32" t="s">
        <v>227</v>
      </c>
      <c r="F64" s="32" t="s">
        <v>1213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3">
        <v>343.46</v>
      </c>
      <c r="AD64" s="32"/>
      <c r="AE64" s="33">
        <v>268.85</v>
      </c>
      <c r="AF64" s="33">
        <v>126.86</v>
      </c>
      <c r="AG64" s="33">
        <v>85.37</v>
      </c>
      <c r="AH64" s="33">
        <v>73.97</v>
      </c>
      <c r="AI64" s="33">
        <v>91.17</v>
      </c>
      <c r="AJ64" s="33">
        <v>204</v>
      </c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1162</v>
      </c>
      <c r="D65" s="50" t="s">
        <v>42</v>
      </c>
      <c r="E65" s="32" t="s">
        <v>227</v>
      </c>
      <c r="F65" s="32" t="s">
        <v>1214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3">
        <v>54.1</v>
      </c>
      <c r="AE65" s="33">
        <v>19.7</v>
      </c>
      <c r="AF65" s="33">
        <v>14.7</v>
      </c>
      <c r="AG65" s="33">
        <v>14.7</v>
      </c>
      <c r="AH65" s="33">
        <v>13.9</v>
      </c>
      <c r="AI65" s="33">
        <v>13.9</v>
      </c>
      <c r="AJ65" s="33">
        <v>13.9</v>
      </c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1162</v>
      </c>
      <c r="D66" s="50" t="s">
        <v>42</v>
      </c>
      <c r="E66" s="32" t="s">
        <v>227</v>
      </c>
      <c r="F66" s="32" t="s">
        <v>1215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3">
        <v>52.08</v>
      </c>
      <c r="AH66" s="33">
        <v>76.17</v>
      </c>
      <c r="AI66" s="33">
        <v>190.81</v>
      </c>
      <c r="AJ66" s="33">
        <v>202.44</v>
      </c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1162</v>
      </c>
      <c r="D67" s="50" t="s">
        <v>42</v>
      </c>
      <c r="E67" s="32" t="s">
        <v>227</v>
      </c>
      <c r="F67" s="32" t="s">
        <v>1216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3">
        <v>110.73</v>
      </c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1162</v>
      </c>
      <c r="D68" s="50" t="s">
        <v>42</v>
      </c>
      <c r="E68" s="32" t="s">
        <v>227</v>
      </c>
      <c r="F68" s="32" t="s">
        <v>1217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3">
        <v>29.35</v>
      </c>
      <c r="AC68" s="33">
        <v>63.7</v>
      </c>
      <c r="AD68" s="33">
        <v>34.35</v>
      </c>
      <c r="AE68" s="33">
        <v>4.89</v>
      </c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1162</v>
      </c>
      <c r="D69" s="50" t="s">
        <v>42</v>
      </c>
      <c r="E69" s="32" t="s">
        <v>227</v>
      </c>
      <c r="F69" s="32" t="s">
        <v>1218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3">
        <v>27.24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1162</v>
      </c>
      <c r="D70" s="50" t="s">
        <v>42</v>
      </c>
      <c r="E70" s="32" t="s">
        <v>227</v>
      </c>
      <c r="F70" s="32" t="s">
        <v>1219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3">
        <v>0</v>
      </c>
      <c r="AE70" s="33">
        <v>135.21</v>
      </c>
      <c r="AF70" s="33">
        <v>102.77</v>
      </c>
      <c r="AG70" s="33">
        <v>91.96</v>
      </c>
      <c r="AH70" s="33">
        <v>89.73</v>
      </c>
      <c r="AI70" s="33">
        <v>87.98</v>
      </c>
      <c r="AJ70" s="33">
        <v>107.15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1162</v>
      </c>
      <c r="D71" s="50" t="s">
        <v>42</v>
      </c>
      <c r="E71" s="32" t="s">
        <v>227</v>
      </c>
      <c r="F71" s="32" t="s">
        <v>1220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3">
        <v>60.2</v>
      </c>
      <c r="AD71" s="32"/>
      <c r="AE71" s="33">
        <v>27.19</v>
      </c>
      <c r="AF71" s="33">
        <v>27.19</v>
      </c>
      <c r="AG71" s="33">
        <v>27.19</v>
      </c>
      <c r="AH71" s="33">
        <v>32.63</v>
      </c>
      <c r="AI71" s="33">
        <v>32.63</v>
      </c>
      <c r="AJ71" s="33">
        <v>91.95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1162</v>
      </c>
      <c r="D72" s="50" t="s">
        <v>42</v>
      </c>
      <c r="E72" s="32" t="s">
        <v>227</v>
      </c>
      <c r="F72" s="32" t="s">
        <v>1221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3">
        <v>95.43</v>
      </c>
      <c r="AD72" s="33">
        <v>50.07</v>
      </c>
      <c r="AE72" s="33">
        <v>-57.17</v>
      </c>
      <c r="AF72" s="33">
        <v>34.71</v>
      </c>
      <c r="AG72" s="33">
        <v>32.73</v>
      </c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1162</v>
      </c>
      <c r="D73" s="50" t="s">
        <v>42</v>
      </c>
      <c r="E73" s="32" t="s">
        <v>227</v>
      </c>
      <c r="F73" s="32" t="s">
        <v>1222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3">
        <v>32.19</v>
      </c>
      <c r="AE73" s="33">
        <v>108.15</v>
      </c>
      <c r="AF73" s="33">
        <v>22.12</v>
      </c>
      <c r="AG73" s="33">
        <v>27.19</v>
      </c>
      <c r="AH73" s="33">
        <v>39.44</v>
      </c>
      <c r="AI73" s="33">
        <v>55.96</v>
      </c>
      <c r="AJ73" s="33">
        <v>82.24</v>
      </c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1162</v>
      </c>
      <c r="D74" s="50" t="s">
        <v>42</v>
      </c>
      <c r="E74" s="32" t="s">
        <v>227</v>
      </c>
      <c r="F74" s="32" t="s">
        <v>1223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3">
        <f>62.33+0.00</f>
        <v>62.33</v>
      </c>
      <c r="AD74" s="33">
        <v>46.53</v>
      </c>
      <c r="AE74" s="33">
        <v>38.37</v>
      </c>
      <c r="AF74" s="33">
        <v>34.14</v>
      </c>
      <c r="AG74" s="33">
        <v>32.09</v>
      </c>
      <c r="AH74" s="33">
        <v>36.96</v>
      </c>
      <c r="AI74" s="33">
        <v>-3.15</v>
      </c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1162</v>
      </c>
      <c r="D75" s="50" t="s">
        <v>42</v>
      </c>
      <c r="E75" s="32" t="s">
        <v>227</v>
      </c>
      <c r="F75" s="32" t="s">
        <v>1224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3">
        <v>98.18</v>
      </c>
      <c r="AB75" s="33">
        <v>108.93</v>
      </c>
      <c r="AC75" s="33">
        <v>123.29</v>
      </c>
      <c r="AD75" s="33">
        <v>131.98</v>
      </c>
      <c r="AE75" s="33">
        <v>116.08</v>
      </c>
      <c r="AF75" s="33">
        <v>71.68</v>
      </c>
      <c r="AG75" s="33">
        <v>56.81</v>
      </c>
      <c r="AH75" s="33">
        <v>78.64</v>
      </c>
      <c r="AI75" s="33">
        <v>148.48</v>
      </c>
      <c r="AJ75" s="33">
        <v>85.17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1162</v>
      </c>
      <c r="D76" s="50" t="s">
        <v>42</v>
      </c>
      <c r="E76" s="32" t="s">
        <v>227</v>
      </c>
      <c r="F76" s="32" t="s">
        <v>1225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3">
        <f>138.69+0.00</f>
        <v>138.69</v>
      </c>
      <c r="AD76" s="33">
        <v>134.35</v>
      </c>
      <c r="AE76" s="33">
        <v>149.51</v>
      </c>
      <c r="AF76" s="33">
        <v>97.1</v>
      </c>
      <c r="AG76" s="33">
        <v>64.97</v>
      </c>
      <c r="AH76" s="33">
        <v>46.26</v>
      </c>
      <c r="AI76" s="33">
        <v>111.3</v>
      </c>
      <c r="AJ76" s="33">
        <v>20.87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1162</v>
      </c>
      <c r="D77" s="50" t="s">
        <v>42</v>
      </c>
      <c r="E77" s="32" t="s">
        <v>227</v>
      </c>
      <c r="F77" s="32" t="s">
        <v>1226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3">
        <v>400.26</v>
      </c>
      <c r="AD77" s="32"/>
      <c r="AE77" s="33">
        <v>306.37</v>
      </c>
      <c r="AF77" s="33">
        <v>139.24</v>
      </c>
      <c r="AG77" s="33">
        <v>128.31</v>
      </c>
      <c r="AH77" s="33">
        <v>150.51</v>
      </c>
      <c r="AI77" s="33">
        <v>125.84</v>
      </c>
      <c r="AJ77" s="33">
        <v>183.38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1162</v>
      </c>
      <c r="D78" s="50" t="s">
        <v>42</v>
      </c>
      <c r="E78" s="32" t="s">
        <v>227</v>
      </c>
      <c r="F78" s="32" t="s">
        <v>1227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3">
        <v>29.41</v>
      </c>
      <c r="AB78" s="33">
        <v>-0.06</v>
      </c>
      <c r="AC78" s="33">
        <v>29.29</v>
      </c>
      <c r="AD78" s="33">
        <v>29.35</v>
      </c>
      <c r="AE78" s="33">
        <v>29.35</v>
      </c>
      <c r="AF78" s="33">
        <v>29.35</v>
      </c>
      <c r="AG78" s="33">
        <v>29.35</v>
      </c>
      <c r="AH78" s="33">
        <v>35.22</v>
      </c>
      <c r="AI78" s="33">
        <v>35.22</v>
      </c>
      <c r="AJ78" s="33">
        <v>35.22</v>
      </c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1162</v>
      </c>
      <c r="D79" s="50" t="s">
        <v>42</v>
      </c>
      <c r="E79" s="32" t="s">
        <v>227</v>
      </c>
      <c r="F79" s="32" t="s">
        <v>1228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3">
        <f>14.73+0.00</f>
        <v>14.73</v>
      </c>
      <c r="Z79" s="32"/>
      <c r="AA79" s="32"/>
      <c r="AB79" s="32"/>
      <c r="AC79" s="32"/>
      <c r="AD79" s="33">
        <v>54.1</v>
      </c>
      <c r="AE79" s="33">
        <v>19.7</v>
      </c>
      <c r="AF79" s="33">
        <f>-0.03+9.82+4.88</f>
        <v>14.670000000000002</v>
      </c>
      <c r="AG79" s="33">
        <v>-0.03</v>
      </c>
      <c r="AH79" s="33">
        <v>13.87</v>
      </c>
      <c r="AI79" s="33">
        <v>13.9</v>
      </c>
      <c r="AJ79" s="33">
        <v>13.9</v>
      </c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1162</v>
      </c>
      <c r="D80" s="50" t="s">
        <v>42</v>
      </c>
      <c r="E80" s="32" t="s">
        <v>227</v>
      </c>
      <c r="F80" s="32" t="s">
        <v>1229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3">
        <v>435.16</v>
      </c>
      <c r="AE80" s="33">
        <v>441.62</v>
      </c>
      <c r="AF80" s="33">
        <v>435.64</v>
      </c>
      <c r="AG80" s="33">
        <v>442.08</v>
      </c>
      <c r="AH80" s="33">
        <v>421.26</v>
      </c>
      <c r="AI80" s="33">
        <v>481.66</v>
      </c>
      <c r="AJ80" s="33">
        <v>488.89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1162</v>
      </c>
      <c r="D81" s="50" t="s">
        <v>42</v>
      </c>
      <c r="E81" s="32" t="s">
        <v>227</v>
      </c>
      <c r="F81" s="32" t="s">
        <v>1230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3">
        <v>158.23</v>
      </c>
      <c r="AE81" s="33">
        <v>160.26</v>
      </c>
      <c r="AF81" s="33">
        <v>158.23</v>
      </c>
      <c r="AG81" s="33">
        <v>160.47</v>
      </c>
      <c r="AH81" s="33">
        <v>171.89</v>
      </c>
      <c r="AI81" s="33">
        <v>174.47</v>
      </c>
      <c r="AJ81" s="33">
        <f>5.14+177.09</f>
        <v>182.23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1162</v>
      </c>
      <c r="D82" s="50" t="s">
        <v>42</v>
      </c>
      <c r="E82" s="32" t="s">
        <v>227</v>
      </c>
      <c r="F82" s="32" t="s">
        <v>1231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3">
        <v>29.41</v>
      </c>
      <c r="AB82" s="33">
        <v>-0.06</v>
      </c>
      <c r="AC82" s="33">
        <v>29.29</v>
      </c>
      <c r="AD82" s="33">
        <v>29.35</v>
      </c>
      <c r="AE82" s="33">
        <v>29.35</v>
      </c>
      <c r="AF82" s="33">
        <v>29.35</v>
      </c>
      <c r="AG82" s="33">
        <v>29.35</v>
      </c>
      <c r="AH82" s="33">
        <v>35.22</v>
      </c>
      <c r="AI82" s="33">
        <v>35.22</v>
      </c>
      <c r="AJ82" s="33">
        <v>35.22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1162</v>
      </c>
      <c r="D83" s="50" t="s">
        <v>42</v>
      </c>
      <c r="E83" s="32" t="s">
        <v>227</v>
      </c>
      <c r="F83" s="32" t="s">
        <v>1232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3">
        <v>59.38</v>
      </c>
      <c r="AD83" s="33">
        <v>32.19</v>
      </c>
      <c r="AE83" s="33">
        <v>9.06</v>
      </c>
      <c r="AF83" s="32"/>
      <c r="AG83" s="32"/>
      <c r="AH83" s="32"/>
      <c r="AI83" s="32"/>
      <c r="AJ83" s="32"/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1162</v>
      </c>
      <c r="D84" s="50" t="s">
        <v>42</v>
      </c>
      <c r="E84" s="32" t="s">
        <v>227</v>
      </c>
      <c r="F84" s="32" t="s">
        <v>1233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3">
        <v>113.67</v>
      </c>
      <c r="AD84" s="32"/>
      <c r="AE84" s="33">
        <v>127.54</v>
      </c>
      <c r="AF84" s="33">
        <v>97.89</v>
      </c>
      <c r="AG84" s="33">
        <v>27.61</v>
      </c>
      <c r="AH84" s="33">
        <v>32.63</v>
      </c>
      <c r="AI84" s="33">
        <v>32.63</v>
      </c>
      <c r="AJ84" s="33">
        <v>32.63</v>
      </c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1162</v>
      </c>
      <c r="D85" s="50" t="s">
        <v>42</v>
      </c>
      <c r="E85" s="32" t="s">
        <v>227</v>
      </c>
      <c r="F85" s="32" t="s">
        <v>1234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3">
        <v>104.53</v>
      </c>
      <c r="AB85" s="33">
        <v>-7.43</v>
      </c>
      <c r="AC85" s="33">
        <v>101.24</v>
      </c>
      <c r="AD85" s="33">
        <v>97.35</v>
      </c>
      <c r="AE85" s="33">
        <v>33.2</v>
      </c>
      <c r="AF85" s="32"/>
      <c r="AG85" s="32"/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51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40"/>
    </row>
    <row r="87" ht="13.5" customHeight="1" spans="2:39" x14ac:dyDescent="0.25">
      <c r="B87" s="20"/>
      <c r="C87" s="21"/>
      <c r="D87" s="21" t="s">
        <v>85</v>
      </c>
      <c r="E87" s="21"/>
      <c r="F87" s="21"/>
      <c r="G87" s="22">
        <f>SUM(G14:G85)</f>
      </c>
      <c r="H87" s="22">
        <f>SUM(H14:H85)</f>
      </c>
      <c r="I87" s="22">
        <f>SUM(I14:I85)</f>
      </c>
      <c r="J87" s="22">
        <f>SUM(J14:J85)</f>
      </c>
      <c r="K87" s="22">
        <f>SUM(K14:K85)</f>
      </c>
      <c r="L87" s="22">
        <f>SUM(L14:L85)</f>
      </c>
      <c r="M87" s="22">
        <f>SUM(M14:M85)</f>
      </c>
      <c r="N87" s="22">
        <f>SUM(N14:N85)</f>
      </c>
      <c r="O87" s="22">
        <f>SUM(O14:O85)</f>
      </c>
      <c r="P87" s="22">
        <f>SUM(P14:P85)</f>
      </c>
      <c r="Q87" s="22">
        <f>SUM(Q14:Q85)</f>
      </c>
      <c r="R87" s="22">
        <f>SUM(R14:R85)</f>
      </c>
      <c r="S87" s="22">
        <f>SUM(S14:S85)</f>
      </c>
      <c r="T87" s="22">
        <f>SUM(T14:T85)</f>
      </c>
      <c r="U87" s="22">
        <f>SUM(U14:U85)</f>
      </c>
      <c r="V87" s="22">
        <f>SUM(V14:V85)</f>
      </c>
      <c r="W87" s="22">
        <f>SUM(W14:W85)</f>
      </c>
      <c r="X87" s="22">
        <f>SUM(X14:X85)</f>
      </c>
      <c r="Y87" s="22">
        <f>SUM(Y14:Y85)</f>
      </c>
      <c r="Z87" s="22">
        <f>SUM(Z14:Z85)</f>
      </c>
      <c r="AA87" s="22">
        <f>SUM(AA14:AA85)</f>
      </c>
      <c r="AB87" s="22">
        <f>SUM(AB14:AB85)</f>
      </c>
      <c r="AC87" s="22">
        <f>SUM(AC14:AC85)</f>
      </c>
      <c r="AD87" s="22">
        <f>SUM(AD14:AD85)</f>
      </c>
      <c r="AE87" s="22">
        <f>SUM(AE14:AE85)</f>
      </c>
      <c r="AF87" s="22">
        <f>SUM(AF14:AF85)</f>
      </c>
      <c r="AG87" s="22">
        <f>SUM(AG14:AG85)</f>
      </c>
      <c r="AH87" s="22">
        <f>SUM(AH14:AH85)</f>
      </c>
      <c r="AI87" s="22">
        <f>SUM(AI14:AI85)</f>
      </c>
      <c r="AJ87" s="22">
        <f>SUM(AJ14:AJ85)</f>
      </c>
      <c r="AK87" s="22">
        <f>SUM(AK14:AK85)</f>
      </c>
      <c r="AL87" s="22">
        <f>SUM(AL14:AL85)</f>
      </c>
      <c r="AM87" s="23"/>
    </row>
    <row r="89" ht="13.5" customHeight="1" spans="2:39" x14ac:dyDescent="0.25">
      <c r="B89" s="46"/>
      <c r="C89" s="28"/>
      <c r="D89" s="47" t="s">
        <v>43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9"/>
    </row>
    <row r="90" ht="13.5" customHeight="1" spans="2:39" x14ac:dyDescent="0.25">
      <c r="B90" s="48" t="s">
        <v>3</v>
      </c>
      <c r="C90" s="49" t="s">
        <v>1162</v>
      </c>
      <c r="D90" s="50" t="s">
        <v>43</v>
      </c>
      <c r="E90" s="32" t="s">
        <v>1235</v>
      </c>
      <c r="F90" s="32" t="s">
        <v>1236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3">
        <f>9365.89+13464.96</f>
        <v>22830.85</v>
      </c>
      <c r="AB90" s="33">
        <f>-13031.87+13935.67</f>
        <v>903.7999999999993</v>
      </c>
      <c r="AC90" s="33">
        <f>8794.24+12805.65</f>
        <v>21599.89</v>
      </c>
      <c r="AD90" s="33">
        <f>11083.13+14977.02</f>
        <v>26060.15</v>
      </c>
      <c r="AE90" s="33">
        <f>10433.25+14565.68</f>
        <v>24998.93</v>
      </c>
      <c r="AF90" s="33">
        <f>8636.57+15941.08</f>
        <v>24577.65</v>
      </c>
      <c r="AG90" s="33">
        <f>9897.47+14386.63</f>
        <v>24284.1</v>
      </c>
      <c r="AH90" s="33">
        <f>10935.70+15550.21</f>
        <v>26485.91</v>
      </c>
      <c r="AI90" s="33">
        <f>11639.99+16315.56</f>
        <v>27955.55</v>
      </c>
      <c r="AJ90" s="33">
        <f>10172.07+14720.37</f>
        <v>24892.440000000002</v>
      </c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1162</v>
      </c>
      <c r="D91" s="50" t="s">
        <v>43</v>
      </c>
      <c r="E91" s="32" t="s">
        <v>1235</v>
      </c>
      <c r="F91" s="32" t="s">
        <v>1237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3">
        <f>95.91+44.52</f>
        <v>140.43</v>
      </c>
      <c r="AB91" s="33">
        <f>87.96+-87.96</f>
        <v>0</v>
      </c>
      <c r="AC91" s="32"/>
      <c r="AD91" s="33">
        <f>87.96+56.58+95.91+44.52</f>
        <v>284.96999999999997</v>
      </c>
      <c r="AE91" s="33">
        <f>98.52+62.95</f>
        <v>161.47</v>
      </c>
      <c r="AF91" s="33">
        <f>98.52+58.78</f>
        <v>157.3</v>
      </c>
      <c r="AG91" s="33">
        <f>98.52+58.78</f>
        <v>157.3</v>
      </c>
      <c r="AH91" s="33">
        <f>98.52+58.78</f>
        <v>157.3</v>
      </c>
      <c r="AI91" s="33">
        <f>98.52+58.78</f>
        <v>157.3</v>
      </c>
      <c r="AJ91" s="32"/>
      <c r="AK91" s="33">
        <f>98.52+58.78</f>
        <v>157.3</v>
      </c>
      <c r="AL91" s="34">
        <f>SUM(G91:AK91)</f>
      </c>
      <c r="AM91" s="35"/>
    </row>
    <row r="92" ht="13.5" customHeight="1" spans="2:39" x14ac:dyDescent="0.25">
      <c r="B92" s="51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40"/>
    </row>
    <row r="93" ht="13.5" customHeight="1" spans="2:39" x14ac:dyDescent="0.25">
      <c r="B93" s="20"/>
      <c r="C93" s="21"/>
      <c r="D93" s="21" t="s">
        <v>89</v>
      </c>
      <c r="E93" s="21"/>
      <c r="F93" s="21"/>
      <c r="G93" s="22">
        <f>SUM(G90:G91)</f>
      </c>
      <c r="H93" s="22">
        <f>SUM(H90:H91)</f>
      </c>
      <c r="I93" s="22">
        <f>SUM(I90:I91)</f>
      </c>
      <c r="J93" s="22">
        <f>SUM(J90:J91)</f>
      </c>
      <c r="K93" s="22">
        <f>SUM(K90:K91)</f>
      </c>
      <c r="L93" s="22">
        <f>SUM(L90:L91)</f>
      </c>
      <c r="M93" s="22">
        <f>SUM(M90:M91)</f>
      </c>
      <c r="N93" s="22">
        <f>SUM(N90:N91)</f>
      </c>
      <c r="O93" s="22">
        <f>SUM(O90:O91)</f>
      </c>
      <c r="P93" s="22">
        <f>SUM(P90:P91)</f>
      </c>
      <c r="Q93" s="22">
        <f>SUM(Q90:Q91)</f>
      </c>
      <c r="R93" s="22">
        <f>SUM(R90:R91)</f>
      </c>
      <c r="S93" s="22">
        <f>SUM(S90:S91)</f>
      </c>
      <c r="T93" s="22">
        <f>SUM(T90:T91)</f>
      </c>
      <c r="U93" s="22">
        <f>SUM(U90:U91)</f>
      </c>
      <c r="V93" s="22">
        <f>SUM(V90:V91)</f>
      </c>
      <c r="W93" s="22">
        <f>SUM(W90:W91)</f>
      </c>
      <c r="X93" s="22">
        <f>SUM(X90:X91)</f>
      </c>
      <c r="Y93" s="22">
        <f>SUM(Y90:Y91)</f>
      </c>
      <c r="Z93" s="22">
        <f>SUM(Z90:Z91)</f>
      </c>
      <c r="AA93" s="22">
        <f>SUM(AA90:AA91)</f>
      </c>
      <c r="AB93" s="22">
        <f>SUM(AB90:AB91)</f>
      </c>
      <c r="AC93" s="22">
        <f>SUM(AC90:AC91)</f>
      </c>
      <c r="AD93" s="22">
        <f>SUM(AD90:AD91)</f>
      </c>
      <c r="AE93" s="22">
        <f>SUM(AE90:AE91)</f>
      </c>
      <c r="AF93" s="22">
        <f>SUM(AF90:AF91)</f>
      </c>
      <c r="AG93" s="22">
        <f>SUM(AG90:AG91)</f>
      </c>
      <c r="AH93" s="22">
        <f>SUM(AH90:AH91)</f>
      </c>
      <c r="AI93" s="22">
        <f>SUM(AI90:AI91)</f>
      </c>
      <c r="AJ93" s="22">
        <f>SUM(AJ90:AJ91)</f>
      </c>
      <c r="AK93" s="22">
        <f>SUM(AK90:AK91)</f>
      </c>
      <c r="AL93" s="22">
        <f>SUM(AL90:AL91)</f>
      </c>
      <c r="AM93" s="23"/>
    </row>
    <row r="95" ht="13.5" customHeight="1" spans="2:39" x14ac:dyDescent="0.25">
      <c r="B95" s="46"/>
      <c r="C95" s="28"/>
      <c r="D95" s="47" t="s">
        <v>44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9"/>
    </row>
    <row r="96" ht="13.5" customHeight="1" spans="2:39" x14ac:dyDescent="0.25">
      <c r="B96" s="51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40"/>
    </row>
    <row r="97" ht="13.5" customHeight="1" spans="2:39" x14ac:dyDescent="0.25">
      <c r="B97" s="20"/>
      <c r="C97" s="21"/>
      <c r="D97" s="21" t="s">
        <v>90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3"/>
    </row>
    <row r="100" ht="12.75" customHeight="1" spans="2:39" x14ac:dyDescent="0.25">
      <c r="B100" s="11" t="s">
        <v>40</v>
      </c>
      <c r="C100" s="12"/>
      <c r="D100" s="12"/>
      <c r="E100" s="12"/>
      <c r="F100" s="12"/>
      <c r="G100" s="52" t="s">
        <v>7</v>
      </c>
      <c r="H100" s="52" t="s">
        <v>8</v>
      </c>
      <c r="I100" s="52" t="s">
        <v>9</v>
      </c>
      <c r="J100" s="52" t="s">
        <v>10</v>
      </c>
      <c r="K100" s="52" t="s">
        <v>11</v>
      </c>
      <c r="L100" s="52" t="s">
        <v>12</v>
      </c>
      <c r="M100" s="52" t="s">
        <v>13</v>
      </c>
      <c r="N100" s="52" t="s">
        <v>14</v>
      </c>
      <c r="O100" s="52" t="s">
        <v>15</v>
      </c>
      <c r="P100" s="52" t="s">
        <v>16</v>
      </c>
      <c r="Q100" s="52" t="s">
        <v>17</v>
      </c>
      <c r="R100" s="52" t="s">
        <v>18</v>
      </c>
      <c r="S100" s="52" t="s">
        <v>19</v>
      </c>
      <c r="T100" s="52" t="s">
        <v>20</v>
      </c>
      <c r="U100" s="52" t="s">
        <v>21</v>
      </c>
      <c r="V100" s="52" t="s">
        <v>22</v>
      </c>
      <c r="W100" s="52" t="s">
        <v>23</v>
      </c>
      <c r="X100" s="52" t="s">
        <v>24</v>
      </c>
      <c r="Y100" s="52" t="s">
        <v>25</v>
      </c>
      <c r="Z100" s="52" t="s">
        <v>26</v>
      </c>
      <c r="AA100" s="52" t="s">
        <v>27</v>
      </c>
      <c r="AB100" s="52" t="s">
        <v>28</v>
      </c>
      <c r="AC100" s="52" t="s">
        <v>29</v>
      </c>
      <c r="AD100" s="52" t="s">
        <v>30</v>
      </c>
      <c r="AE100" s="52" t="s">
        <v>31</v>
      </c>
      <c r="AF100" s="52" t="s">
        <v>32</v>
      </c>
      <c r="AG100" s="52" t="s">
        <v>33</v>
      </c>
      <c r="AH100" s="52" t="s">
        <v>34</v>
      </c>
      <c r="AI100" s="52" t="s">
        <v>35</v>
      </c>
      <c r="AJ100" s="52" t="s">
        <v>36</v>
      </c>
      <c r="AK100" s="52" t="s">
        <v>37</v>
      </c>
      <c r="AL100" s="52" t="s">
        <v>38</v>
      </c>
      <c r="AM100" s="15"/>
    </row>
    <row r="101" ht="12.75" customHeight="1" spans="2:39" x14ac:dyDescent="0.25">
      <c r="B101" s="16"/>
      <c r="C101" s="17"/>
      <c r="D101" s="17" t="s">
        <v>41</v>
      </c>
      <c r="E101" s="17"/>
      <c r="F101" s="17"/>
      <c r="G101" s="18">
        <f>G11</f>
      </c>
      <c r="H101" s="18">
        <f>H11</f>
      </c>
      <c r="I101" s="18">
        <f>I11</f>
      </c>
      <c r="J101" s="18">
        <f>J11</f>
      </c>
      <c r="K101" s="18">
        <f>K11</f>
      </c>
      <c r="L101" s="18">
        <f>L11</f>
      </c>
      <c r="M101" s="18">
        <f>M11</f>
      </c>
      <c r="N101" s="18">
        <f>N11</f>
      </c>
      <c r="O101" s="18">
        <f>O11</f>
      </c>
      <c r="P101" s="18">
        <f>P11</f>
      </c>
      <c r="Q101" s="18">
        <f>Q11</f>
      </c>
      <c r="R101" s="18">
        <f>R11</f>
      </c>
      <c r="S101" s="18">
        <f>S11</f>
      </c>
      <c r="T101" s="18">
        <f>T11</f>
      </c>
      <c r="U101" s="18">
        <f>U11</f>
      </c>
      <c r="V101" s="18">
        <f>V11</f>
      </c>
      <c r="W101" s="18">
        <f>W11</f>
      </c>
      <c r="X101" s="18">
        <f>X11</f>
      </c>
      <c r="Y101" s="18">
        <f>Y11</f>
      </c>
      <c r="Z101" s="18">
        <f>Z11</f>
      </c>
      <c r="AA101" s="18">
        <f>AA11</f>
      </c>
      <c r="AB101" s="18">
        <f>AB11</f>
      </c>
      <c r="AC101" s="18">
        <f>AC11</f>
      </c>
      <c r="AD101" s="18">
        <f>AD11</f>
      </c>
      <c r="AE101" s="18">
        <f>AE11</f>
      </c>
      <c r="AF101" s="18">
        <f>AF11</f>
      </c>
      <c r="AG101" s="18">
        <f>AG11</f>
      </c>
      <c r="AH101" s="18">
        <f>AH11</f>
      </c>
      <c r="AI101" s="18">
        <f>AI11</f>
      </c>
      <c r="AJ101" s="18">
        <f>AJ11</f>
      </c>
      <c r="AK101" s="18">
        <f>AK11</f>
      </c>
      <c r="AL101" s="18">
        <f>AL11</f>
      </c>
      <c r="AM101" s="19"/>
    </row>
    <row r="102" ht="12.75" customHeight="1" spans="2:39" x14ac:dyDescent="0.25">
      <c r="B102" s="16"/>
      <c r="C102" s="17"/>
      <c r="D102" s="17" t="s">
        <v>42</v>
      </c>
      <c r="E102" s="17"/>
      <c r="F102" s="17"/>
      <c r="G102" s="18">
        <f>G87</f>
      </c>
      <c r="H102" s="18">
        <f>H87</f>
      </c>
      <c r="I102" s="18">
        <f>I87</f>
      </c>
      <c r="J102" s="18">
        <f>J87</f>
      </c>
      <c r="K102" s="18">
        <f>K87</f>
      </c>
      <c r="L102" s="18">
        <f>L87</f>
      </c>
      <c r="M102" s="18">
        <f>M87</f>
      </c>
      <c r="N102" s="18">
        <f>N87</f>
      </c>
      <c r="O102" s="18">
        <f>O87</f>
      </c>
      <c r="P102" s="18">
        <f>P87</f>
      </c>
      <c r="Q102" s="18">
        <f>Q87</f>
      </c>
      <c r="R102" s="18">
        <f>R87</f>
      </c>
      <c r="S102" s="18">
        <f>S87</f>
      </c>
      <c r="T102" s="18">
        <f>T87</f>
      </c>
      <c r="U102" s="18">
        <f>U87</f>
      </c>
      <c r="V102" s="18">
        <f>V87</f>
      </c>
      <c r="W102" s="18">
        <f>W87</f>
      </c>
      <c r="X102" s="18">
        <f>X87</f>
      </c>
      <c r="Y102" s="18">
        <f>Y87</f>
      </c>
      <c r="Z102" s="18">
        <f>Z87</f>
      </c>
      <c r="AA102" s="18">
        <f>AA87</f>
      </c>
      <c r="AB102" s="18">
        <f>AB87</f>
      </c>
      <c r="AC102" s="18">
        <f>AC87</f>
      </c>
      <c r="AD102" s="18">
        <f>AD87</f>
      </c>
      <c r="AE102" s="18">
        <f>AE87</f>
      </c>
      <c r="AF102" s="18">
        <f>AF87</f>
      </c>
      <c r="AG102" s="18">
        <f>AG87</f>
      </c>
      <c r="AH102" s="18">
        <f>AH87</f>
      </c>
      <c r="AI102" s="18">
        <f>AI87</f>
      </c>
      <c r="AJ102" s="18">
        <f>AJ87</f>
      </c>
      <c r="AK102" s="18">
        <f>AK87</f>
      </c>
      <c r="AL102" s="18">
        <f>AL87</f>
      </c>
      <c r="AM102" s="19"/>
    </row>
    <row r="103" ht="12.75" customHeight="1" spans="2:39" x14ac:dyDescent="0.25">
      <c r="B103" s="16"/>
      <c r="C103" s="17"/>
      <c r="D103" s="17" t="s">
        <v>43</v>
      </c>
      <c r="E103" s="17"/>
      <c r="F103" s="17"/>
      <c r="G103" s="18">
        <f>G93</f>
      </c>
      <c r="H103" s="18">
        <f>H93</f>
      </c>
      <c r="I103" s="18">
        <f>I93</f>
      </c>
      <c r="J103" s="18">
        <f>J93</f>
      </c>
      <c r="K103" s="18">
        <f>K93</f>
      </c>
      <c r="L103" s="18">
        <f>L93</f>
      </c>
      <c r="M103" s="18">
        <f>M93</f>
      </c>
      <c r="N103" s="18">
        <f>N93</f>
      </c>
      <c r="O103" s="18">
        <f>O93</f>
      </c>
      <c r="P103" s="18">
        <f>P93</f>
      </c>
      <c r="Q103" s="18">
        <f>Q93</f>
      </c>
      <c r="R103" s="18">
        <f>R93</f>
      </c>
      <c r="S103" s="18">
        <f>S93</f>
      </c>
      <c r="T103" s="18">
        <f>T93</f>
      </c>
      <c r="U103" s="18">
        <f>U93</f>
      </c>
      <c r="V103" s="18">
        <f>V93</f>
      </c>
      <c r="W103" s="18">
        <f>W93</f>
      </c>
      <c r="X103" s="18">
        <f>X93</f>
      </c>
      <c r="Y103" s="18">
        <f>Y93</f>
      </c>
      <c r="Z103" s="18">
        <f>Z93</f>
      </c>
      <c r="AA103" s="18">
        <f>AA93</f>
      </c>
      <c r="AB103" s="18">
        <f>AB93</f>
      </c>
      <c r="AC103" s="18">
        <f>AC93</f>
      </c>
      <c r="AD103" s="18">
        <f>AD93</f>
      </c>
      <c r="AE103" s="18">
        <f>AE93</f>
      </c>
      <c r="AF103" s="18">
        <f>AF93</f>
      </c>
      <c r="AG103" s="18">
        <f>AG93</f>
      </c>
      <c r="AH103" s="18">
        <f>AH93</f>
      </c>
      <c r="AI103" s="18">
        <f>AI93</f>
      </c>
      <c r="AJ103" s="18">
        <f>AJ93</f>
      </c>
      <c r="AK103" s="18">
        <f>AK93</f>
      </c>
      <c r="AL103" s="18">
        <f>AL93</f>
      </c>
      <c r="AM103" s="19"/>
    </row>
    <row r="104" ht="12.75" customHeight="1" spans="2:39" x14ac:dyDescent="0.25">
      <c r="B104" s="16"/>
      <c r="C104" s="17"/>
      <c r="D104" s="17" t="s">
        <v>44</v>
      </c>
      <c r="E104" s="17"/>
      <c r="F104" s="17"/>
      <c r="G104" s="18">
        <f>G97</f>
      </c>
      <c r="H104" s="18">
        <f>H97</f>
      </c>
      <c r="I104" s="18">
        <f>I97</f>
      </c>
      <c r="J104" s="18">
        <f>J97</f>
      </c>
      <c r="K104" s="18">
        <f>K97</f>
      </c>
      <c r="L104" s="18">
        <f>L97</f>
      </c>
      <c r="M104" s="18">
        <f>M97</f>
      </c>
      <c r="N104" s="18">
        <f>N97</f>
      </c>
      <c r="O104" s="18">
        <f>O97</f>
      </c>
      <c r="P104" s="18">
        <f>P97</f>
      </c>
      <c r="Q104" s="18">
        <f>Q97</f>
      </c>
      <c r="R104" s="18">
        <f>R97</f>
      </c>
      <c r="S104" s="18">
        <f>S97</f>
      </c>
      <c r="T104" s="18">
        <f>T97</f>
      </c>
      <c r="U104" s="18">
        <f>U97</f>
      </c>
      <c r="V104" s="18">
        <f>V97</f>
      </c>
      <c r="W104" s="18">
        <f>W97</f>
      </c>
      <c r="X104" s="18">
        <f>X97</f>
      </c>
      <c r="Y104" s="18">
        <f>Y97</f>
      </c>
      <c r="Z104" s="18">
        <f>Z97</f>
      </c>
      <c r="AA104" s="18">
        <f>AA97</f>
      </c>
      <c r="AB104" s="18">
        <f>AB97</f>
      </c>
      <c r="AC104" s="18">
        <f>AC97</f>
      </c>
      <c r="AD104" s="18">
        <f>AD97</f>
      </c>
      <c r="AE104" s="18">
        <f>AE97</f>
      </c>
      <c r="AF104" s="18">
        <f>AF97</f>
      </c>
      <c r="AG104" s="18">
        <f>AG97</f>
      </c>
      <c r="AH104" s="18">
        <f>AH97</f>
      </c>
      <c r="AI104" s="18">
        <f>AI97</f>
      </c>
      <c r="AJ104" s="18">
        <f>AJ97</f>
      </c>
      <c r="AK104" s="18">
        <f>AK97</f>
      </c>
      <c r="AL104" s="18">
        <f>AL97</f>
      </c>
      <c r="AM104" s="19"/>
    </row>
    <row r="105" ht="12.75" customHeight="1" spans="2:39" x14ac:dyDescent="0.25">
      <c r="B105" s="20"/>
      <c r="C105" s="21"/>
      <c r="D105" s="21" t="s">
        <v>45</v>
      </c>
      <c r="E105" s="21"/>
      <c r="F105" s="21"/>
      <c r="G105" s="22">
        <f>G101+G102+G103+G104</f>
      </c>
      <c r="H105" s="22">
        <f>H101+H102+H103+H104</f>
      </c>
      <c r="I105" s="22">
        <f>I101+I102+I103+I104</f>
      </c>
      <c r="J105" s="22">
        <f>J101+J102+J103+J104</f>
      </c>
      <c r="K105" s="22">
        <f>K101+K102+K103+K104</f>
      </c>
      <c r="L105" s="22">
        <f>L101+L102+L103+L104</f>
      </c>
      <c r="M105" s="22">
        <f>M101+M102+M103+M104</f>
      </c>
      <c r="N105" s="22">
        <f>N101+N102+N103+N104</f>
      </c>
      <c r="O105" s="22">
        <f>O101+O102+O103+O104</f>
      </c>
      <c r="P105" s="22">
        <f>P101+P102+P103+P104</f>
      </c>
      <c r="Q105" s="22">
        <f>Q101+Q102+Q103+Q104</f>
      </c>
      <c r="R105" s="22">
        <f>R101+R102+R103+R104</f>
      </c>
      <c r="S105" s="22">
        <f>S101+S102+S103+S104</f>
      </c>
      <c r="T105" s="22">
        <f>T101+T102+T103+T104</f>
      </c>
      <c r="U105" s="22">
        <f>U101+U102+U103+U104</f>
      </c>
      <c r="V105" s="22">
        <f>V101+V102+V103+V104</f>
      </c>
      <c r="W105" s="22">
        <f>W101+W102+W103+W104</f>
      </c>
      <c r="X105" s="22">
        <f>X101+X102+X103+X104</f>
      </c>
      <c r="Y105" s="22">
        <f>Y101+Y102+Y103+Y104</f>
      </c>
      <c r="Z105" s="22">
        <f>Z101+Z102+Z103+Z104</f>
      </c>
      <c r="AA105" s="22">
        <f>AA101+AA102+AA103+AA104</f>
      </c>
      <c r="AB105" s="22">
        <f>AB101+AB102+AB103+AB104</f>
      </c>
      <c r="AC105" s="22">
        <f>AC101+AC102+AC103+AC104</f>
      </c>
      <c r="AD105" s="22">
        <f>AD101+AD102+AD103+AD104</f>
      </c>
      <c r="AE105" s="22">
        <f>AE101+AE102+AE103+AE104</f>
      </c>
      <c r="AF105" s="22">
        <f>AF101+AF102+AF103+AF104</f>
      </c>
      <c r="AG105" s="22">
        <f>AG101+AG102+AG103+AG104</f>
      </c>
      <c r="AH105" s="22">
        <f>AH101+AH102+AH103+AH104</f>
      </c>
      <c r="AI105" s="22">
        <f>AI101+AI102+AI103+AI104</f>
      </c>
      <c r="AJ105" s="22">
        <f>AJ101+AJ102+AJ103+AJ104</f>
      </c>
      <c r="AK105" s="22">
        <f>AK101+AK102+AK103+AK104</f>
      </c>
      <c r="AL105" s="22">
        <f>AL101+AL102+AL103+AL104</f>
      </c>
      <c r="AM105" s="23"/>
    </row>
    <row r="107" ht="12.75" customHeight="1" spans="2:39" x14ac:dyDescent="0.25">
      <c r="B107" s="11" t="s">
        <v>46</v>
      </c>
      <c r="C107" s="12"/>
      <c r="D107" s="12"/>
      <c r="E107" s="12"/>
      <c r="F107" s="12"/>
      <c r="G107" s="52" t="s">
        <v>7</v>
      </c>
      <c r="H107" s="52" t="s">
        <v>8</v>
      </c>
      <c r="I107" s="52" t="s">
        <v>9</v>
      </c>
      <c r="J107" s="52" t="s">
        <v>10</v>
      </c>
      <c r="K107" s="52" t="s">
        <v>11</v>
      </c>
      <c r="L107" s="52" t="s">
        <v>12</v>
      </c>
      <c r="M107" s="52" t="s">
        <v>13</v>
      </c>
      <c r="N107" s="52" t="s">
        <v>14</v>
      </c>
      <c r="O107" s="52" t="s">
        <v>15</v>
      </c>
      <c r="P107" s="52" t="s">
        <v>16</v>
      </c>
      <c r="Q107" s="52" t="s">
        <v>17</v>
      </c>
      <c r="R107" s="52" t="s">
        <v>18</v>
      </c>
      <c r="S107" s="52" t="s">
        <v>19</v>
      </c>
      <c r="T107" s="52" t="s">
        <v>20</v>
      </c>
      <c r="U107" s="52" t="s">
        <v>21</v>
      </c>
      <c r="V107" s="52" t="s">
        <v>22</v>
      </c>
      <c r="W107" s="52" t="s">
        <v>23</v>
      </c>
      <c r="X107" s="52" t="s">
        <v>24</v>
      </c>
      <c r="Y107" s="52" t="s">
        <v>25</v>
      </c>
      <c r="Z107" s="52" t="s">
        <v>26</v>
      </c>
      <c r="AA107" s="52" t="s">
        <v>27</v>
      </c>
      <c r="AB107" s="52" t="s">
        <v>28</v>
      </c>
      <c r="AC107" s="52" t="s">
        <v>29</v>
      </c>
      <c r="AD107" s="52" t="s">
        <v>30</v>
      </c>
      <c r="AE107" s="52" t="s">
        <v>31</v>
      </c>
      <c r="AF107" s="52" t="s">
        <v>32</v>
      </c>
      <c r="AG107" s="52" t="s">
        <v>33</v>
      </c>
      <c r="AH107" s="52" t="s">
        <v>34</v>
      </c>
      <c r="AI107" s="52" t="s">
        <v>35</v>
      </c>
      <c r="AJ107" s="52" t="s">
        <v>36</v>
      </c>
      <c r="AK107" s="52" t="s">
        <v>37</v>
      </c>
      <c r="AL107" s="52" t="s">
        <v>38</v>
      </c>
      <c r="AM107" s="15"/>
    </row>
    <row r="108" ht="12.75" customHeight="1" spans="2:39" x14ac:dyDescent="0.25">
      <c r="B108" s="16"/>
      <c r="C108" s="17"/>
      <c r="D108" s="17" t="s">
        <v>41</v>
      </c>
      <c r="E108" s="17"/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9"/>
    </row>
    <row r="109" ht="12.75" customHeight="1" spans="2:39" x14ac:dyDescent="0.25">
      <c r="B109" s="16"/>
      <c r="C109" s="17"/>
      <c r="D109" s="17" t="s">
        <v>42</v>
      </c>
      <c r="E109" s="17"/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9"/>
    </row>
    <row r="110" ht="12.75" customHeight="1" spans="2:39" x14ac:dyDescent="0.25">
      <c r="B110" s="16"/>
      <c r="C110" s="17"/>
      <c r="D110" s="17" t="s">
        <v>43</v>
      </c>
      <c r="E110" s="17"/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9"/>
    </row>
    <row r="111" ht="12.75" customHeight="1" spans="2:39" x14ac:dyDescent="0.25">
      <c r="B111" s="16"/>
      <c r="C111" s="17"/>
      <c r="D111" s="17" t="s">
        <v>44</v>
      </c>
      <c r="E111" s="17"/>
      <c r="F111" s="1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9"/>
    </row>
    <row r="112" ht="12.75" customHeight="1" spans="2:39" x14ac:dyDescent="0.25">
      <c r="B112" s="20"/>
      <c r="C112" s="21"/>
      <c r="D112" s="21" t="s">
        <v>45</v>
      </c>
      <c r="E112" s="21"/>
      <c r="F112" s="21"/>
      <c r="G112" s="22">
        <f>G108+G109+G110+G111</f>
      </c>
      <c r="H112" s="22">
        <f>H108+H109+H110+H111</f>
      </c>
      <c r="I112" s="22">
        <f>I108+I109+I110+I111</f>
      </c>
      <c r="J112" s="22">
        <f>J108+J109+J110+J111</f>
      </c>
      <c r="K112" s="22">
        <f>K108+K109+K110+K111</f>
      </c>
      <c r="L112" s="22">
        <f>L108+L109+L110+L111</f>
      </c>
      <c r="M112" s="22">
        <f>M108+M109+M110+M111</f>
      </c>
      <c r="N112" s="22">
        <f>N108+N109+N110+N111</f>
      </c>
      <c r="O112" s="22">
        <f>O108+O109+O110+O111</f>
      </c>
      <c r="P112" s="22">
        <f>P108+P109+P110+P111</f>
      </c>
      <c r="Q112" s="22">
        <f>Q108+Q109+Q110+Q111</f>
      </c>
      <c r="R112" s="22">
        <f>R108+R109+R110+R111</f>
      </c>
      <c r="S112" s="22">
        <f>S108+S109+S110+S111</f>
      </c>
      <c r="T112" s="22">
        <f>T108+T109+T110+T111</f>
      </c>
      <c r="U112" s="22">
        <f>U108+U109+U110+U111</f>
      </c>
      <c r="V112" s="22">
        <f>V108+V109+V110+V111</f>
      </c>
      <c r="W112" s="22">
        <f>W108+W109+W110+W111</f>
      </c>
      <c r="X112" s="22">
        <f>X108+X109+X110+X111</f>
      </c>
      <c r="Y112" s="22">
        <f>Y108+Y109+Y110+Y111</f>
      </c>
      <c r="Z112" s="22">
        <f>Z108+Z109+Z110+Z111</f>
      </c>
      <c r="AA112" s="22">
        <f>AA108+AA109+AA110+AA111</f>
      </c>
      <c r="AB112" s="22">
        <f>AB108+AB109+AB110+AB111</f>
      </c>
      <c r="AC112" s="22">
        <f>AC108+AC109+AC110+AC111</f>
      </c>
      <c r="AD112" s="22">
        <f>AD108+AD109+AD110+AD111</f>
      </c>
      <c r="AE112" s="22">
        <f>AE108+AE109+AE110+AE111</f>
      </c>
      <c r="AF112" s="22">
        <f>AF108+AF109+AF110+AF111</f>
      </c>
      <c r="AG112" s="22">
        <f>AG108+AG109+AG110+AG111</f>
      </c>
      <c r="AH112" s="22">
        <f>AH108+AH109+AH110+AH111</f>
      </c>
      <c r="AI112" s="22">
        <f>AI108+AI109+AI110+AI111</f>
      </c>
      <c r="AJ112" s="22">
        <f>AJ108+AJ109+AJ110+AJ111</f>
      </c>
      <c r="AK112" s="22">
        <f>AK108+AK109+AK110+AK111</f>
      </c>
      <c r="AL112" s="22">
        <f>AL108+AL109+AL110+AL111</f>
      </c>
      <c r="AM112" s="23"/>
    </row>
    <row r="114" ht="12.75" customHeight="1" spans="2:39" x14ac:dyDescent="0.25">
      <c r="B114" s="11" t="s">
        <v>47</v>
      </c>
      <c r="C114" s="12"/>
      <c r="D114" s="12"/>
      <c r="E114" s="12"/>
      <c r="F114" s="12"/>
      <c r="G114" s="52" t="s">
        <v>7</v>
      </c>
      <c r="H114" s="52" t="s">
        <v>8</v>
      </c>
      <c r="I114" s="52" t="s">
        <v>9</v>
      </c>
      <c r="J114" s="52" t="s">
        <v>10</v>
      </c>
      <c r="K114" s="52" t="s">
        <v>11</v>
      </c>
      <c r="L114" s="52" t="s">
        <v>12</v>
      </c>
      <c r="M114" s="52" t="s">
        <v>13</v>
      </c>
      <c r="N114" s="52" t="s">
        <v>14</v>
      </c>
      <c r="O114" s="52" t="s">
        <v>15</v>
      </c>
      <c r="P114" s="52" t="s">
        <v>16</v>
      </c>
      <c r="Q114" s="52" t="s">
        <v>17</v>
      </c>
      <c r="R114" s="52" t="s">
        <v>18</v>
      </c>
      <c r="S114" s="52" t="s">
        <v>19</v>
      </c>
      <c r="T114" s="52" t="s">
        <v>20</v>
      </c>
      <c r="U114" s="52" t="s">
        <v>21</v>
      </c>
      <c r="V114" s="52" t="s">
        <v>22</v>
      </c>
      <c r="W114" s="52" t="s">
        <v>23</v>
      </c>
      <c r="X114" s="52" t="s">
        <v>24</v>
      </c>
      <c r="Y114" s="52" t="s">
        <v>25</v>
      </c>
      <c r="Z114" s="52" t="s">
        <v>26</v>
      </c>
      <c r="AA114" s="52" t="s">
        <v>27</v>
      </c>
      <c r="AB114" s="52" t="s">
        <v>28</v>
      </c>
      <c r="AC114" s="52" t="s">
        <v>29</v>
      </c>
      <c r="AD114" s="52" t="s">
        <v>30</v>
      </c>
      <c r="AE114" s="52" t="s">
        <v>31</v>
      </c>
      <c r="AF114" s="52" t="s">
        <v>32</v>
      </c>
      <c r="AG114" s="52" t="s">
        <v>33</v>
      </c>
      <c r="AH114" s="52" t="s">
        <v>34</v>
      </c>
      <c r="AI114" s="52" t="s">
        <v>35</v>
      </c>
      <c r="AJ114" s="52" t="s">
        <v>36</v>
      </c>
      <c r="AK114" s="52" t="s">
        <v>37</v>
      </c>
      <c r="AL114" s="52" t="s">
        <v>38</v>
      </c>
      <c r="AM114" s="15"/>
    </row>
    <row r="115" ht="12.75" customHeight="1" spans="2:39" x14ac:dyDescent="0.25">
      <c r="B115" s="16"/>
      <c r="C115" s="17"/>
      <c r="D115" s="17" t="s">
        <v>41</v>
      </c>
      <c r="E115" s="17"/>
      <c r="F115" s="17"/>
      <c r="G115" s="24">
        <f>G108-G101</f>
      </c>
      <c r="H115" s="24">
        <f>H108-H101</f>
      </c>
      <c r="I115" s="24">
        <f>I108-I101</f>
      </c>
      <c r="J115" s="24">
        <f>J108-J101</f>
      </c>
      <c r="K115" s="24">
        <f>K108-K101</f>
      </c>
      <c r="L115" s="24">
        <f>L108-L101</f>
      </c>
      <c r="M115" s="24">
        <f>M108-M101</f>
      </c>
      <c r="N115" s="24">
        <f>N108-N101</f>
      </c>
      <c r="O115" s="24">
        <f>O108-O101</f>
      </c>
      <c r="P115" s="24">
        <f>P108-P101</f>
      </c>
      <c r="Q115" s="24">
        <f>Q108-Q101</f>
      </c>
      <c r="R115" s="24">
        <f>R108-R101</f>
      </c>
      <c r="S115" s="24">
        <f>S108-S101</f>
      </c>
      <c r="T115" s="24">
        <f>T108-T101</f>
      </c>
      <c r="U115" s="24">
        <f>U108-U101</f>
      </c>
      <c r="V115" s="24">
        <f>V108-V101</f>
      </c>
      <c r="W115" s="24">
        <f>W108-W101</f>
      </c>
      <c r="X115" s="24">
        <f>X108-X101</f>
      </c>
      <c r="Y115" s="24">
        <f>Y108-Y101</f>
      </c>
      <c r="Z115" s="24">
        <f>Z108-Z101</f>
      </c>
      <c r="AA115" s="24">
        <f>AA108-AA101</f>
      </c>
      <c r="AB115" s="24">
        <f>AB108-AB101</f>
      </c>
      <c r="AC115" s="24">
        <f>AC108-AC101</f>
      </c>
      <c r="AD115" s="24">
        <f>AD108-AD101</f>
      </c>
      <c r="AE115" s="24">
        <f>AE108-AE101</f>
      </c>
      <c r="AF115" s="24">
        <f>AF108-AF101</f>
      </c>
      <c r="AG115" s="24">
        <f>AG108-AG101</f>
      </c>
      <c r="AH115" s="24">
        <f>AH108-AH101</f>
      </c>
      <c r="AI115" s="24">
        <f>AI108-AI101</f>
      </c>
      <c r="AJ115" s="24">
        <f>AJ108-AJ101</f>
      </c>
      <c r="AK115" s="24">
        <f>AK108-AK101</f>
      </c>
      <c r="AL115" s="24">
        <f>AL108-AL101</f>
      </c>
      <c r="AM115" s="19"/>
    </row>
    <row r="116" ht="12.75" customHeight="1" spans="2:39" x14ac:dyDescent="0.25">
      <c r="B116" s="16"/>
      <c r="C116" s="17"/>
      <c r="D116" s="17" t="s">
        <v>42</v>
      </c>
      <c r="E116" s="17"/>
      <c r="F116" s="17"/>
      <c r="G116" s="24">
        <f>G109-G102</f>
      </c>
      <c r="H116" s="24">
        <f>H109-H102</f>
      </c>
      <c r="I116" s="24">
        <f>I109-I102</f>
      </c>
      <c r="J116" s="24">
        <f>J109-J102</f>
      </c>
      <c r="K116" s="24">
        <f>K109-K102</f>
      </c>
      <c r="L116" s="24">
        <f>L109-L102</f>
      </c>
      <c r="M116" s="24">
        <f>M109-M102</f>
      </c>
      <c r="N116" s="24">
        <f>N109-N102</f>
      </c>
      <c r="O116" s="24">
        <f>O109-O102</f>
      </c>
      <c r="P116" s="24">
        <f>P109-P102</f>
      </c>
      <c r="Q116" s="24">
        <f>Q109-Q102</f>
      </c>
      <c r="R116" s="24">
        <f>R109-R102</f>
      </c>
      <c r="S116" s="24">
        <f>S109-S102</f>
      </c>
      <c r="T116" s="24">
        <f>T109-T102</f>
      </c>
      <c r="U116" s="24">
        <f>U109-U102</f>
      </c>
      <c r="V116" s="24">
        <f>V109-V102</f>
      </c>
      <c r="W116" s="24">
        <f>W109-W102</f>
      </c>
      <c r="X116" s="24">
        <f>X109-X102</f>
      </c>
      <c r="Y116" s="24">
        <f>Y109-Y102</f>
      </c>
      <c r="Z116" s="24">
        <f>Z109-Z102</f>
      </c>
      <c r="AA116" s="24">
        <f>AA109-AA102</f>
      </c>
      <c r="AB116" s="24">
        <f>AB109-AB102</f>
      </c>
      <c r="AC116" s="24">
        <f>AC109-AC102</f>
      </c>
      <c r="AD116" s="24">
        <f>AD109-AD102</f>
      </c>
      <c r="AE116" s="24">
        <f>AE109-AE102</f>
      </c>
      <c r="AF116" s="24">
        <f>AF109-AF102</f>
      </c>
      <c r="AG116" s="24">
        <f>AG109-AG102</f>
      </c>
      <c r="AH116" s="24">
        <f>AH109-AH102</f>
      </c>
      <c r="AI116" s="24">
        <f>AI109-AI102</f>
      </c>
      <c r="AJ116" s="24">
        <f>AJ109-AJ102</f>
      </c>
      <c r="AK116" s="24">
        <f>AK109-AK102</f>
      </c>
      <c r="AL116" s="24">
        <f>AL109-AL102</f>
      </c>
      <c r="AM116" s="19"/>
    </row>
    <row r="117" ht="12.75" customHeight="1" spans="2:39" x14ac:dyDescent="0.25">
      <c r="B117" s="16"/>
      <c r="C117" s="17"/>
      <c r="D117" s="17" t="s">
        <v>43</v>
      </c>
      <c r="E117" s="17"/>
      <c r="F117" s="17"/>
      <c r="G117" s="24">
        <f>G110-G103</f>
      </c>
      <c r="H117" s="24">
        <f>H110-H103</f>
      </c>
      <c r="I117" s="24">
        <f>I110-I103</f>
      </c>
      <c r="J117" s="24">
        <f>J110-J103</f>
      </c>
      <c r="K117" s="24">
        <f>K110-K103</f>
      </c>
      <c r="L117" s="24">
        <f>L110-L103</f>
      </c>
      <c r="M117" s="24">
        <f>M110-M103</f>
      </c>
      <c r="N117" s="24">
        <f>N110-N103</f>
      </c>
      <c r="O117" s="24">
        <f>O110-O103</f>
      </c>
      <c r="P117" s="24">
        <f>P110-P103</f>
      </c>
      <c r="Q117" s="24">
        <f>Q110-Q103</f>
      </c>
      <c r="R117" s="24">
        <f>R110-R103</f>
      </c>
      <c r="S117" s="24">
        <f>S110-S103</f>
      </c>
      <c r="T117" s="24">
        <f>T110-T103</f>
      </c>
      <c r="U117" s="24">
        <f>U110-U103</f>
      </c>
      <c r="V117" s="24">
        <f>V110-V103</f>
      </c>
      <c r="W117" s="24">
        <f>W110-W103</f>
      </c>
      <c r="X117" s="24">
        <f>X110-X103</f>
      </c>
      <c r="Y117" s="24">
        <f>Y110-Y103</f>
      </c>
      <c r="Z117" s="24">
        <f>Z110-Z103</f>
      </c>
      <c r="AA117" s="24">
        <f>AA110-AA103</f>
      </c>
      <c r="AB117" s="24">
        <f>AB110-AB103</f>
      </c>
      <c r="AC117" s="24">
        <f>AC110-AC103</f>
      </c>
      <c r="AD117" s="24">
        <f>AD110-AD103</f>
      </c>
      <c r="AE117" s="24">
        <f>AE110-AE103</f>
      </c>
      <c r="AF117" s="24">
        <f>AF110-AF103</f>
      </c>
      <c r="AG117" s="24">
        <f>AG110-AG103</f>
      </c>
      <c r="AH117" s="24">
        <f>AH110-AH103</f>
      </c>
      <c r="AI117" s="24">
        <f>AI110-AI103</f>
      </c>
      <c r="AJ117" s="24">
        <f>AJ110-AJ103</f>
      </c>
      <c r="AK117" s="24">
        <f>AK110-AK103</f>
      </c>
      <c r="AL117" s="24">
        <f>AL110-AL103</f>
      </c>
      <c r="AM117" s="19"/>
    </row>
    <row r="118" ht="12.75" customHeight="1" spans="2:39" x14ac:dyDescent="0.25">
      <c r="B118" s="16"/>
      <c r="C118" s="17"/>
      <c r="D118" s="17" t="s">
        <v>44</v>
      </c>
      <c r="E118" s="17"/>
      <c r="F118" s="17"/>
      <c r="G118" s="24">
        <f>G111-G104</f>
      </c>
      <c r="H118" s="24">
        <f>H111-H104</f>
      </c>
      <c r="I118" s="24">
        <f>I111-I104</f>
      </c>
      <c r="J118" s="24">
        <f>J111-J104</f>
      </c>
      <c r="K118" s="24">
        <f>K111-K104</f>
      </c>
      <c r="L118" s="24">
        <f>L111-L104</f>
      </c>
      <c r="M118" s="24">
        <f>M111-M104</f>
      </c>
      <c r="N118" s="24">
        <f>N111-N104</f>
      </c>
      <c r="O118" s="24">
        <f>O111-O104</f>
      </c>
      <c r="P118" s="24">
        <f>P111-P104</f>
      </c>
      <c r="Q118" s="24">
        <f>Q111-Q104</f>
      </c>
      <c r="R118" s="24">
        <f>R111-R104</f>
      </c>
      <c r="S118" s="24">
        <f>S111-S104</f>
      </c>
      <c r="T118" s="24">
        <f>T111-T104</f>
      </c>
      <c r="U118" s="24">
        <f>U111-U104</f>
      </c>
      <c r="V118" s="24">
        <f>V111-V104</f>
      </c>
      <c r="W118" s="24">
        <f>W111-W104</f>
      </c>
      <c r="X118" s="24">
        <f>X111-X104</f>
      </c>
      <c r="Y118" s="24">
        <f>Y111-Y104</f>
      </c>
      <c r="Z118" s="24">
        <f>Z111-Z104</f>
      </c>
      <c r="AA118" s="24">
        <f>AA111-AA104</f>
      </c>
      <c r="AB118" s="24">
        <f>AB111-AB104</f>
      </c>
      <c r="AC118" s="24">
        <f>AC111-AC104</f>
      </c>
      <c r="AD118" s="24">
        <f>AD111-AD104</f>
      </c>
      <c r="AE118" s="24">
        <f>AE111-AE104</f>
      </c>
      <c r="AF118" s="24">
        <f>AF111-AF104</f>
      </c>
      <c r="AG118" s="24">
        <f>AG111-AG104</f>
      </c>
      <c r="AH118" s="24">
        <f>AH111-AH104</f>
      </c>
      <c r="AI118" s="24">
        <f>AI111-AI104</f>
      </c>
      <c r="AJ118" s="24">
        <f>AJ111-AJ104</f>
      </c>
      <c r="AK118" s="24">
        <f>AK111-AK104</f>
      </c>
      <c r="AL118" s="24">
        <f>AL111-AL104</f>
      </c>
      <c r="AM118" s="19"/>
    </row>
    <row r="119" ht="12.75" customHeight="1" spans="2:39" x14ac:dyDescent="0.25">
      <c r="B119" s="20"/>
      <c r="C119" s="21"/>
      <c r="D119" s="21" t="s">
        <v>45</v>
      </c>
      <c r="E119" s="21"/>
      <c r="F119" s="21"/>
      <c r="G119" s="25">
        <f>G115+G116+G117+G118</f>
      </c>
      <c r="H119" s="25">
        <f>H115+H116+H117+H118</f>
      </c>
      <c r="I119" s="25">
        <f>I115+I116+I117+I118</f>
      </c>
      <c r="J119" s="25">
        <f>J115+J116+J117+J118</f>
      </c>
      <c r="K119" s="25">
        <f>K115+K116+K117+K118</f>
      </c>
      <c r="L119" s="25">
        <f>L115+L116+L117+L118</f>
      </c>
      <c r="M119" s="25">
        <f>M115+M116+M117+M118</f>
      </c>
      <c r="N119" s="25">
        <f>N115+N116+N117+N118</f>
      </c>
      <c r="O119" s="25">
        <f>O115+O116+O117+O118</f>
      </c>
      <c r="P119" s="25">
        <f>P115+P116+P117+P118</f>
      </c>
      <c r="Q119" s="25">
        <f>Q115+Q116+Q117+Q118</f>
      </c>
      <c r="R119" s="25">
        <f>R115+R116+R117+R118</f>
      </c>
      <c r="S119" s="25">
        <f>S115+S116+S117+S118</f>
      </c>
      <c r="T119" s="25">
        <f>T115+T116+T117+T118</f>
      </c>
      <c r="U119" s="25">
        <f>U115+U116+U117+U118</f>
      </c>
      <c r="V119" s="25">
        <f>V115+V116+V117+V118</f>
      </c>
      <c r="W119" s="25">
        <f>W115+W116+W117+W118</f>
      </c>
      <c r="X119" s="25">
        <f>X115+X116+X117+X118</f>
      </c>
      <c r="Y119" s="25">
        <f>Y115+Y116+Y117+Y118</f>
      </c>
      <c r="Z119" s="25">
        <f>Z115+Z116+Z117+Z118</f>
      </c>
      <c r="AA119" s="25">
        <f>AA115+AA116+AA117+AA118</f>
      </c>
      <c r="AB119" s="25">
        <f>AB115+AB116+AB117+AB118</f>
      </c>
      <c r="AC119" s="25">
        <f>AC115+AC116+AC117+AC118</f>
      </c>
      <c r="AD119" s="25">
        <f>AD115+AD116+AD117+AD118</f>
      </c>
      <c r="AE119" s="25">
        <f>AE115+AE116+AE117+AE118</f>
      </c>
      <c r="AF119" s="25">
        <f>AF115+AF116+AF117+AF118</f>
      </c>
      <c r="AG119" s="25">
        <f>AG115+AG116+AG117+AG118</f>
      </c>
      <c r="AH119" s="25">
        <f>AH115+AH116+AH117+AH118</f>
      </c>
      <c r="AI119" s="25">
        <f>AI115+AI116+AI117+AI118</f>
      </c>
      <c r="AJ119" s="25">
        <f>AJ115+AJ116+AJ117+AJ118</f>
      </c>
      <c r="AK119" s="25">
        <f>AK115+AK116+AK117+AK118</f>
      </c>
      <c r="AL119" s="25">
        <f>AL115+AL116+AL117+AL118</f>
      </c>
      <c r="AM11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3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1251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1252</v>
      </c>
      <c r="E13" s="32"/>
      <c r="F13" s="32"/>
      <c r="G13" s="32"/>
      <c r="H13" s="32"/>
      <c r="I13" s="32"/>
      <c r="J13" s="33">
        <v>0</v>
      </c>
      <c r="K13" s="33">
        <v>32.24</v>
      </c>
      <c r="L13" s="33">
        <v>27.24</v>
      </c>
      <c r="M13" s="33">
        <v>27.8</v>
      </c>
      <c r="N13" s="32"/>
      <c r="O13" s="36">
        <f>45.99+63.65</f>
        <v>109.64</v>
      </c>
      <c r="P13" s="33">
        <v>53.22</v>
      </c>
      <c r="Q13" s="33">
        <v>44.94</v>
      </c>
      <c r="R13" s="33">
        <v>33.18</v>
      </c>
      <c r="S13" s="33">
        <v>29.07</v>
      </c>
      <c r="T13" s="33">
        <v>28.96</v>
      </c>
      <c r="U13" s="33">
        <v>29.66</v>
      </c>
      <c r="V13" s="33">
        <v>30.64</v>
      </c>
      <c r="W13" s="33">
        <v>34.62</v>
      </c>
      <c r="X13" s="33">
        <v>14.02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1253</v>
      </c>
      <c r="E14" s="36">
        <f>0.00+0.00</f>
        <v>0</v>
      </c>
      <c r="F14" s="32"/>
      <c r="G14" s="32"/>
      <c r="H14" s="32"/>
      <c r="I14" s="32"/>
      <c r="J14" s="36">
        <f>0.00+3956.51+0.00</f>
        <v>3956.51</v>
      </c>
      <c r="K14" s="36">
        <f>0.00+459.19</f>
        <v>459.19</v>
      </c>
      <c r="L14" s="33">
        <v>498.16</v>
      </c>
      <c r="M14" s="33">
        <v>541.98</v>
      </c>
      <c r="N14" s="32"/>
      <c r="O14" s="36">
        <f>616.60+568.02</f>
        <v>1184.62</v>
      </c>
      <c r="P14" s="33">
        <v>585.59</v>
      </c>
      <c r="Q14" s="33">
        <v>609</v>
      </c>
      <c r="R14" s="33">
        <v>523.15</v>
      </c>
      <c r="S14" s="33">
        <v>501.58</v>
      </c>
      <c r="T14" s="33">
        <v>572.18</v>
      </c>
      <c r="U14" s="33">
        <v>538.07</v>
      </c>
      <c r="V14" s="33">
        <v>101.28</v>
      </c>
      <c r="W14" s="33">
        <v>121.01</v>
      </c>
      <c r="X14" s="33">
        <v>150.86</v>
      </c>
      <c r="Y14" s="33">
        <v>539.2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1254</v>
      </c>
      <c r="E15" s="32"/>
      <c r="F15" s="32"/>
      <c r="G15" s="32"/>
      <c r="H15" s="33">
        <v>29.45</v>
      </c>
      <c r="I15" s="33">
        <v>30.73</v>
      </c>
      <c r="J15" s="36">
        <f>32.28+0.00</f>
        <v>32.28</v>
      </c>
      <c r="K15" s="33">
        <v>35.64</v>
      </c>
      <c r="L15" s="33">
        <v>47.77</v>
      </c>
      <c r="M15" s="33">
        <v>58.42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1255</v>
      </c>
      <c r="E16" s="32"/>
      <c r="F16" s="32"/>
      <c r="G16" s="32"/>
      <c r="H16" s="33">
        <v>27.24</v>
      </c>
      <c r="I16" s="33">
        <v>27.24</v>
      </c>
      <c r="J16" s="33">
        <v>27.24</v>
      </c>
      <c r="K16" s="33">
        <v>27.24</v>
      </c>
      <c r="L16" s="33">
        <v>27.24</v>
      </c>
      <c r="M16" s="33">
        <v>27.24</v>
      </c>
      <c r="N16" s="32"/>
      <c r="O16" s="36">
        <f>27.24+27.24</f>
        <v>54.48</v>
      </c>
      <c r="P16" s="33">
        <v>27.24</v>
      </c>
      <c r="Q16" s="33">
        <v>27.24</v>
      </c>
      <c r="R16" s="33">
        <v>27.24</v>
      </c>
      <c r="S16" s="33">
        <v>27.24</v>
      </c>
      <c r="T16" s="33">
        <v>27.24</v>
      </c>
      <c r="U16" s="33">
        <v>27.24</v>
      </c>
      <c r="V16" s="33">
        <v>27.24</v>
      </c>
      <c r="W16" s="33">
        <v>27.24</v>
      </c>
      <c r="X16" s="33">
        <v>27.24</v>
      </c>
      <c r="Y16" s="33">
        <v>27.24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1256</v>
      </c>
      <c r="E17" s="32"/>
      <c r="F17" s="32"/>
      <c r="G17" s="32"/>
      <c r="H17" s="32"/>
      <c r="I17" s="32"/>
      <c r="J17" s="32"/>
      <c r="K17" s="33">
        <v>32.8</v>
      </c>
      <c r="L17" s="33">
        <v>35.52</v>
      </c>
      <c r="M17" s="33">
        <v>59.6</v>
      </c>
      <c r="N17" s="32"/>
      <c r="O17" s="36">
        <f>63.02+47.92</f>
        <v>110.94</v>
      </c>
      <c r="P17" s="33">
        <v>27.24</v>
      </c>
      <c r="Q17" s="33">
        <v>27.24</v>
      </c>
      <c r="R17" s="33">
        <v>27.76</v>
      </c>
      <c r="S17" s="33">
        <v>27.24</v>
      </c>
      <c r="T17" s="36">
        <f>27.24+0.00</f>
        <v>27.24</v>
      </c>
      <c r="U17" s="33">
        <v>27.24</v>
      </c>
      <c r="V17" s="33">
        <v>29.5</v>
      </c>
      <c r="W17" s="33">
        <v>30.92</v>
      </c>
      <c r="X17" s="33">
        <v>30.64</v>
      </c>
      <c r="Y17" s="33">
        <v>30.8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1257</v>
      </c>
      <c r="E18" s="32"/>
      <c r="F18" s="32"/>
      <c r="G18" s="32"/>
      <c r="H18" s="33">
        <v>80.55</v>
      </c>
      <c r="I18" s="33">
        <v>101</v>
      </c>
      <c r="J18" s="33">
        <v>100.74</v>
      </c>
      <c r="K18" s="33">
        <v>47.06</v>
      </c>
      <c r="L18" s="33">
        <v>27.24</v>
      </c>
      <c r="M18" s="33">
        <v>27.24</v>
      </c>
      <c r="N18" s="32"/>
      <c r="O18" s="36">
        <f>27.24+27.24</f>
        <v>54.48</v>
      </c>
      <c r="P18" s="33">
        <v>27.24</v>
      </c>
      <c r="Q18" s="33">
        <v>27.24</v>
      </c>
      <c r="R18" s="33">
        <v>27.24</v>
      </c>
      <c r="S18" s="33">
        <v>27.24</v>
      </c>
      <c r="T18" s="33">
        <v>89.76</v>
      </c>
      <c r="U18" s="33">
        <v>118.91</v>
      </c>
      <c r="V18" s="33">
        <v>103.09</v>
      </c>
      <c r="W18" s="33">
        <v>27.46</v>
      </c>
      <c r="X18" s="33">
        <v>27.24</v>
      </c>
      <c r="Y18" s="33">
        <v>27.24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1258</v>
      </c>
      <c r="E19" s="32"/>
      <c r="F19" s="32"/>
      <c r="G19" s="32"/>
      <c r="H19" s="33">
        <v>30.69</v>
      </c>
      <c r="I19" s="33">
        <v>90.17</v>
      </c>
      <c r="J19" s="33">
        <v>76.54</v>
      </c>
      <c r="K19" s="33">
        <v>53.14</v>
      </c>
      <c r="L19" s="33">
        <v>27.24</v>
      </c>
      <c r="M19" s="33">
        <v>45.88</v>
      </c>
      <c r="N19" s="32"/>
      <c r="O19" s="36">
        <f>65.86+95.09</f>
        <v>160.95</v>
      </c>
      <c r="P19" s="33">
        <v>31.97</v>
      </c>
      <c r="Q19" s="33">
        <v>27.24</v>
      </c>
      <c r="R19" s="33">
        <v>27.24</v>
      </c>
      <c r="S19" s="33">
        <v>27.24</v>
      </c>
      <c r="T19" s="33">
        <v>27.24</v>
      </c>
      <c r="U19" s="33">
        <v>42.93</v>
      </c>
      <c r="V19" s="33">
        <v>75.4</v>
      </c>
      <c r="W19" s="33">
        <v>94.12</v>
      </c>
      <c r="X19" s="33">
        <v>117.73</v>
      </c>
      <c r="Y19" s="33">
        <v>124.59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1259</v>
      </c>
      <c r="E20" s="32"/>
      <c r="F20" s="32"/>
      <c r="G20" s="32"/>
      <c r="H20" s="32"/>
      <c r="I20" s="32"/>
      <c r="J20" s="32"/>
      <c r="K20" s="32"/>
      <c r="L20" s="33">
        <v>0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1260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6">
        <f>0.00+32.02</f>
        <v>32.02</v>
      </c>
      <c r="P21" s="33">
        <v>30.58</v>
      </c>
      <c r="Q21" s="33">
        <v>85.26</v>
      </c>
      <c r="R21" s="33">
        <v>43.75</v>
      </c>
      <c r="S21" s="33">
        <v>32.25</v>
      </c>
      <c r="T21" s="33">
        <v>29.78</v>
      </c>
      <c r="U21" s="33">
        <v>31.56</v>
      </c>
      <c r="V21" s="33">
        <v>32.63</v>
      </c>
      <c r="W21" s="33">
        <v>15.65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1261</v>
      </c>
      <c r="E22" s="32"/>
      <c r="F22" s="32"/>
      <c r="G22" s="32"/>
      <c r="H22" s="33">
        <v>28.19</v>
      </c>
      <c r="I22" s="33">
        <v>44.33</v>
      </c>
      <c r="J22" s="33">
        <v>53.16</v>
      </c>
      <c r="K22" s="33">
        <v>64.89</v>
      </c>
      <c r="L22" s="33">
        <v>69.54</v>
      </c>
      <c r="M22" s="33">
        <v>61.35</v>
      </c>
      <c r="N22" s="32"/>
      <c r="O22" s="36">
        <f>27.24+93.23</f>
        <v>120.47</v>
      </c>
      <c r="P22" s="33">
        <v>36.42</v>
      </c>
      <c r="Q22" s="33">
        <v>27.24</v>
      </c>
      <c r="R22" s="33">
        <v>125.45</v>
      </c>
      <c r="S22" s="33">
        <v>35.95</v>
      </c>
      <c r="T22" s="33">
        <v>56.93</v>
      </c>
      <c r="U22" s="33">
        <v>108.64</v>
      </c>
      <c r="V22" s="33">
        <v>65.09</v>
      </c>
      <c r="W22" s="33">
        <v>27.24</v>
      </c>
      <c r="X22" s="33">
        <v>27.24</v>
      </c>
      <c r="Y22" s="33">
        <v>156.23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1262</v>
      </c>
      <c r="E23" s="32"/>
      <c r="F23" s="32"/>
      <c r="G23" s="32"/>
      <c r="H23" s="33">
        <v>35.24</v>
      </c>
      <c r="I23" s="33">
        <v>32.84</v>
      </c>
      <c r="J23" s="36">
        <f>33.57+0.00</f>
        <v>33.57</v>
      </c>
      <c r="K23" s="33">
        <v>37.6</v>
      </c>
      <c r="L23" s="33">
        <v>48.13</v>
      </c>
      <c r="M23" s="33">
        <v>62.06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1263</v>
      </c>
      <c r="E24" s="32"/>
      <c r="F24" s="32"/>
      <c r="G24" s="32"/>
      <c r="H24" s="32"/>
      <c r="I24" s="32"/>
      <c r="J24" s="32"/>
      <c r="K24" s="32"/>
      <c r="L24" s="32"/>
      <c r="M24" s="33">
        <v>0</v>
      </c>
      <c r="N24" s="32"/>
      <c r="O24" s="36">
        <f>29.54+44.53</f>
        <v>74.07</v>
      </c>
      <c r="P24" s="33">
        <v>64.08</v>
      </c>
      <c r="Q24" s="33">
        <v>77.23</v>
      </c>
      <c r="R24" s="33">
        <v>41.13</v>
      </c>
      <c r="S24" s="33">
        <v>7.2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1264</v>
      </c>
      <c r="E25" s="33">
        <v>0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6">
        <f>0.00+24.14</f>
        <v>24.14</v>
      </c>
      <c r="Y25" s="33">
        <v>30.64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1265</v>
      </c>
      <c r="E26" s="33">
        <v>0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6">
        <f>0.00+54.05</f>
        <v>54.05</v>
      </c>
      <c r="V26" s="33">
        <v>46.1</v>
      </c>
      <c r="W26" s="33">
        <v>33.61</v>
      </c>
      <c r="X26" s="33">
        <v>57.03</v>
      </c>
      <c r="Y26" s="33">
        <v>82.91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1266</v>
      </c>
      <c r="E27" s="32"/>
      <c r="F27" s="32"/>
      <c r="G27" s="32"/>
      <c r="H27" s="33">
        <v>50.92</v>
      </c>
      <c r="I27" s="33">
        <v>153.35</v>
      </c>
      <c r="J27" s="33">
        <v>167.01</v>
      </c>
      <c r="K27" s="33">
        <v>132.51</v>
      </c>
      <c r="L27" s="33">
        <v>134.79</v>
      </c>
      <c r="M27" s="33">
        <v>150.22</v>
      </c>
      <c r="N27" s="32"/>
      <c r="O27" s="36">
        <f>237.72+294.76</f>
        <v>532.48</v>
      </c>
      <c r="P27" s="33">
        <v>265.72</v>
      </c>
      <c r="Q27" s="33">
        <v>218.82</v>
      </c>
      <c r="R27" s="33">
        <v>191.22</v>
      </c>
      <c r="S27" s="33">
        <v>187.18</v>
      </c>
      <c r="T27" s="33">
        <v>148.08</v>
      </c>
      <c r="U27" s="33">
        <v>133.41</v>
      </c>
      <c r="V27" s="33">
        <v>120.75</v>
      </c>
      <c r="W27" s="33">
        <v>220.37</v>
      </c>
      <c r="X27" s="33">
        <v>92.79</v>
      </c>
      <c r="Y27" s="33">
        <v>114.56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1267</v>
      </c>
      <c r="E28" s="32"/>
      <c r="F28" s="32"/>
      <c r="G28" s="32"/>
      <c r="H28" s="33">
        <v>59.59</v>
      </c>
      <c r="I28" s="33">
        <v>132.15</v>
      </c>
      <c r="J28" s="33">
        <v>138.01</v>
      </c>
      <c r="K28" s="33">
        <v>93.72</v>
      </c>
      <c r="L28" s="33">
        <v>27.24</v>
      </c>
      <c r="M28" s="33">
        <v>79.35</v>
      </c>
      <c r="N28" s="32"/>
      <c r="O28" s="36">
        <f>98.62+98.59</f>
        <v>197.21</v>
      </c>
      <c r="P28" s="33">
        <v>31.97</v>
      </c>
      <c r="Q28" s="33">
        <v>27.24</v>
      </c>
      <c r="R28" s="33">
        <v>27.24</v>
      </c>
      <c r="S28" s="33">
        <v>27.24</v>
      </c>
      <c r="T28" s="33">
        <v>27.24</v>
      </c>
      <c r="U28" s="33">
        <v>92.55</v>
      </c>
      <c r="V28" s="33">
        <v>102.03</v>
      </c>
      <c r="W28" s="33">
        <v>76.04</v>
      </c>
      <c r="X28" s="33">
        <v>105.2</v>
      </c>
      <c r="Y28" s="33">
        <v>172.69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1268</v>
      </c>
      <c r="E29" s="32"/>
      <c r="F29" s="32"/>
      <c r="G29" s="32"/>
      <c r="H29" s="33">
        <v>57.72</v>
      </c>
      <c r="I29" s="33">
        <v>56.92</v>
      </c>
      <c r="J29" s="33">
        <v>63.44</v>
      </c>
      <c r="K29" s="33">
        <v>69.19</v>
      </c>
      <c r="L29" s="33">
        <v>27.31</v>
      </c>
      <c r="M29" s="33">
        <v>27.36</v>
      </c>
      <c r="N29" s="32"/>
      <c r="O29" s="36">
        <f>27.24+27.24</f>
        <v>54.48</v>
      </c>
      <c r="P29" s="33">
        <v>27.24</v>
      </c>
      <c r="Q29" s="33">
        <v>27.24</v>
      </c>
      <c r="R29" s="33">
        <v>27.24</v>
      </c>
      <c r="S29" s="33">
        <v>27.24</v>
      </c>
      <c r="T29" s="33">
        <v>27.24</v>
      </c>
      <c r="U29" s="33">
        <v>33.03</v>
      </c>
      <c r="V29" s="33">
        <v>51.76</v>
      </c>
      <c r="W29" s="33">
        <v>36.83</v>
      </c>
      <c r="X29" s="33">
        <v>157.77</v>
      </c>
      <c r="Y29" s="33">
        <v>218.67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1269</v>
      </c>
      <c r="E30" s="32"/>
      <c r="F30" s="32"/>
      <c r="G30" s="32"/>
      <c r="H30" s="33">
        <v>27.24</v>
      </c>
      <c r="I30" s="33">
        <v>27.24</v>
      </c>
      <c r="J30" s="33">
        <v>27.24</v>
      </c>
      <c r="K30" s="33">
        <v>27.24</v>
      </c>
      <c r="L30" s="33">
        <v>27.24</v>
      </c>
      <c r="M30" s="33">
        <v>27.24</v>
      </c>
      <c r="N30" s="32"/>
      <c r="O30" s="36">
        <f>27.24+27.24</f>
        <v>54.48</v>
      </c>
      <c r="P30" s="33">
        <v>27.24</v>
      </c>
      <c r="Q30" s="33">
        <v>27.24</v>
      </c>
      <c r="R30" s="33">
        <v>27.24</v>
      </c>
      <c r="S30" s="33">
        <v>27.24</v>
      </c>
      <c r="T30" s="33">
        <v>27.24</v>
      </c>
      <c r="U30" s="33">
        <v>27.24</v>
      </c>
      <c r="V30" s="33">
        <v>27.24</v>
      </c>
      <c r="W30" s="33">
        <v>27.24</v>
      </c>
      <c r="X30" s="33">
        <v>27.24</v>
      </c>
      <c r="Y30" s="33">
        <v>27.24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1270</v>
      </c>
      <c r="E31" s="32"/>
      <c r="F31" s="32"/>
      <c r="G31" s="32"/>
      <c r="H31" s="33">
        <v>46.38</v>
      </c>
      <c r="I31" s="33">
        <v>77.49</v>
      </c>
      <c r="J31" s="33">
        <v>99.68</v>
      </c>
      <c r="K31" s="33">
        <v>49.86</v>
      </c>
      <c r="L31" s="33">
        <v>27.24</v>
      </c>
      <c r="M31" s="33">
        <v>91.74</v>
      </c>
      <c r="N31" s="32"/>
      <c r="O31" s="36">
        <f>257.87+234.44</f>
        <v>492.31</v>
      </c>
      <c r="P31" s="33">
        <v>220.51</v>
      </c>
      <c r="Q31" s="33">
        <v>208.46</v>
      </c>
      <c r="R31" s="33">
        <v>152.02</v>
      </c>
      <c r="S31" s="33">
        <v>44.94</v>
      </c>
      <c r="T31" s="33">
        <v>27.24</v>
      </c>
      <c r="U31" s="33">
        <v>27.24</v>
      </c>
      <c r="V31" s="33">
        <v>27.24</v>
      </c>
      <c r="W31" s="33">
        <v>27.24</v>
      </c>
      <c r="X31" s="33">
        <v>27.24</v>
      </c>
      <c r="Y31" s="33">
        <v>27.24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1271</v>
      </c>
      <c r="E32" s="32"/>
      <c r="F32" s="32"/>
      <c r="G32" s="32"/>
      <c r="H32" s="33">
        <v>141.25</v>
      </c>
      <c r="I32" s="33">
        <v>195.73</v>
      </c>
      <c r="J32" s="33">
        <v>109.5</v>
      </c>
      <c r="K32" s="33">
        <v>103.23</v>
      </c>
      <c r="L32" s="33">
        <v>125.09</v>
      </c>
      <c r="M32" s="33">
        <v>133.65</v>
      </c>
      <c r="N32" s="32"/>
      <c r="O32" s="36">
        <f>116.53+99.51</f>
        <v>216.04000000000002</v>
      </c>
      <c r="P32" s="33">
        <v>101.66</v>
      </c>
      <c r="Q32" s="33">
        <v>109.15</v>
      </c>
      <c r="R32" s="33">
        <v>112.44</v>
      </c>
      <c r="S32" s="36">
        <f>0.00+103.90</f>
        <v>103.9</v>
      </c>
      <c r="T32" s="33">
        <v>119.08</v>
      </c>
      <c r="U32" s="33">
        <v>108.37</v>
      </c>
      <c r="V32" s="33">
        <v>88.52</v>
      </c>
      <c r="W32" s="33">
        <v>89.95</v>
      </c>
      <c r="X32" s="33">
        <v>112.01</v>
      </c>
      <c r="Y32" s="33">
        <v>126.95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1272</v>
      </c>
      <c r="E33" s="32"/>
      <c r="F33" s="32"/>
      <c r="G33" s="32"/>
      <c r="H33" s="33">
        <v>57.46</v>
      </c>
      <c r="I33" s="33">
        <v>85.24</v>
      </c>
      <c r="J33" s="33">
        <v>91.53</v>
      </c>
      <c r="K33" s="33">
        <v>64.75</v>
      </c>
      <c r="L33" s="33">
        <v>27.24</v>
      </c>
      <c r="M33" s="33">
        <v>27.24</v>
      </c>
      <c r="N33" s="32"/>
      <c r="O33" s="36">
        <f>27.24+33.11</f>
        <v>60.349999999999994</v>
      </c>
      <c r="P33" s="33">
        <v>27.24</v>
      </c>
      <c r="Q33" s="33">
        <v>27.24</v>
      </c>
      <c r="R33" s="33">
        <v>27.24</v>
      </c>
      <c r="S33" s="33">
        <v>32.74</v>
      </c>
      <c r="T33" s="33">
        <v>88.05</v>
      </c>
      <c r="U33" s="33">
        <v>90.41</v>
      </c>
      <c r="V33" s="33">
        <v>42.13</v>
      </c>
      <c r="W33" s="33">
        <v>27.24</v>
      </c>
      <c r="X33" s="33">
        <v>27.24</v>
      </c>
      <c r="Y33" s="33">
        <v>118.91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1273</v>
      </c>
      <c r="E34" s="32"/>
      <c r="F34" s="32"/>
      <c r="G34" s="32"/>
      <c r="H34" s="33">
        <v>257.89</v>
      </c>
      <c r="I34" s="33">
        <v>282.98</v>
      </c>
      <c r="J34" s="33">
        <v>248.92</v>
      </c>
      <c r="K34" s="33">
        <v>246.2</v>
      </c>
      <c r="L34" s="33">
        <v>245.01</v>
      </c>
      <c r="M34" s="33">
        <v>230.26</v>
      </c>
      <c r="N34" s="32"/>
      <c r="O34" s="36">
        <f>247.23+82.10</f>
        <v>329.33</v>
      </c>
      <c r="P34" s="33">
        <v>110.88</v>
      </c>
      <c r="Q34" s="33">
        <v>250.67</v>
      </c>
      <c r="R34" s="33">
        <v>227.89</v>
      </c>
      <c r="S34" s="36">
        <f>0.00+235.12</f>
        <v>235.12</v>
      </c>
      <c r="T34" s="33">
        <v>272.52</v>
      </c>
      <c r="U34" s="33">
        <v>263.25</v>
      </c>
      <c r="V34" s="33">
        <v>182.18</v>
      </c>
      <c r="W34" s="33">
        <v>246.88</v>
      </c>
      <c r="X34" s="33">
        <v>267.75</v>
      </c>
      <c r="Y34" s="33">
        <v>251.94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1274</v>
      </c>
      <c r="E35" s="32"/>
      <c r="F35" s="32"/>
      <c r="G35" s="32"/>
      <c r="H35" s="33">
        <v>27.24</v>
      </c>
      <c r="I35" s="33">
        <v>27.24</v>
      </c>
      <c r="J35" s="33">
        <v>27.24</v>
      </c>
      <c r="K35" s="33">
        <v>27.24</v>
      </c>
      <c r="L35" s="33">
        <v>27.24</v>
      </c>
      <c r="M35" s="33">
        <v>27.24</v>
      </c>
      <c r="N35" s="32"/>
      <c r="O35" s="36">
        <f>27.24+27.24</f>
        <v>54.48</v>
      </c>
      <c r="P35" s="33">
        <v>27.24</v>
      </c>
      <c r="Q35" s="33">
        <v>27.24</v>
      </c>
      <c r="R35" s="33">
        <v>27.24</v>
      </c>
      <c r="S35" s="33">
        <v>27.24</v>
      </c>
      <c r="T35" s="33">
        <v>27.24</v>
      </c>
      <c r="U35" s="33">
        <v>27.24</v>
      </c>
      <c r="V35" s="33">
        <v>27.24</v>
      </c>
      <c r="W35" s="33">
        <v>27.24</v>
      </c>
      <c r="X35" s="33">
        <v>27.24</v>
      </c>
      <c r="Y35" s="33">
        <v>27.24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1275</v>
      </c>
      <c r="E36" s="32"/>
      <c r="F36" s="32"/>
      <c r="G36" s="32"/>
      <c r="H36" s="32"/>
      <c r="I36" s="32"/>
      <c r="J36" s="32"/>
      <c r="K36" s="32"/>
      <c r="L36" s="32"/>
      <c r="M36" s="33">
        <v>0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1276</v>
      </c>
      <c r="E37" s="32"/>
      <c r="F37" s="32"/>
      <c r="G37" s="32"/>
      <c r="H37" s="33">
        <v>27.24</v>
      </c>
      <c r="I37" s="33">
        <v>27.24</v>
      </c>
      <c r="J37" s="33">
        <v>27.24</v>
      </c>
      <c r="K37" s="33">
        <v>27.24</v>
      </c>
      <c r="L37" s="33">
        <v>27.24</v>
      </c>
      <c r="M37" s="33">
        <v>27.24</v>
      </c>
      <c r="N37" s="32"/>
      <c r="O37" s="36">
        <f>27.24+27.24</f>
        <v>54.48</v>
      </c>
      <c r="P37" s="33">
        <v>27.24</v>
      </c>
      <c r="Q37" s="33">
        <v>27.24</v>
      </c>
      <c r="R37" s="33">
        <v>27.24</v>
      </c>
      <c r="S37" s="33">
        <v>27.24</v>
      </c>
      <c r="T37" s="33">
        <v>27.24</v>
      </c>
      <c r="U37" s="33">
        <v>27.24</v>
      </c>
      <c r="V37" s="33">
        <v>27.24</v>
      </c>
      <c r="W37" s="33">
        <v>27.24</v>
      </c>
      <c r="X37" s="33">
        <v>27.24</v>
      </c>
      <c r="Y37" s="33">
        <v>27.24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1277</v>
      </c>
      <c r="E38" s="32"/>
      <c r="F38" s="32"/>
      <c r="G38" s="32"/>
      <c r="H38" s="33">
        <v>27.24</v>
      </c>
      <c r="I38" s="33">
        <v>27.24</v>
      </c>
      <c r="J38" s="33">
        <v>27.24</v>
      </c>
      <c r="K38" s="33">
        <v>27.24</v>
      </c>
      <c r="L38" s="33">
        <v>27.24</v>
      </c>
      <c r="M38" s="33">
        <v>27.24</v>
      </c>
      <c r="N38" s="32"/>
      <c r="O38" s="36">
        <f>27.24+27.24</f>
        <v>54.48</v>
      </c>
      <c r="P38" s="33">
        <v>27.24</v>
      </c>
      <c r="Q38" s="33">
        <v>27.24</v>
      </c>
      <c r="R38" s="33">
        <v>27.24</v>
      </c>
      <c r="S38" s="33">
        <v>27.24</v>
      </c>
      <c r="T38" s="33">
        <v>27.24</v>
      </c>
      <c r="U38" s="33">
        <v>27.24</v>
      </c>
      <c r="V38" s="33">
        <v>27.24</v>
      </c>
      <c r="W38" s="33">
        <v>27.24</v>
      </c>
      <c r="X38" s="33">
        <v>27.24</v>
      </c>
      <c r="Y38" s="33">
        <v>27.24</v>
      </c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1278</v>
      </c>
      <c r="E39" s="32"/>
      <c r="F39" s="32"/>
      <c r="G39" s="32"/>
      <c r="H39" s="33">
        <v>13.75</v>
      </c>
      <c r="I39" s="33">
        <v>13.84</v>
      </c>
      <c r="J39" s="33">
        <v>13.84</v>
      </c>
      <c r="K39" s="33">
        <v>13.01</v>
      </c>
      <c r="L39" s="33">
        <v>12.64</v>
      </c>
      <c r="M39" s="33">
        <v>12.64</v>
      </c>
      <c r="N39" s="32"/>
      <c r="O39" s="36">
        <f>12.64+12.31</f>
        <v>24.950000000000003</v>
      </c>
      <c r="P39" s="33">
        <v>12.64</v>
      </c>
      <c r="Q39" s="33">
        <v>12.64</v>
      </c>
      <c r="R39" s="33">
        <v>12.64</v>
      </c>
      <c r="S39" s="33">
        <v>12.64</v>
      </c>
      <c r="T39" s="33">
        <v>15.09</v>
      </c>
      <c r="U39" s="33">
        <v>15.15</v>
      </c>
      <c r="V39" s="33">
        <v>15.15</v>
      </c>
      <c r="W39" s="33">
        <v>15.15</v>
      </c>
      <c r="X39" s="33">
        <v>15.15</v>
      </c>
      <c r="Y39" s="33">
        <v>15.15</v>
      </c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1279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>
        <v>27.59</v>
      </c>
      <c r="W40" s="33">
        <v>19.89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1280</v>
      </c>
      <c r="E41" s="32"/>
      <c r="F41" s="32"/>
      <c r="G41" s="32"/>
      <c r="H41" s="33">
        <v>111.27</v>
      </c>
      <c r="I41" s="33">
        <v>119.05</v>
      </c>
      <c r="J41" s="33">
        <v>119.46</v>
      </c>
      <c r="K41" s="33">
        <v>135.81</v>
      </c>
      <c r="L41" s="33">
        <v>31.04</v>
      </c>
      <c r="M41" s="33">
        <v>62.32</v>
      </c>
      <c r="N41" s="32"/>
      <c r="O41" s="36">
        <f>133.68+115.01</f>
        <v>248.69</v>
      </c>
      <c r="P41" s="33">
        <v>115.19</v>
      </c>
      <c r="Q41" s="33">
        <v>64.19</v>
      </c>
      <c r="R41" s="33">
        <v>55.93</v>
      </c>
      <c r="S41" s="33">
        <v>28.49</v>
      </c>
      <c r="T41" s="33">
        <v>35.51</v>
      </c>
      <c r="U41" s="33">
        <v>74.72</v>
      </c>
      <c r="V41" s="33">
        <v>34.84</v>
      </c>
      <c r="W41" s="33">
        <v>27.24</v>
      </c>
      <c r="X41" s="33">
        <v>27.24</v>
      </c>
      <c r="Y41" s="33">
        <v>27.24</v>
      </c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1281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>
        <v>43.69</v>
      </c>
      <c r="Q42" s="33">
        <v>71.06</v>
      </c>
      <c r="R42" s="33">
        <v>43.28</v>
      </c>
      <c r="S42" s="33">
        <v>32.36</v>
      </c>
      <c r="T42" s="33">
        <v>32.71</v>
      </c>
      <c r="U42" s="33">
        <v>4.76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1282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>
        <v>48.93</v>
      </c>
      <c r="Q43" s="33">
        <v>53.57</v>
      </c>
      <c r="R43" s="33">
        <v>19.39</v>
      </c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1283</v>
      </c>
      <c r="E44" s="32"/>
      <c r="F44" s="32"/>
      <c r="G44" s="32"/>
      <c r="H44" s="33">
        <v>1573.24</v>
      </c>
      <c r="I44" s="33">
        <v>1482.2</v>
      </c>
      <c r="J44" s="33">
        <v>1270.56</v>
      </c>
      <c r="K44" s="33">
        <v>1122.81</v>
      </c>
      <c r="L44" s="33">
        <v>890.7</v>
      </c>
      <c r="M44" s="33">
        <v>874.21</v>
      </c>
      <c r="N44" s="32"/>
      <c r="O44" s="36">
        <f>875.52+866.41</f>
        <v>1741.9299999999998</v>
      </c>
      <c r="P44" s="33">
        <v>820.31</v>
      </c>
      <c r="Q44" s="33">
        <v>905.45</v>
      </c>
      <c r="R44" s="33">
        <v>1087.34</v>
      </c>
      <c r="S44" s="36">
        <f>1630.56+0.00</f>
        <v>1630.56</v>
      </c>
      <c r="T44" s="33">
        <v>1578.28</v>
      </c>
      <c r="U44" s="33">
        <v>1414.59</v>
      </c>
      <c r="V44" s="33">
        <v>785.54</v>
      </c>
      <c r="W44" s="33">
        <v>745.45</v>
      </c>
      <c r="X44" s="33">
        <v>786.76</v>
      </c>
      <c r="Y44" s="33">
        <v>1107.31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1284</v>
      </c>
      <c r="E45" s="32"/>
      <c r="F45" s="32"/>
      <c r="G45" s="32"/>
      <c r="H45" s="33">
        <v>147.42</v>
      </c>
      <c r="I45" s="33">
        <v>167.82</v>
      </c>
      <c r="J45" s="33">
        <v>143.22</v>
      </c>
      <c r="K45" s="33">
        <v>99.78</v>
      </c>
      <c r="L45" s="33">
        <v>27.24</v>
      </c>
      <c r="M45" s="33">
        <v>27.24</v>
      </c>
      <c r="N45" s="32"/>
      <c r="O45" s="36">
        <f>28.34+27.24</f>
        <v>55.58</v>
      </c>
      <c r="P45" s="33">
        <v>27.24</v>
      </c>
      <c r="Q45" s="33">
        <v>27.24</v>
      </c>
      <c r="R45" s="33">
        <v>186.6</v>
      </c>
      <c r="S45" s="33">
        <v>198.66</v>
      </c>
      <c r="T45" s="33">
        <v>214.9</v>
      </c>
      <c r="U45" s="33">
        <v>227.13</v>
      </c>
      <c r="V45" s="33">
        <v>185.14</v>
      </c>
      <c r="W45" s="33">
        <v>207.15</v>
      </c>
      <c r="X45" s="33">
        <v>157.31</v>
      </c>
      <c r="Y45" s="33">
        <v>282.36</v>
      </c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1285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6">
        <f>0.00+0.00+0.00+27.18</f>
        <v>27.18</v>
      </c>
      <c r="Y46" s="33">
        <v>45.83</v>
      </c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1286</v>
      </c>
      <c r="E47" s="32"/>
      <c r="F47" s="32"/>
      <c r="G47" s="32"/>
      <c r="H47" s="33">
        <v>118.61</v>
      </c>
      <c r="I47" s="33">
        <v>123.71</v>
      </c>
      <c r="J47" s="33">
        <v>225.93</v>
      </c>
      <c r="K47" s="33">
        <v>306.03</v>
      </c>
      <c r="L47" s="33">
        <v>229.31</v>
      </c>
      <c r="M47" s="33">
        <v>206.65</v>
      </c>
      <c r="N47" s="32"/>
      <c r="O47" s="36">
        <f>122.35+190.10</f>
        <v>312.45</v>
      </c>
      <c r="P47" s="33">
        <v>110.54</v>
      </c>
      <c r="Q47" s="33">
        <v>27.24</v>
      </c>
      <c r="R47" s="33">
        <v>27.24</v>
      </c>
      <c r="S47" s="33">
        <v>27.24</v>
      </c>
      <c r="T47" s="33">
        <v>42.59</v>
      </c>
      <c r="U47" s="33">
        <v>176.55</v>
      </c>
      <c r="V47" s="33">
        <v>216.05</v>
      </c>
      <c r="W47" s="33">
        <v>149.94</v>
      </c>
      <c r="X47" s="33">
        <v>154.4</v>
      </c>
      <c r="Y47" s="33">
        <v>114.7</v>
      </c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1287</v>
      </c>
      <c r="E48" s="32"/>
      <c r="F48" s="32"/>
      <c r="G48" s="32"/>
      <c r="H48" s="33">
        <v>85.37</v>
      </c>
      <c r="I48" s="33">
        <v>100.87</v>
      </c>
      <c r="J48" s="33">
        <v>80.02</v>
      </c>
      <c r="K48" s="33">
        <v>64.89</v>
      </c>
      <c r="L48" s="33">
        <v>27.24</v>
      </c>
      <c r="M48" s="33">
        <v>58.77</v>
      </c>
      <c r="N48" s="32"/>
      <c r="O48" s="36">
        <f>27.24+27.24</f>
        <v>54.48</v>
      </c>
      <c r="P48" s="33">
        <v>28.46</v>
      </c>
      <c r="Q48" s="33">
        <v>33.22</v>
      </c>
      <c r="R48" s="33">
        <v>41.13</v>
      </c>
      <c r="S48" s="33">
        <v>39.61</v>
      </c>
      <c r="T48" s="33">
        <v>39.67</v>
      </c>
      <c r="U48" s="33">
        <v>43.72</v>
      </c>
      <c r="V48" s="33">
        <v>34.2</v>
      </c>
      <c r="W48" s="33">
        <v>84.87</v>
      </c>
      <c r="X48" s="33">
        <v>122.33</v>
      </c>
      <c r="Y48" s="33">
        <v>162.09</v>
      </c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1288</v>
      </c>
      <c r="E49" s="32"/>
      <c r="F49" s="32"/>
      <c r="G49" s="32"/>
      <c r="H49" s="32"/>
      <c r="I49" s="32"/>
      <c r="J49" s="33">
        <v>0</v>
      </c>
      <c r="K49" s="33">
        <v>32.24</v>
      </c>
      <c r="L49" s="33">
        <v>27.24</v>
      </c>
      <c r="M49" s="33">
        <v>27.24</v>
      </c>
      <c r="N49" s="32"/>
      <c r="O49" s="36">
        <f>27.24+54.33</f>
        <v>81.57</v>
      </c>
      <c r="P49" s="33">
        <v>34.57</v>
      </c>
      <c r="Q49" s="33">
        <v>35.92</v>
      </c>
      <c r="R49" s="33">
        <v>38.18</v>
      </c>
      <c r="S49" s="33">
        <v>20.61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1289</v>
      </c>
      <c r="E50" s="32"/>
      <c r="F50" s="32"/>
      <c r="G50" s="32"/>
      <c r="H50" s="33">
        <v>105.93</v>
      </c>
      <c r="I50" s="33">
        <v>171.55</v>
      </c>
      <c r="J50" s="33">
        <v>156.31</v>
      </c>
      <c r="K50" s="33">
        <v>120.14</v>
      </c>
      <c r="L50" s="33">
        <v>163.66</v>
      </c>
      <c r="M50" s="33">
        <v>270.2</v>
      </c>
      <c r="N50" s="32"/>
      <c r="O50" s="36">
        <f>356.73+292.55</f>
        <v>649.28</v>
      </c>
      <c r="P50" s="33">
        <v>257.04</v>
      </c>
      <c r="Q50" s="33">
        <v>256.2</v>
      </c>
      <c r="R50" s="33">
        <v>110.2</v>
      </c>
      <c r="S50" s="33">
        <v>91.88</v>
      </c>
      <c r="T50" s="33">
        <v>81.86</v>
      </c>
      <c r="U50" s="33">
        <v>258.35</v>
      </c>
      <c r="V50" s="33">
        <v>134.73</v>
      </c>
      <c r="W50" s="33">
        <v>120.89</v>
      </c>
      <c r="X50" s="33">
        <v>27.52</v>
      </c>
      <c r="Y50" s="33">
        <v>124.19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1290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6">
        <f>0.00+0.00+17.94</f>
        <v>17.94</v>
      </c>
      <c r="W51" s="33">
        <v>29.93</v>
      </c>
      <c r="X51" s="33">
        <v>30.47</v>
      </c>
      <c r="Y51" s="33">
        <v>51.76</v>
      </c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1291</v>
      </c>
      <c r="E52" s="32"/>
      <c r="F52" s="32"/>
      <c r="G52" s="32"/>
      <c r="H52" s="33">
        <v>107.79</v>
      </c>
      <c r="I52" s="33">
        <v>129.89</v>
      </c>
      <c r="J52" s="33">
        <v>130.8</v>
      </c>
      <c r="K52" s="33">
        <v>89.16</v>
      </c>
      <c r="L52" s="33">
        <v>27.24</v>
      </c>
      <c r="M52" s="33">
        <v>27.24</v>
      </c>
      <c r="N52" s="32"/>
      <c r="O52" s="36">
        <f>70.94+344.25</f>
        <v>415.19</v>
      </c>
      <c r="P52" s="33">
        <v>257.75</v>
      </c>
      <c r="Q52" s="33">
        <v>27.24</v>
      </c>
      <c r="R52" s="33">
        <v>131.44</v>
      </c>
      <c r="S52" s="33">
        <v>34.09</v>
      </c>
      <c r="T52" s="33">
        <v>27.24</v>
      </c>
      <c r="U52" s="33">
        <v>91.07</v>
      </c>
      <c r="V52" s="33">
        <v>123.65</v>
      </c>
      <c r="W52" s="33">
        <v>54.54</v>
      </c>
      <c r="X52" s="33">
        <v>40.81</v>
      </c>
      <c r="Y52" s="33">
        <v>98.18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1292</v>
      </c>
      <c r="E53" s="32"/>
      <c r="F53" s="32"/>
      <c r="G53" s="32"/>
      <c r="H53" s="33">
        <v>149.74</v>
      </c>
      <c r="I53" s="33">
        <v>174.49</v>
      </c>
      <c r="J53" s="33">
        <v>145.26</v>
      </c>
      <c r="K53" s="33">
        <v>198.15</v>
      </c>
      <c r="L53" s="33">
        <v>327.62</v>
      </c>
      <c r="M53" s="33">
        <v>220.64</v>
      </c>
      <c r="N53" s="32"/>
      <c r="O53" s="36">
        <f>236.74+293.08</f>
        <v>529.8199999999999</v>
      </c>
      <c r="P53" s="33">
        <v>460.65</v>
      </c>
      <c r="Q53" s="33">
        <v>289.26</v>
      </c>
      <c r="R53" s="33">
        <v>170.65</v>
      </c>
      <c r="S53" s="33">
        <v>35.79</v>
      </c>
      <c r="T53" s="33">
        <v>82.12</v>
      </c>
      <c r="U53" s="33">
        <v>105.99</v>
      </c>
      <c r="V53" s="33">
        <v>156.85</v>
      </c>
      <c r="W53" s="33">
        <v>239.58</v>
      </c>
      <c r="X53" s="33">
        <v>54.41</v>
      </c>
      <c r="Y53" s="33">
        <v>131.45</v>
      </c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1293</v>
      </c>
      <c r="E54" s="32"/>
      <c r="F54" s="32"/>
      <c r="G54" s="32"/>
      <c r="H54" s="32"/>
      <c r="I54" s="32"/>
      <c r="J54" s="32"/>
      <c r="K54" s="32"/>
      <c r="L54" s="32"/>
      <c r="M54" s="33">
        <v>0</v>
      </c>
      <c r="N54" s="32"/>
      <c r="O54" s="36">
        <f>28.70+27.86</f>
        <v>56.56</v>
      </c>
      <c r="P54" s="33">
        <v>27.87</v>
      </c>
      <c r="Q54" s="33">
        <v>28</v>
      </c>
      <c r="R54" s="33">
        <v>27.83</v>
      </c>
      <c r="S54" s="33">
        <v>27.68</v>
      </c>
      <c r="T54" s="33">
        <v>28.32</v>
      </c>
      <c r="U54" s="33">
        <v>28.28</v>
      </c>
      <c r="V54" s="33">
        <v>28.11</v>
      </c>
      <c r="W54" s="33">
        <v>27.24</v>
      </c>
      <c r="X54" s="33">
        <v>28.37</v>
      </c>
      <c r="Y54" s="33">
        <v>28.86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1294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3">
        <v>32.63</v>
      </c>
      <c r="R55" s="33">
        <v>27.24</v>
      </c>
      <c r="S55" s="33">
        <v>27.24</v>
      </c>
      <c r="T55" s="33">
        <v>31.27</v>
      </c>
      <c r="U55" s="33">
        <v>34.68</v>
      </c>
      <c r="V55" s="33">
        <v>34.84</v>
      </c>
      <c r="W55" s="33">
        <v>8.95</v>
      </c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1295</v>
      </c>
      <c r="E56" s="32"/>
      <c r="F56" s="32"/>
      <c r="G56" s="32"/>
      <c r="H56" s="33">
        <v>63.8</v>
      </c>
      <c r="I56" s="33">
        <v>97.55</v>
      </c>
      <c r="J56" s="33">
        <v>69.87</v>
      </c>
      <c r="K56" s="33">
        <v>66.44</v>
      </c>
      <c r="L56" s="33">
        <v>65.31</v>
      </c>
      <c r="M56" s="33">
        <v>77.03</v>
      </c>
      <c r="N56" s="32"/>
      <c r="O56" s="36">
        <f>72.69+73.17</f>
        <v>145.86</v>
      </c>
      <c r="P56" s="33">
        <v>90.58</v>
      </c>
      <c r="Q56" s="33">
        <v>78.35</v>
      </c>
      <c r="R56" s="33">
        <v>67.93</v>
      </c>
      <c r="S56" s="36">
        <f>62.29+0.00</f>
        <v>62.29</v>
      </c>
      <c r="T56" s="33">
        <v>51.11</v>
      </c>
      <c r="U56" s="33">
        <v>232.09</v>
      </c>
      <c r="V56" s="33">
        <v>39.35</v>
      </c>
      <c r="W56" s="33">
        <v>70.38</v>
      </c>
      <c r="X56" s="33">
        <v>69.53</v>
      </c>
      <c r="Y56" s="33">
        <v>89.68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1296</v>
      </c>
      <c r="E57" s="32"/>
      <c r="F57" s="32"/>
      <c r="G57" s="32"/>
      <c r="H57" s="32"/>
      <c r="I57" s="32"/>
      <c r="J57" s="33">
        <v>29.42</v>
      </c>
      <c r="K57" s="33">
        <v>6.23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1297</v>
      </c>
      <c r="E58" s="32"/>
      <c r="F58" s="32"/>
      <c r="G58" s="32"/>
      <c r="H58" s="33">
        <v>25.49</v>
      </c>
      <c r="I58" s="33">
        <v>25.63</v>
      </c>
      <c r="J58" s="33">
        <v>25.63</v>
      </c>
      <c r="K58" s="33">
        <v>24.35</v>
      </c>
      <c r="L58" s="33">
        <v>23.75</v>
      </c>
      <c r="M58" s="33">
        <v>23.75</v>
      </c>
      <c r="N58" s="32"/>
      <c r="O58" s="36">
        <f>23.75+23.26</f>
        <v>47.010000000000005</v>
      </c>
      <c r="P58" s="33">
        <v>23.75</v>
      </c>
      <c r="Q58" s="33">
        <v>23.75</v>
      </c>
      <c r="R58" s="33">
        <v>23.75</v>
      </c>
      <c r="S58" s="33">
        <v>23.75</v>
      </c>
      <c r="T58" s="33">
        <v>27.64</v>
      </c>
      <c r="U58" s="33">
        <v>27.75</v>
      </c>
      <c r="V58" s="33">
        <v>27.75</v>
      </c>
      <c r="W58" s="33">
        <v>27.75</v>
      </c>
      <c r="X58" s="33">
        <v>27.75</v>
      </c>
      <c r="Y58" s="33">
        <v>27.75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1298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3">
        <v>0</v>
      </c>
      <c r="S59" s="33">
        <v>29.29</v>
      </c>
      <c r="T59" s="33">
        <v>30.4</v>
      </c>
      <c r="U59" s="33">
        <v>40.53</v>
      </c>
      <c r="V59" s="33">
        <v>31.83</v>
      </c>
      <c r="W59" s="33">
        <v>31.92</v>
      </c>
      <c r="X59" s="33">
        <v>32.27</v>
      </c>
      <c r="Y59" s="33">
        <v>52.29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1299</v>
      </c>
      <c r="E60" s="32"/>
      <c r="F60" s="32"/>
      <c r="G60" s="32"/>
      <c r="H60" s="32"/>
      <c r="I60" s="32"/>
      <c r="J60" s="33">
        <v>0</v>
      </c>
      <c r="K60" s="33">
        <v>32.24</v>
      </c>
      <c r="L60" s="33">
        <v>27.24</v>
      </c>
      <c r="M60" s="33">
        <v>27.24</v>
      </c>
      <c r="N60" s="32"/>
      <c r="O60" s="36">
        <f>27.24+44.66</f>
        <v>71.89999999999999</v>
      </c>
      <c r="P60" s="33">
        <v>65.86</v>
      </c>
      <c r="Q60" s="33">
        <v>61.96</v>
      </c>
      <c r="R60" s="33">
        <v>73.53</v>
      </c>
      <c r="S60" s="33">
        <v>49.29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1300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3">
        <v>19.91</v>
      </c>
      <c r="Q61" s="33">
        <v>28.04</v>
      </c>
      <c r="R61" s="33">
        <v>27.24</v>
      </c>
      <c r="S61" s="33">
        <v>28.11</v>
      </c>
      <c r="T61" s="33">
        <v>29.4</v>
      </c>
      <c r="U61" s="33">
        <v>29.07</v>
      </c>
      <c r="V61" s="33">
        <v>30.22</v>
      </c>
      <c r="W61" s="33">
        <v>49.25</v>
      </c>
      <c r="X61" s="33">
        <v>34.45</v>
      </c>
      <c r="Y61" s="33">
        <v>31.81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1301</v>
      </c>
      <c r="E62" s="32"/>
      <c r="F62" s="32"/>
      <c r="G62" s="32"/>
      <c r="H62" s="32"/>
      <c r="I62" s="32"/>
      <c r="J62" s="32"/>
      <c r="K62" s="33">
        <v>27.24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1302</v>
      </c>
      <c r="E63" s="33">
        <v>0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6">
        <f>0.00+37.45</f>
        <v>37.45</v>
      </c>
      <c r="Q63" s="33">
        <v>116.46</v>
      </c>
      <c r="R63" s="33">
        <v>53.68</v>
      </c>
      <c r="S63" s="33">
        <v>31.6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1303</v>
      </c>
      <c r="E64" s="32"/>
      <c r="F64" s="32"/>
      <c r="G64" s="32"/>
      <c r="H64" s="33">
        <v>56.27</v>
      </c>
      <c r="I64" s="33">
        <v>30.94</v>
      </c>
      <c r="J64" s="33">
        <v>36.6</v>
      </c>
      <c r="K64" s="33">
        <v>56.93</v>
      </c>
      <c r="L64" s="33">
        <v>129.62</v>
      </c>
      <c r="M64" s="33">
        <v>148.81</v>
      </c>
      <c r="N64" s="32"/>
      <c r="O64" s="36">
        <f>163.52+140.28</f>
        <v>303.8</v>
      </c>
      <c r="P64" s="33">
        <v>104.06</v>
      </c>
      <c r="Q64" s="33">
        <v>27.24</v>
      </c>
      <c r="R64" s="33">
        <v>27.24</v>
      </c>
      <c r="S64" s="33">
        <v>76.38</v>
      </c>
      <c r="T64" s="33">
        <v>156.03</v>
      </c>
      <c r="U64" s="33">
        <v>181.16</v>
      </c>
      <c r="V64" s="33">
        <v>119.98</v>
      </c>
      <c r="W64" s="33">
        <v>100.04</v>
      </c>
      <c r="X64" s="33">
        <v>27.24</v>
      </c>
      <c r="Y64" s="33">
        <v>27.24</v>
      </c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1304</v>
      </c>
      <c r="E65" s="32"/>
      <c r="F65" s="32"/>
      <c r="G65" s="32"/>
      <c r="H65" s="33">
        <v>37.09</v>
      </c>
      <c r="I65" s="33">
        <v>69.72</v>
      </c>
      <c r="J65" s="33">
        <v>84.32</v>
      </c>
      <c r="K65" s="33">
        <v>96.97</v>
      </c>
      <c r="L65" s="33">
        <v>41.75</v>
      </c>
      <c r="M65" s="33">
        <v>51.92</v>
      </c>
      <c r="N65" s="32"/>
      <c r="O65" s="36">
        <f>74.97+38.82</f>
        <v>113.78999999999999</v>
      </c>
      <c r="P65" s="33">
        <v>170.51</v>
      </c>
      <c r="Q65" s="33">
        <v>135.93</v>
      </c>
      <c r="R65" s="33">
        <v>29.15</v>
      </c>
      <c r="S65" s="33">
        <v>34.85</v>
      </c>
      <c r="T65" s="33">
        <v>75.52</v>
      </c>
      <c r="U65" s="33">
        <v>93.33</v>
      </c>
      <c r="V65" s="33">
        <v>99.26</v>
      </c>
      <c r="W65" s="33">
        <v>181.16</v>
      </c>
      <c r="X65" s="33">
        <v>148.55</v>
      </c>
      <c r="Y65" s="33">
        <v>112.18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1305</v>
      </c>
      <c r="E66" s="32"/>
      <c r="F66" s="32"/>
      <c r="G66" s="32"/>
      <c r="H66" s="33">
        <v>1084.42</v>
      </c>
      <c r="I66" s="36">
        <f>1093.84+1089.49</f>
        <v>2183.33</v>
      </c>
      <c r="J66" s="33">
        <v>1089.49</v>
      </c>
      <c r="K66" s="33">
        <v>1084.17</v>
      </c>
      <c r="L66" s="33">
        <v>1076.4</v>
      </c>
      <c r="M66" s="33">
        <v>1076.4</v>
      </c>
      <c r="N66" s="32"/>
      <c r="O66" s="36">
        <f>1076.40+1074.41</f>
        <v>2150.8100000000004</v>
      </c>
      <c r="P66" s="33">
        <v>1076.4</v>
      </c>
      <c r="Q66" s="33">
        <v>1076.4</v>
      </c>
      <c r="R66" s="33">
        <v>1076.4</v>
      </c>
      <c r="S66" s="33">
        <v>1076.4</v>
      </c>
      <c r="T66" s="33">
        <v>1097.92</v>
      </c>
      <c r="U66" s="33">
        <v>1102.1</v>
      </c>
      <c r="V66" s="33">
        <v>1102.1</v>
      </c>
      <c r="W66" s="33">
        <v>1102.1</v>
      </c>
      <c r="X66" s="33">
        <v>1102.1</v>
      </c>
      <c r="Y66" s="33">
        <v>1102.1</v>
      </c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1306</v>
      </c>
      <c r="E67" s="32"/>
      <c r="F67" s="32"/>
      <c r="G67" s="32"/>
      <c r="H67" s="33">
        <v>34.42</v>
      </c>
      <c r="I67" s="33">
        <v>100.74</v>
      </c>
      <c r="J67" s="33">
        <v>82.03</v>
      </c>
      <c r="K67" s="33">
        <v>60.33</v>
      </c>
      <c r="L67" s="33">
        <v>27.24</v>
      </c>
      <c r="M67" s="33">
        <v>100.16</v>
      </c>
      <c r="N67" s="32"/>
      <c r="O67" s="36">
        <f>126.29+129.23</f>
        <v>255.51999999999998</v>
      </c>
      <c r="P67" s="33">
        <v>28.04</v>
      </c>
      <c r="Q67" s="33">
        <v>27.24</v>
      </c>
      <c r="R67" s="33">
        <v>27.24</v>
      </c>
      <c r="S67" s="33">
        <v>86.42</v>
      </c>
      <c r="T67" s="33">
        <v>75.52</v>
      </c>
      <c r="U67" s="33">
        <v>128.16</v>
      </c>
      <c r="V67" s="33">
        <v>118.5</v>
      </c>
      <c r="W67" s="33">
        <v>27.24</v>
      </c>
      <c r="X67" s="33">
        <v>27.24</v>
      </c>
      <c r="Y67" s="33">
        <v>27.24</v>
      </c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1307</v>
      </c>
      <c r="E68" s="32"/>
      <c r="F68" s="32"/>
      <c r="G68" s="32"/>
      <c r="H68" s="33">
        <v>27.24</v>
      </c>
      <c r="I68" s="33">
        <v>119.17</v>
      </c>
      <c r="J68" s="33">
        <v>79.35</v>
      </c>
      <c r="K68" s="33">
        <v>27.24</v>
      </c>
      <c r="L68" s="33">
        <v>27.24</v>
      </c>
      <c r="M68" s="33">
        <v>27.24</v>
      </c>
      <c r="N68" s="32"/>
      <c r="O68" s="36">
        <f>27.24+27.24</f>
        <v>54.48</v>
      </c>
      <c r="P68" s="33">
        <v>27.24</v>
      </c>
      <c r="Q68" s="33">
        <v>27.24</v>
      </c>
      <c r="R68" s="33">
        <v>27.24</v>
      </c>
      <c r="S68" s="33">
        <v>27.24</v>
      </c>
      <c r="T68" s="33">
        <v>27.24</v>
      </c>
      <c r="U68" s="33">
        <v>36.74</v>
      </c>
      <c r="V68" s="33">
        <v>65.64</v>
      </c>
      <c r="W68" s="33">
        <v>142.14</v>
      </c>
      <c r="X68" s="33">
        <v>139.51</v>
      </c>
      <c r="Y68" s="33">
        <v>254.81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1308</v>
      </c>
      <c r="E69" s="32"/>
      <c r="F69" s="32"/>
      <c r="G69" s="32"/>
      <c r="H69" s="33">
        <v>27.24</v>
      </c>
      <c r="I69" s="33">
        <v>27.24</v>
      </c>
      <c r="J69" s="33">
        <v>27.24</v>
      </c>
      <c r="K69" s="33">
        <v>27.24</v>
      </c>
      <c r="L69" s="33">
        <v>27.24</v>
      </c>
      <c r="M69" s="33">
        <v>27.24</v>
      </c>
      <c r="N69" s="32"/>
      <c r="O69" s="36">
        <f>27.24+27.24</f>
        <v>54.48</v>
      </c>
      <c r="P69" s="33">
        <v>27.24</v>
      </c>
      <c r="Q69" s="33">
        <v>27.24</v>
      </c>
      <c r="R69" s="33">
        <v>27.24</v>
      </c>
      <c r="S69" s="33">
        <v>27.24</v>
      </c>
      <c r="T69" s="33">
        <v>27.24</v>
      </c>
      <c r="U69" s="33">
        <v>27.24</v>
      </c>
      <c r="V69" s="33">
        <v>27.24</v>
      </c>
      <c r="W69" s="33">
        <v>27.24</v>
      </c>
      <c r="X69" s="33">
        <v>27.24</v>
      </c>
      <c r="Y69" s="33">
        <v>27.24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1309</v>
      </c>
      <c r="E70" s="32"/>
      <c r="F70" s="32"/>
      <c r="G70" s="32"/>
      <c r="H70" s="33">
        <v>29.85</v>
      </c>
      <c r="I70" s="33">
        <v>30.32</v>
      </c>
      <c r="J70" s="33">
        <v>30.73</v>
      </c>
      <c r="K70" s="33">
        <v>36.47</v>
      </c>
      <c r="L70" s="33">
        <v>45.99</v>
      </c>
      <c r="M70" s="33">
        <v>56.06</v>
      </c>
      <c r="N70" s="32"/>
      <c r="O70" s="36">
        <f>60.90+59.44</f>
        <v>120.34</v>
      </c>
      <c r="P70" s="33">
        <v>55.59</v>
      </c>
      <c r="Q70" s="33">
        <v>57.71</v>
      </c>
      <c r="R70" s="33">
        <v>42.91</v>
      </c>
      <c r="S70" s="33">
        <v>40.7</v>
      </c>
      <c r="T70" s="33">
        <v>57.35</v>
      </c>
      <c r="U70" s="33">
        <v>73.79</v>
      </c>
      <c r="V70" s="33">
        <v>46.24</v>
      </c>
      <c r="W70" s="33">
        <v>42.93</v>
      </c>
      <c r="X70" s="33">
        <v>49.12</v>
      </c>
      <c r="Y70" s="33">
        <v>61.15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1310</v>
      </c>
      <c r="E71" s="32"/>
      <c r="F71" s="32"/>
      <c r="G71" s="32"/>
      <c r="H71" s="32"/>
      <c r="I71" s="36">
        <f>0.00+33.89</f>
        <v>33.89</v>
      </c>
      <c r="J71" s="33">
        <v>31.78</v>
      </c>
      <c r="K71" s="33">
        <v>35.24</v>
      </c>
      <c r="L71" s="33">
        <v>26.74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1311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>
        <v>39.75</v>
      </c>
      <c r="V72" s="33">
        <v>34.84</v>
      </c>
      <c r="W72" s="33">
        <v>35.27</v>
      </c>
      <c r="X72" s="33">
        <v>32.02</v>
      </c>
      <c r="Y72" s="33">
        <v>29.72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1312</v>
      </c>
      <c r="E73" s="32"/>
      <c r="F73" s="32"/>
      <c r="G73" s="32"/>
      <c r="H73" s="33">
        <v>87.78</v>
      </c>
      <c r="I73" s="33">
        <v>145.59</v>
      </c>
      <c r="J73" s="33">
        <v>168.11</v>
      </c>
      <c r="K73" s="33">
        <v>201.56</v>
      </c>
      <c r="L73" s="33">
        <v>47.88</v>
      </c>
      <c r="M73" s="33">
        <v>111.17</v>
      </c>
      <c r="N73" s="32"/>
      <c r="O73" s="36">
        <f>27.24+27.31</f>
        <v>54.55</v>
      </c>
      <c r="P73" s="33">
        <v>85.48</v>
      </c>
      <c r="Q73" s="33">
        <v>162.8</v>
      </c>
      <c r="R73" s="33">
        <v>122.62</v>
      </c>
      <c r="S73" s="33">
        <v>76.27</v>
      </c>
      <c r="T73" s="33">
        <v>61.04</v>
      </c>
      <c r="U73" s="33">
        <v>77.36</v>
      </c>
      <c r="V73" s="33">
        <v>87.23</v>
      </c>
      <c r="W73" s="33">
        <v>62.85</v>
      </c>
      <c r="X73" s="33">
        <v>225.12</v>
      </c>
      <c r="Y73" s="33">
        <v>296.04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1313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3">
        <v>70.73</v>
      </c>
      <c r="Q74" s="33">
        <v>79.57</v>
      </c>
      <c r="R74" s="33">
        <v>6.5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1314</v>
      </c>
      <c r="E75" s="32"/>
      <c r="F75" s="32"/>
      <c r="G75" s="32"/>
      <c r="H75" s="33">
        <v>13.42</v>
      </c>
      <c r="I75" s="33">
        <v>13.51</v>
      </c>
      <c r="J75" s="33">
        <v>13.51</v>
      </c>
      <c r="K75" s="33">
        <v>12.75</v>
      </c>
      <c r="L75" s="33">
        <v>12.4</v>
      </c>
      <c r="M75" s="33">
        <v>12.4</v>
      </c>
      <c r="N75" s="32"/>
      <c r="O75" s="36">
        <f>12.40+12.10</f>
        <v>24.5</v>
      </c>
      <c r="P75" s="33">
        <v>12.4</v>
      </c>
      <c r="Q75" s="33">
        <v>12.4</v>
      </c>
      <c r="R75" s="33">
        <v>12.4</v>
      </c>
      <c r="S75" s="33">
        <v>12.4</v>
      </c>
      <c r="T75" s="33">
        <v>14.67</v>
      </c>
      <c r="U75" s="33">
        <v>14.73</v>
      </c>
      <c r="V75" s="33">
        <v>14.73</v>
      </c>
      <c r="W75" s="33">
        <v>14.73</v>
      </c>
      <c r="X75" s="33">
        <v>14.73</v>
      </c>
      <c r="Y75" s="33">
        <v>14.73</v>
      </c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1315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3">
        <v>106.43</v>
      </c>
      <c r="Q76" s="33">
        <v>45.57</v>
      </c>
      <c r="R76" s="33">
        <v>102.52</v>
      </c>
      <c r="S76" s="33">
        <v>51.07</v>
      </c>
      <c r="T76" s="33">
        <v>34.89</v>
      </c>
      <c r="U76" s="33">
        <v>37.36</v>
      </c>
      <c r="V76" s="33">
        <v>37.75</v>
      </c>
      <c r="W76" s="33">
        <v>53.49</v>
      </c>
      <c r="X76" s="33">
        <v>64.69</v>
      </c>
      <c r="Y76" s="33">
        <v>97.94</v>
      </c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1316</v>
      </c>
      <c r="E77" s="32"/>
      <c r="F77" s="32"/>
      <c r="G77" s="32"/>
      <c r="H77" s="33">
        <v>29.41</v>
      </c>
      <c r="I77" s="33">
        <v>29.41</v>
      </c>
      <c r="J77" s="33">
        <v>29.41</v>
      </c>
      <c r="K77" s="33">
        <v>29.41</v>
      </c>
      <c r="L77" s="33">
        <v>29.41</v>
      </c>
      <c r="M77" s="33">
        <v>29.41</v>
      </c>
      <c r="N77" s="32"/>
      <c r="O77" s="36">
        <f>29.41+29.41</f>
        <v>58.82</v>
      </c>
      <c r="P77" s="33">
        <v>29.41</v>
      </c>
      <c r="Q77" s="33">
        <v>29.41</v>
      </c>
      <c r="R77" s="33">
        <v>29.41</v>
      </c>
      <c r="S77" s="33">
        <v>29.41</v>
      </c>
      <c r="T77" s="33">
        <v>30.54</v>
      </c>
      <c r="U77" s="33">
        <v>31.91</v>
      </c>
      <c r="V77" s="33">
        <v>29.41</v>
      </c>
      <c r="W77" s="33">
        <v>30.54</v>
      </c>
      <c r="X77" s="33">
        <v>30.99</v>
      </c>
      <c r="Y77" s="33">
        <v>29.41</v>
      </c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1317</v>
      </c>
      <c r="E78" s="32"/>
      <c r="F78" s="32"/>
      <c r="G78" s="32"/>
      <c r="H78" s="32"/>
      <c r="I78" s="32"/>
      <c r="J78" s="33">
        <v>0</v>
      </c>
      <c r="K78" s="33">
        <v>32.24</v>
      </c>
      <c r="L78" s="33">
        <v>27.24</v>
      </c>
      <c r="M78" s="33">
        <v>27.24</v>
      </c>
      <c r="N78" s="32"/>
      <c r="O78" s="36">
        <f>27.24+37.66</f>
        <v>64.89999999999999</v>
      </c>
      <c r="P78" s="33">
        <v>50.96</v>
      </c>
      <c r="Q78" s="33">
        <v>46.25</v>
      </c>
      <c r="R78" s="33">
        <v>34.83</v>
      </c>
      <c r="S78" s="33">
        <v>27.97</v>
      </c>
      <c r="T78" s="33">
        <v>27.24</v>
      </c>
      <c r="U78" s="33">
        <v>27.24</v>
      </c>
      <c r="V78" s="33">
        <v>27.24</v>
      </c>
      <c r="W78" s="33">
        <v>27.24</v>
      </c>
      <c r="X78" s="32"/>
      <c r="Y78" s="33">
        <v>10.78</v>
      </c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1318</v>
      </c>
      <c r="E79" s="32"/>
      <c r="F79" s="32"/>
      <c r="G79" s="32"/>
      <c r="H79" s="33">
        <v>73.75</v>
      </c>
      <c r="I79" s="33">
        <v>102.88</v>
      </c>
      <c r="J79" s="33">
        <v>93.12</v>
      </c>
      <c r="K79" s="33">
        <v>43.02</v>
      </c>
      <c r="L79" s="33">
        <v>27.24</v>
      </c>
      <c r="M79" s="33">
        <v>210.56</v>
      </c>
      <c r="N79" s="32"/>
      <c r="O79" s="36">
        <f>347.80+455.30</f>
        <v>803.1</v>
      </c>
      <c r="P79" s="33">
        <v>379.28</v>
      </c>
      <c r="Q79" s="33">
        <v>290.11</v>
      </c>
      <c r="R79" s="33">
        <v>134.12</v>
      </c>
      <c r="S79" s="33">
        <v>51.92</v>
      </c>
      <c r="T79" s="33">
        <v>81.06</v>
      </c>
      <c r="U79" s="33">
        <v>103.88</v>
      </c>
      <c r="V79" s="33">
        <v>81.98</v>
      </c>
      <c r="W79" s="33">
        <v>67.19</v>
      </c>
      <c r="X79" s="33">
        <v>27.24</v>
      </c>
      <c r="Y79" s="33">
        <v>27.24</v>
      </c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1319</v>
      </c>
      <c r="E80" s="32"/>
      <c r="F80" s="32"/>
      <c r="G80" s="32"/>
      <c r="H80" s="33">
        <v>57.72</v>
      </c>
      <c r="I80" s="33">
        <v>77.49</v>
      </c>
      <c r="J80" s="33">
        <v>65.87</v>
      </c>
      <c r="K80" s="33">
        <v>33.85</v>
      </c>
      <c r="L80" s="33">
        <v>27.24</v>
      </c>
      <c r="M80" s="33">
        <v>27.24</v>
      </c>
      <c r="N80" s="32"/>
      <c r="O80" s="36">
        <f>27.24+100.47</f>
        <v>127.71</v>
      </c>
      <c r="P80" s="33">
        <v>145.18</v>
      </c>
      <c r="Q80" s="33">
        <v>29.22</v>
      </c>
      <c r="R80" s="33">
        <v>27.24</v>
      </c>
      <c r="S80" s="33">
        <v>80.07</v>
      </c>
      <c r="T80" s="33">
        <v>243.62</v>
      </c>
      <c r="U80" s="33">
        <v>166.7</v>
      </c>
      <c r="V80" s="33">
        <v>140.67</v>
      </c>
      <c r="W80" s="33">
        <v>173.47</v>
      </c>
      <c r="X80" s="33">
        <v>193.29</v>
      </c>
      <c r="Y80" s="33">
        <v>80.79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1320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6">
        <f>0.00+0.00+17.18</f>
        <v>17.18</v>
      </c>
      <c r="W81" s="33">
        <v>27.24</v>
      </c>
      <c r="X81" s="33">
        <v>27.24</v>
      </c>
      <c r="Y81" s="33">
        <v>28.8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3</v>
      </c>
      <c r="D82" s="32" t="s">
        <v>1321</v>
      </c>
      <c r="E82" s="32"/>
      <c r="F82" s="32"/>
      <c r="G82" s="32"/>
      <c r="H82" s="33">
        <v>90.32</v>
      </c>
      <c r="I82" s="33">
        <v>117.04</v>
      </c>
      <c r="J82" s="33">
        <v>141.22</v>
      </c>
      <c r="K82" s="33">
        <v>83.47</v>
      </c>
      <c r="L82" s="33">
        <v>33.24</v>
      </c>
      <c r="M82" s="33">
        <v>119.07</v>
      </c>
      <c r="N82" s="32"/>
      <c r="O82" s="36">
        <f>106.42+64.70</f>
        <v>171.12</v>
      </c>
      <c r="P82" s="33">
        <v>27.24</v>
      </c>
      <c r="Q82" s="33">
        <v>27.24</v>
      </c>
      <c r="R82" s="33">
        <v>27.24</v>
      </c>
      <c r="S82" s="33">
        <v>27.24</v>
      </c>
      <c r="T82" s="33">
        <v>34.45</v>
      </c>
      <c r="U82" s="33">
        <v>70.25</v>
      </c>
      <c r="V82" s="33">
        <v>87.64</v>
      </c>
      <c r="W82" s="33">
        <v>48.58</v>
      </c>
      <c r="X82" s="33">
        <v>37.27</v>
      </c>
      <c r="Y82" s="33">
        <v>134.88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3</v>
      </c>
      <c r="D83" s="32" t="s">
        <v>1322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3">
        <v>31.32</v>
      </c>
      <c r="P83" s="33">
        <v>14.43</v>
      </c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3</v>
      </c>
      <c r="D84" s="32" t="s">
        <v>1323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6">
        <f>0.00+0.00+17.51</f>
        <v>17.51</v>
      </c>
      <c r="W84" s="33">
        <v>29.07</v>
      </c>
      <c r="X84" s="33">
        <v>29.01</v>
      </c>
      <c r="Y84" s="33">
        <v>33.45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3</v>
      </c>
      <c r="D85" s="32" t="s">
        <v>1324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3">
        <v>33.57</v>
      </c>
      <c r="X85" s="33">
        <v>64.97</v>
      </c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3</v>
      </c>
      <c r="D86" s="32" t="s">
        <v>1325</v>
      </c>
      <c r="E86" s="32"/>
      <c r="F86" s="32"/>
      <c r="G86" s="32"/>
      <c r="H86" s="33">
        <v>135.84</v>
      </c>
      <c r="I86" s="33">
        <v>162.69</v>
      </c>
      <c r="J86" s="33">
        <v>150.26</v>
      </c>
      <c r="K86" s="33">
        <v>148.52</v>
      </c>
      <c r="L86" s="33">
        <v>130.75</v>
      </c>
      <c r="M86" s="33">
        <v>27.93</v>
      </c>
      <c r="N86" s="32"/>
      <c r="O86" s="36">
        <f>27.24+27.24</f>
        <v>54.48</v>
      </c>
      <c r="P86" s="33">
        <v>27.24</v>
      </c>
      <c r="Q86" s="33">
        <v>27.24</v>
      </c>
      <c r="R86" s="33">
        <v>27.24</v>
      </c>
      <c r="S86" s="33">
        <v>27.24</v>
      </c>
      <c r="T86" s="33">
        <v>30.07</v>
      </c>
      <c r="U86" s="33">
        <v>150.4</v>
      </c>
      <c r="V86" s="33">
        <v>179.61</v>
      </c>
      <c r="W86" s="33">
        <v>228.05</v>
      </c>
      <c r="X86" s="33">
        <v>337.88</v>
      </c>
      <c r="Y86" s="33">
        <v>464.43</v>
      </c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3</v>
      </c>
      <c r="D87" s="32" t="s">
        <v>1326</v>
      </c>
      <c r="E87" s="32"/>
      <c r="F87" s="32"/>
      <c r="G87" s="32"/>
      <c r="H87" s="32"/>
      <c r="I87" s="32"/>
      <c r="J87" s="32"/>
      <c r="K87" s="32"/>
      <c r="L87" s="32"/>
      <c r="M87" s="33">
        <v>0</v>
      </c>
      <c r="N87" s="32"/>
      <c r="O87" s="36">
        <f>36.54+88.32</f>
        <v>124.85999999999999</v>
      </c>
      <c r="P87" s="33">
        <v>74.37</v>
      </c>
      <c r="Q87" s="33">
        <v>71.66</v>
      </c>
      <c r="R87" s="33">
        <v>41.51</v>
      </c>
      <c r="S87" s="33">
        <v>31.37</v>
      </c>
      <c r="T87" s="33">
        <v>31.71</v>
      </c>
      <c r="U87" s="33">
        <v>17.79</v>
      </c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3</v>
      </c>
      <c r="D88" s="32" t="s">
        <v>1327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3">
        <v>13.55</v>
      </c>
      <c r="T88" s="33">
        <v>27.24</v>
      </c>
      <c r="U88" s="33">
        <v>27.24</v>
      </c>
      <c r="V88" s="33">
        <v>41.09</v>
      </c>
      <c r="W88" s="33">
        <v>104.13</v>
      </c>
      <c r="X88" s="33">
        <v>119.82</v>
      </c>
      <c r="Y88" s="33">
        <v>135.27</v>
      </c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3</v>
      </c>
      <c r="D89" s="32" t="s">
        <v>1328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6">
        <f>0.00+0.00+18.32</f>
        <v>18.32</v>
      </c>
      <c r="W89" s="33">
        <v>31.6</v>
      </c>
      <c r="X89" s="33">
        <v>30.47</v>
      </c>
      <c r="Y89" s="33">
        <v>31.83</v>
      </c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3</v>
      </c>
      <c r="D90" s="32" t="s">
        <v>1329</v>
      </c>
      <c r="E90" s="32"/>
      <c r="F90" s="32"/>
      <c r="G90" s="32"/>
      <c r="H90" s="32"/>
      <c r="I90" s="33">
        <v>26.42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3</v>
      </c>
      <c r="D91" s="32" t="s">
        <v>1330</v>
      </c>
      <c r="E91" s="32"/>
      <c r="F91" s="32"/>
      <c r="G91" s="32"/>
      <c r="H91" s="33">
        <v>137.44</v>
      </c>
      <c r="I91" s="33">
        <v>209.77</v>
      </c>
      <c r="J91" s="33">
        <v>81.75</v>
      </c>
      <c r="K91" s="33">
        <v>156.51</v>
      </c>
      <c r="L91" s="33">
        <v>196.7</v>
      </c>
      <c r="M91" s="33">
        <v>240.67</v>
      </c>
      <c r="N91" s="32"/>
      <c r="O91" s="36">
        <f>122.49+97.78</f>
        <v>220.26999999999998</v>
      </c>
      <c r="P91" s="33">
        <v>140.55</v>
      </c>
      <c r="Q91" s="33">
        <v>144.89</v>
      </c>
      <c r="R91" s="33">
        <v>79.72</v>
      </c>
      <c r="S91" s="33">
        <v>51.56</v>
      </c>
      <c r="T91" s="33">
        <v>32.19</v>
      </c>
      <c r="U91" s="33">
        <v>37.04</v>
      </c>
      <c r="V91" s="33">
        <v>121.3</v>
      </c>
      <c r="W91" s="33">
        <v>95.29</v>
      </c>
      <c r="X91" s="33">
        <v>161.18</v>
      </c>
      <c r="Y91" s="33">
        <v>285.88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3</v>
      </c>
      <c r="D92" s="32" t="s">
        <v>1331</v>
      </c>
      <c r="E92" s="32"/>
      <c r="F92" s="32"/>
      <c r="G92" s="32"/>
      <c r="H92" s="33">
        <v>29.41</v>
      </c>
      <c r="I92" s="33">
        <v>29.41</v>
      </c>
      <c r="J92" s="33">
        <v>29.41</v>
      </c>
      <c r="K92" s="33">
        <v>29.41</v>
      </c>
      <c r="L92" s="33">
        <v>29.41</v>
      </c>
      <c r="M92" s="33">
        <v>29.41</v>
      </c>
      <c r="N92" s="32"/>
      <c r="O92" s="36">
        <f>29.41+29.41</f>
        <v>58.82</v>
      </c>
      <c r="P92" s="33">
        <v>29.41</v>
      </c>
      <c r="Q92" s="33">
        <v>29.41</v>
      </c>
      <c r="R92" s="33">
        <v>29.41</v>
      </c>
      <c r="S92" s="36">
        <f>29.41+0.00</f>
        <v>29.41</v>
      </c>
      <c r="T92" s="33">
        <v>29.41</v>
      </c>
      <c r="U92" s="33">
        <v>29.41</v>
      </c>
      <c r="V92" s="33">
        <v>29.41</v>
      </c>
      <c r="W92" s="33">
        <v>29.41</v>
      </c>
      <c r="X92" s="33">
        <v>29.41</v>
      </c>
      <c r="Y92" s="33">
        <v>29.41</v>
      </c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3</v>
      </c>
      <c r="D93" s="32" t="s">
        <v>1332</v>
      </c>
      <c r="E93" s="32"/>
      <c r="F93" s="32"/>
      <c r="G93" s="32"/>
      <c r="H93" s="33">
        <v>27.24</v>
      </c>
      <c r="I93" s="33">
        <v>27.24</v>
      </c>
      <c r="J93" s="33">
        <v>27.24</v>
      </c>
      <c r="K93" s="33">
        <v>27.24</v>
      </c>
      <c r="L93" s="33">
        <v>27.24</v>
      </c>
      <c r="M93" s="33">
        <v>27.24</v>
      </c>
      <c r="N93" s="32"/>
      <c r="O93" s="36">
        <f>27.24+27.24</f>
        <v>54.48</v>
      </c>
      <c r="P93" s="33">
        <v>27.24</v>
      </c>
      <c r="Q93" s="33">
        <v>27.24</v>
      </c>
      <c r="R93" s="33">
        <v>27.24</v>
      </c>
      <c r="S93" s="33">
        <v>27.24</v>
      </c>
      <c r="T93" s="33">
        <v>27.24</v>
      </c>
      <c r="U93" s="33">
        <v>27.24</v>
      </c>
      <c r="V93" s="33">
        <v>27.24</v>
      </c>
      <c r="W93" s="33">
        <v>27.24</v>
      </c>
      <c r="X93" s="33">
        <v>27.24</v>
      </c>
      <c r="Y93" s="33">
        <v>27.24</v>
      </c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3</v>
      </c>
      <c r="D94" s="32" t="s">
        <v>1333</v>
      </c>
      <c r="E94" s="32"/>
      <c r="F94" s="32"/>
      <c r="G94" s="32"/>
      <c r="H94" s="33">
        <v>13.42</v>
      </c>
      <c r="I94" s="33">
        <v>13.51</v>
      </c>
      <c r="J94" s="33">
        <v>13.51</v>
      </c>
      <c r="K94" s="33">
        <v>12.75</v>
      </c>
      <c r="L94" s="33">
        <v>12.4</v>
      </c>
      <c r="M94" s="33">
        <v>12.4</v>
      </c>
      <c r="N94" s="32"/>
      <c r="O94" s="36">
        <f>12.40+12.10</f>
        <v>24.5</v>
      </c>
      <c r="P94" s="33">
        <v>12.4</v>
      </c>
      <c r="Q94" s="33">
        <v>12.4</v>
      </c>
      <c r="R94" s="33">
        <v>12.4</v>
      </c>
      <c r="S94" s="33">
        <v>12.4</v>
      </c>
      <c r="T94" s="33">
        <v>14.67</v>
      </c>
      <c r="U94" s="33">
        <v>14.73</v>
      </c>
      <c r="V94" s="33">
        <v>14.73</v>
      </c>
      <c r="W94" s="33">
        <v>14.73</v>
      </c>
      <c r="X94" s="33">
        <v>14.73</v>
      </c>
      <c r="Y94" s="33">
        <v>14.73</v>
      </c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3</v>
      </c>
      <c r="D95" s="32" t="s">
        <v>1334</v>
      </c>
      <c r="E95" s="32"/>
      <c r="F95" s="32"/>
      <c r="G95" s="32"/>
      <c r="H95" s="33">
        <v>410.25</v>
      </c>
      <c r="I95" s="36">
        <f>413.21+412.86</f>
        <v>826.0699999999999</v>
      </c>
      <c r="J95" s="33">
        <v>412.86</v>
      </c>
      <c r="K95" s="33">
        <v>407.37</v>
      </c>
      <c r="L95" s="33">
        <v>399.51</v>
      </c>
      <c r="M95" s="33">
        <v>399.51</v>
      </c>
      <c r="N95" s="32"/>
      <c r="O95" s="36">
        <f>399.51+397.48</f>
        <v>796.99</v>
      </c>
      <c r="P95" s="33">
        <v>399.51</v>
      </c>
      <c r="Q95" s="33">
        <v>399.51</v>
      </c>
      <c r="R95" s="33">
        <v>399.51</v>
      </c>
      <c r="S95" s="33">
        <v>399.51</v>
      </c>
      <c r="T95" s="33">
        <v>421.26</v>
      </c>
      <c r="U95" s="33">
        <v>423.19</v>
      </c>
      <c r="V95" s="33">
        <v>423.19</v>
      </c>
      <c r="W95" s="33">
        <v>423.19</v>
      </c>
      <c r="X95" s="33">
        <v>423.19</v>
      </c>
      <c r="Y95" s="33">
        <v>423.19</v>
      </c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3</v>
      </c>
      <c r="D96" s="32" t="s">
        <v>1335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6">
        <f>0.00+39.97</f>
        <v>39.97</v>
      </c>
      <c r="P96" s="33">
        <v>44.47</v>
      </c>
      <c r="Q96" s="33">
        <v>56.87</v>
      </c>
      <c r="R96" s="36">
        <f>33.24+0.00</f>
        <v>33.24</v>
      </c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3</v>
      </c>
      <c r="D97" s="32" t="s">
        <v>1336</v>
      </c>
      <c r="E97" s="32"/>
      <c r="F97" s="32"/>
      <c r="G97" s="32"/>
      <c r="H97" s="32"/>
      <c r="I97" s="32"/>
      <c r="J97" s="33">
        <v>0</v>
      </c>
      <c r="K97" s="33">
        <v>32.24</v>
      </c>
      <c r="L97" s="33">
        <v>28.53</v>
      </c>
      <c r="M97" s="33">
        <v>31.17</v>
      </c>
      <c r="N97" s="32"/>
      <c r="O97" s="36">
        <f>41.13+31.67</f>
        <v>72.80000000000001</v>
      </c>
      <c r="P97" s="33">
        <v>30.29</v>
      </c>
      <c r="Q97" s="33">
        <v>56.63</v>
      </c>
      <c r="R97" s="33">
        <v>39.24</v>
      </c>
      <c r="S97" s="33">
        <v>25.7</v>
      </c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3</v>
      </c>
      <c r="D98" s="32" t="s">
        <v>1337</v>
      </c>
      <c r="E98" s="32"/>
      <c r="F98" s="32"/>
      <c r="G98" s="32"/>
      <c r="H98" s="32"/>
      <c r="I98" s="32"/>
      <c r="J98" s="33">
        <v>0</v>
      </c>
      <c r="K98" s="33">
        <v>32.24</v>
      </c>
      <c r="L98" s="33">
        <v>27.24</v>
      </c>
      <c r="M98" s="33">
        <v>27.24</v>
      </c>
      <c r="N98" s="32"/>
      <c r="O98" s="36">
        <f>33.54+67.03</f>
        <v>100.57</v>
      </c>
      <c r="P98" s="33">
        <v>65.86</v>
      </c>
      <c r="Q98" s="33">
        <v>61.25</v>
      </c>
      <c r="R98" s="33">
        <v>32.65</v>
      </c>
      <c r="S98" s="33">
        <v>30.03</v>
      </c>
      <c r="T98" s="33">
        <v>29.74</v>
      </c>
      <c r="U98" s="33">
        <v>29.34</v>
      </c>
      <c r="V98" s="33">
        <v>25.77</v>
      </c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3</v>
      </c>
      <c r="D99" s="32" t="s">
        <v>1338</v>
      </c>
      <c r="E99" s="32"/>
      <c r="F99" s="32"/>
      <c r="G99" s="32"/>
      <c r="H99" s="33">
        <v>148.68</v>
      </c>
      <c r="I99" s="33">
        <v>149.62</v>
      </c>
      <c r="J99" s="33">
        <v>149.62</v>
      </c>
      <c r="K99" s="33">
        <v>147.53</v>
      </c>
      <c r="L99" s="33">
        <v>144.54</v>
      </c>
      <c r="M99" s="33">
        <v>144.54</v>
      </c>
      <c r="N99" s="32"/>
      <c r="O99" s="36">
        <f>144.54+143.77</f>
        <v>288.31</v>
      </c>
      <c r="P99" s="33">
        <v>144.54</v>
      </c>
      <c r="Q99" s="33">
        <v>144.54</v>
      </c>
      <c r="R99" s="33">
        <v>144.54</v>
      </c>
      <c r="S99" s="33">
        <v>144.54</v>
      </c>
      <c r="T99" s="33">
        <v>152.83</v>
      </c>
      <c r="U99" s="33">
        <v>153.52</v>
      </c>
      <c r="V99" s="33">
        <v>153.52</v>
      </c>
      <c r="W99" s="33">
        <v>153.52</v>
      </c>
      <c r="X99" s="33">
        <v>153.52</v>
      </c>
      <c r="Y99" s="33">
        <v>153.52</v>
      </c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3</v>
      </c>
      <c r="D100" s="32" t="s">
        <v>1339</v>
      </c>
      <c r="E100" s="32"/>
      <c r="F100" s="32"/>
      <c r="G100" s="32"/>
      <c r="H100" s="33">
        <v>29.41</v>
      </c>
      <c r="I100" s="33">
        <v>29.41</v>
      </c>
      <c r="J100" s="33">
        <v>29.41</v>
      </c>
      <c r="K100" s="33">
        <v>29.41</v>
      </c>
      <c r="L100" s="33">
        <v>29.41</v>
      </c>
      <c r="M100" s="33">
        <v>29.41</v>
      </c>
      <c r="N100" s="32"/>
      <c r="O100" s="36">
        <f>29.41+29.41</f>
        <v>58.82</v>
      </c>
      <c r="P100" s="33">
        <v>29.41</v>
      </c>
      <c r="Q100" s="33">
        <v>29.41</v>
      </c>
      <c r="R100" s="33">
        <v>29.41</v>
      </c>
      <c r="S100" s="36">
        <f>29.41+0.00</f>
        <v>29.41</v>
      </c>
      <c r="T100" s="33">
        <v>29.41</v>
      </c>
      <c r="U100" s="33">
        <v>29.41</v>
      </c>
      <c r="V100" s="33">
        <v>29.41</v>
      </c>
      <c r="W100" s="33">
        <v>29.41</v>
      </c>
      <c r="X100" s="33">
        <v>29.41</v>
      </c>
      <c r="Y100" s="33">
        <v>29.41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3</v>
      </c>
      <c r="D101" s="32" t="s">
        <v>1340</v>
      </c>
      <c r="E101" s="32"/>
      <c r="F101" s="32"/>
      <c r="G101" s="32"/>
      <c r="H101" s="33">
        <v>27.24</v>
      </c>
      <c r="I101" s="33">
        <v>27.24</v>
      </c>
      <c r="J101" s="33">
        <v>27.24</v>
      </c>
      <c r="K101" s="33">
        <v>27.24</v>
      </c>
      <c r="L101" s="33">
        <v>27.24</v>
      </c>
      <c r="M101" s="33">
        <v>27.24</v>
      </c>
      <c r="N101" s="32"/>
      <c r="O101" s="36">
        <f>27.24+27.24</f>
        <v>54.48</v>
      </c>
      <c r="P101" s="33">
        <v>27.24</v>
      </c>
      <c r="Q101" s="33">
        <v>27.24</v>
      </c>
      <c r="R101" s="33">
        <v>27.24</v>
      </c>
      <c r="S101" s="33">
        <v>27.24</v>
      </c>
      <c r="T101" s="33">
        <v>27.24</v>
      </c>
      <c r="U101" s="33">
        <v>27.24</v>
      </c>
      <c r="V101" s="33">
        <v>27.24</v>
      </c>
      <c r="W101" s="33">
        <v>27.24</v>
      </c>
      <c r="X101" s="33">
        <v>27.24</v>
      </c>
      <c r="Y101" s="33">
        <v>27.24</v>
      </c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3</v>
      </c>
      <c r="D102" s="32" t="s">
        <v>1341</v>
      </c>
      <c r="E102" s="32"/>
      <c r="F102" s="32"/>
      <c r="G102" s="32"/>
      <c r="H102" s="33">
        <v>43.02</v>
      </c>
      <c r="I102" s="33">
        <v>34.02</v>
      </c>
      <c r="J102" s="33">
        <v>27.24</v>
      </c>
      <c r="K102" s="33">
        <v>27.24</v>
      </c>
      <c r="L102" s="33">
        <v>27.24</v>
      </c>
      <c r="M102" s="33">
        <v>27.24</v>
      </c>
      <c r="N102" s="32"/>
      <c r="O102" s="36">
        <f>27.24+27.24</f>
        <v>54.48</v>
      </c>
      <c r="P102" s="33">
        <v>27.24</v>
      </c>
      <c r="Q102" s="33">
        <v>27.24</v>
      </c>
      <c r="R102" s="33">
        <v>27.24</v>
      </c>
      <c r="S102" s="33">
        <v>27.24</v>
      </c>
      <c r="T102" s="33">
        <v>27.24</v>
      </c>
      <c r="U102" s="33">
        <v>58.22</v>
      </c>
      <c r="V102" s="33">
        <v>108.64</v>
      </c>
      <c r="W102" s="33">
        <v>113.11</v>
      </c>
      <c r="X102" s="33">
        <v>57.03</v>
      </c>
      <c r="Y102" s="33">
        <v>73.65</v>
      </c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3</v>
      </c>
      <c r="D103" s="32" t="s">
        <v>1342</v>
      </c>
      <c r="E103" s="32"/>
      <c r="F103" s="32"/>
      <c r="G103" s="32"/>
      <c r="H103" s="33">
        <v>27.24</v>
      </c>
      <c r="I103" s="33">
        <v>27.24</v>
      </c>
      <c r="J103" s="33">
        <v>27.24</v>
      </c>
      <c r="K103" s="33">
        <v>27.24</v>
      </c>
      <c r="L103" s="33">
        <v>27.24</v>
      </c>
      <c r="M103" s="33">
        <v>27.24</v>
      </c>
      <c r="N103" s="32"/>
      <c r="O103" s="36">
        <f>27.24+27.24</f>
        <v>54.48</v>
      </c>
      <c r="P103" s="33">
        <v>27.24</v>
      </c>
      <c r="Q103" s="33">
        <v>27.24</v>
      </c>
      <c r="R103" s="33">
        <v>27.24</v>
      </c>
      <c r="S103" s="33">
        <v>27.24</v>
      </c>
      <c r="T103" s="33">
        <v>27.24</v>
      </c>
      <c r="U103" s="33">
        <v>27.24</v>
      </c>
      <c r="V103" s="33">
        <v>27.24</v>
      </c>
      <c r="W103" s="33">
        <v>27.24</v>
      </c>
      <c r="X103" s="33">
        <v>27.24</v>
      </c>
      <c r="Y103" s="33">
        <v>27.24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3</v>
      </c>
      <c r="D104" s="32" t="s">
        <v>1343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3">
        <v>0</v>
      </c>
      <c r="Q104" s="33">
        <v>80.52</v>
      </c>
      <c r="R104" s="33">
        <v>31.07</v>
      </c>
      <c r="S104" s="33">
        <v>31.51</v>
      </c>
      <c r="T104" s="33">
        <v>35.22</v>
      </c>
      <c r="U104" s="33">
        <v>41.47</v>
      </c>
      <c r="V104" s="33">
        <v>35.65</v>
      </c>
      <c r="W104" s="33">
        <v>49.67</v>
      </c>
      <c r="X104" s="33">
        <v>71.29</v>
      </c>
      <c r="Y104" s="33">
        <v>104.53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4">
        <f>SUM(E104:AI104)</f>
      </c>
      <c r="AK104" s="35"/>
    </row>
    <row r="105" ht="12.75" customHeight="1" spans="2:37" x14ac:dyDescent="0.25">
      <c r="B105" s="37"/>
      <c r="C105" s="38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40"/>
    </row>
    <row r="106" ht="12.75" customHeight="1" spans="2:37" x14ac:dyDescent="0.25">
      <c r="B106" s="20" t="s">
        <v>85</v>
      </c>
      <c r="C106" s="21"/>
      <c r="D106" s="21"/>
      <c r="E106" s="22">
        <f>SUM(E13:E104)</f>
      </c>
      <c r="F106" s="22">
        <f>SUM(F13:F104)</f>
      </c>
      <c r="G106" s="22">
        <f>SUM(G13:G104)</f>
      </c>
      <c r="H106" s="22">
        <f>SUM(H13:H104)</f>
      </c>
      <c r="I106" s="22">
        <f>SUM(I13:I104)</f>
      </c>
      <c r="J106" s="22">
        <f>SUM(J13:J104)</f>
      </c>
      <c r="K106" s="22">
        <f>SUM(K13:K104)</f>
      </c>
      <c r="L106" s="22">
        <f>SUM(L13:L104)</f>
      </c>
      <c r="M106" s="22">
        <f>SUM(M13:M104)</f>
      </c>
      <c r="N106" s="22">
        <f>SUM(N13:N104)</f>
      </c>
      <c r="O106" s="22">
        <f>SUM(O13:O104)</f>
      </c>
      <c r="P106" s="22">
        <f>SUM(P13:P104)</f>
      </c>
      <c r="Q106" s="22">
        <f>SUM(Q13:Q104)</f>
      </c>
      <c r="R106" s="22">
        <f>SUM(R13:R104)</f>
      </c>
      <c r="S106" s="22">
        <f>SUM(S13:S104)</f>
      </c>
      <c r="T106" s="22">
        <f>SUM(T13:T104)</f>
      </c>
      <c r="U106" s="22">
        <f>SUM(U13:U104)</f>
      </c>
      <c r="V106" s="22">
        <f>SUM(V13:V104)</f>
      </c>
      <c r="W106" s="22">
        <f>SUM(W13:W104)</f>
      </c>
      <c r="X106" s="22">
        <f>SUM(X13:X104)</f>
      </c>
      <c r="Y106" s="22">
        <f>SUM(Y13:Y104)</f>
      </c>
      <c r="Z106" s="22">
        <f>SUM(Z13:Z104)</f>
      </c>
      <c r="AA106" s="22">
        <f>SUM(AA13:AA104)</f>
      </c>
      <c r="AB106" s="22">
        <f>SUM(AB13:AB104)</f>
      </c>
      <c r="AC106" s="22">
        <f>SUM(AC13:AC104)</f>
      </c>
      <c r="AD106" s="22">
        <f>SUM(AD13:AD104)</f>
      </c>
      <c r="AE106" s="22">
        <f>SUM(AE13:AE104)</f>
      </c>
      <c r="AF106" s="22">
        <f>SUM(AF13:AF104)</f>
      </c>
      <c r="AG106" s="22">
        <f>SUM(AG13:AG104)</f>
      </c>
      <c r="AH106" s="22">
        <f>SUM(AH13:AH104)</f>
      </c>
      <c r="AI106" s="22">
        <f>SUM(AI13:AI104)</f>
      </c>
      <c r="AJ106" s="22">
        <f>SUM(AJ13:AJ104)</f>
      </c>
      <c r="AK106" s="23"/>
    </row>
    <row r="108" ht="12.75" customHeight="1" spans="2:37" x14ac:dyDescent="0.25">
      <c r="B108" s="26" t="s">
        <v>43</v>
      </c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9"/>
    </row>
    <row r="109" ht="12.75" customHeight="1" spans="2:37" x14ac:dyDescent="0.25">
      <c r="B109" s="30" t="s">
        <v>43</v>
      </c>
      <c r="C109" s="31" t="s">
        <v>3</v>
      </c>
      <c r="D109" s="32" t="s">
        <v>1344</v>
      </c>
      <c r="E109" s="32"/>
      <c r="F109" s="32"/>
      <c r="G109" s="32"/>
      <c r="H109" s="36">
        <f>11173.11+7342.30</f>
        <v>18515.41</v>
      </c>
      <c r="I109" s="36">
        <f>10906.81+7137.46</f>
        <v>18044.27</v>
      </c>
      <c r="J109" s="36">
        <f>10669.45+6954.87</f>
        <v>17624.32</v>
      </c>
      <c r="K109" s="36">
        <f>14191.08+3349.75</f>
        <v>17540.83</v>
      </c>
      <c r="L109" s="36">
        <f>11548.62+7677.81</f>
        <v>19226.43</v>
      </c>
      <c r="M109" s="36">
        <f>11384.37+8827.01</f>
        <v>20211.38</v>
      </c>
      <c r="N109" s="36">
        <f>10841.62+8277.55</f>
        <v>19119.17</v>
      </c>
      <c r="O109" s="36">
        <f>11005.10+8443.04</f>
        <v>19448.14</v>
      </c>
      <c r="P109" s="36">
        <f>10978.13+7192.31</f>
        <v>18170.44</v>
      </c>
      <c r="Q109" s="36">
        <f>10864.10+7104.60+0.00</f>
        <v>17968.7</v>
      </c>
      <c r="R109" s="36">
        <f>11425.50+6813.20</f>
        <v>18238.7</v>
      </c>
      <c r="S109" s="36">
        <f>10989.15+7200.79</f>
        <v>18189.94</v>
      </c>
      <c r="T109" s="36">
        <f>14499.27+8741.70</f>
        <v>23240.97</v>
      </c>
      <c r="U109" s="36">
        <f>15137.90+9259.90</f>
        <v>24397.8</v>
      </c>
      <c r="V109" s="36">
        <f>13225.42+7783.71</f>
        <v>21009.13</v>
      </c>
      <c r="W109" s="36">
        <f>13856.78+8222.38</f>
        <v>22079.16</v>
      </c>
      <c r="X109" s="36">
        <f>14817.94+9000.28</f>
        <v>23818.22</v>
      </c>
      <c r="Y109" s="36">
        <f>14272.86+8557.99</f>
        <v>22830.85</v>
      </c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4">
        <f>SUM(E109:AI109)</f>
      </c>
      <c r="AK109" s="35"/>
    </row>
    <row r="110" ht="12.75" customHeight="1" spans="2:37" x14ac:dyDescent="0.25">
      <c r="B110" s="30" t="s">
        <v>43</v>
      </c>
      <c r="C110" s="31" t="s">
        <v>3</v>
      </c>
      <c r="D110" s="32" t="s">
        <v>1345</v>
      </c>
      <c r="E110" s="32"/>
      <c r="F110" s="32"/>
      <c r="G110" s="32"/>
      <c r="H110" s="36">
        <f>75.17+42.15</f>
        <v>117.32</v>
      </c>
      <c r="I110" s="36">
        <f>75.17+42.15</f>
        <v>117.32</v>
      </c>
      <c r="J110" s="36">
        <f>75.17+42.15</f>
        <v>117.32</v>
      </c>
      <c r="K110" s="36">
        <f>70.92+46.40</f>
        <v>117.32</v>
      </c>
      <c r="L110" s="36">
        <f>75.17+42.15</f>
        <v>117.32</v>
      </c>
      <c r="M110" s="36">
        <f>70.92+46.40</f>
        <v>117.32</v>
      </c>
      <c r="N110" s="36">
        <f>70.92+46.40</f>
        <v>117.32</v>
      </c>
      <c r="O110" s="36">
        <f>70.92+46.40</f>
        <v>117.32</v>
      </c>
      <c r="P110" s="36">
        <f>75.17+42.15</f>
        <v>117.32</v>
      </c>
      <c r="Q110" s="36">
        <f>75.17+0.00+42.15</f>
        <v>117.32</v>
      </c>
      <c r="R110" s="36">
        <f>70.92+46.40</f>
        <v>117.32</v>
      </c>
      <c r="S110" s="36">
        <f>77.56+39.76</f>
        <v>117.32</v>
      </c>
      <c r="T110" s="36">
        <f>95.91+44.52</f>
        <v>140.43</v>
      </c>
      <c r="U110" s="36">
        <f>93.24+47.19</f>
        <v>140.43</v>
      </c>
      <c r="V110" s="36">
        <f>87.96+52.47</f>
        <v>140.43</v>
      </c>
      <c r="W110" s="36">
        <f>87.96+52.47</f>
        <v>140.43</v>
      </c>
      <c r="X110" s="36">
        <f>93.24+47.19</f>
        <v>140.43</v>
      </c>
      <c r="Y110" s="36">
        <f>93.24+47.19</f>
        <v>140.43</v>
      </c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4">
        <f>SUM(E110:AI110)</f>
      </c>
      <c r="AK110" s="35"/>
    </row>
    <row r="111" ht="12.75" customHeight="1" spans="2:37" x14ac:dyDescent="0.25">
      <c r="B111" s="37"/>
      <c r="C111" s="38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40"/>
    </row>
    <row r="112" ht="12.75" customHeight="1" spans="2:37" x14ac:dyDescent="0.25">
      <c r="B112" s="20" t="s">
        <v>89</v>
      </c>
      <c r="C112" s="21"/>
      <c r="D112" s="21"/>
      <c r="E112" s="22">
        <f>SUM(E109:E110)</f>
      </c>
      <c r="F112" s="22">
        <f>SUM(F109:F110)</f>
      </c>
      <c r="G112" s="22">
        <f>SUM(G109:G110)</f>
      </c>
      <c r="H112" s="22">
        <f>SUM(H109:H110)</f>
      </c>
      <c r="I112" s="22">
        <f>SUM(I109:I110)</f>
      </c>
      <c r="J112" s="22">
        <f>SUM(J109:J110)</f>
      </c>
      <c r="K112" s="22">
        <f>SUM(K109:K110)</f>
      </c>
      <c r="L112" s="22">
        <f>SUM(L109:L110)</f>
      </c>
      <c r="M112" s="22">
        <f>SUM(M109:M110)</f>
      </c>
      <c r="N112" s="22">
        <f>SUM(N109:N110)</f>
      </c>
      <c r="O112" s="22">
        <f>SUM(O109:O110)</f>
      </c>
      <c r="P112" s="22">
        <f>SUM(P109:P110)</f>
      </c>
      <c r="Q112" s="22">
        <f>SUM(Q109:Q110)</f>
      </c>
      <c r="R112" s="22">
        <f>SUM(R109:R110)</f>
      </c>
      <c r="S112" s="22">
        <f>SUM(S109:S110)</f>
      </c>
      <c r="T112" s="22">
        <f>SUM(T109:T110)</f>
      </c>
      <c r="U112" s="22">
        <f>SUM(U109:U110)</f>
      </c>
      <c r="V112" s="22">
        <f>SUM(V109:V110)</f>
      </c>
      <c r="W112" s="22">
        <f>SUM(W109:W110)</f>
      </c>
      <c r="X112" s="22">
        <f>SUM(X109:X110)</f>
      </c>
      <c r="Y112" s="22">
        <f>SUM(Y109:Y110)</f>
      </c>
      <c r="Z112" s="22">
        <f>SUM(Z109:Z110)</f>
      </c>
      <c r="AA112" s="22">
        <f>SUM(AA109:AA110)</f>
      </c>
      <c r="AB112" s="22">
        <f>SUM(AB109:AB110)</f>
      </c>
      <c r="AC112" s="22">
        <f>SUM(AC109:AC110)</f>
      </c>
      <c r="AD112" s="22">
        <f>SUM(AD109:AD110)</f>
      </c>
      <c r="AE112" s="22">
        <f>SUM(AE109:AE110)</f>
      </c>
      <c r="AF112" s="22">
        <f>SUM(AF109:AF110)</f>
      </c>
      <c r="AG112" s="22">
        <f>SUM(AG109:AG110)</f>
      </c>
      <c r="AH112" s="22">
        <f>SUM(AH109:AH110)</f>
      </c>
      <c r="AI112" s="22">
        <f>SUM(AI109:AI110)</f>
      </c>
      <c r="AJ112" s="22">
        <f>SUM(AJ109:AJ110)</f>
      </c>
      <c r="AK112" s="23"/>
    </row>
    <row r="114" ht="12.75" customHeight="1" spans="2:37" x14ac:dyDescent="0.25">
      <c r="B114" s="26" t="s">
        <v>44</v>
      </c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9"/>
    </row>
    <row r="115" ht="12.75" customHeight="1" spans="2:37" x14ac:dyDescent="0.25">
      <c r="B115" s="37"/>
      <c r="C115" s="38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40"/>
    </row>
    <row r="116" ht="12.75" customHeight="1" spans="2:37" x14ac:dyDescent="0.25">
      <c r="B116" s="20" t="s">
        <v>90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3"/>
    </row>
    <row r="119" ht="12.75" customHeight="1" spans="2:37" x14ac:dyDescent="0.25">
      <c r="B119" s="11" t="s">
        <v>40</v>
      </c>
      <c r="C119" s="12"/>
      <c r="D119" s="13"/>
      <c r="E119" s="14" t="s">
        <v>7</v>
      </c>
      <c r="F119" s="14" t="s">
        <v>8</v>
      </c>
      <c r="G119" s="14" t="s">
        <v>9</v>
      </c>
      <c r="H119" s="14" t="s">
        <v>10</v>
      </c>
      <c r="I119" s="14" t="s">
        <v>11</v>
      </c>
      <c r="J119" s="14" t="s">
        <v>12</v>
      </c>
      <c r="K119" s="14" t="s">
        <v>13</v>
      </c>
      <c r="L119" s="14" t="s">
        <v>14</v>
      </c>
      <c r="M119" s="14" t="s">
        <v>15</v>
      </c>
      <c r="N119" s="14" t="s">
        <v>16</v>
      </c>
      <c r="O119" s="14" t="s">
        <v>17</v>
      </c>
      <c r="P119" s="14" t="s">
        <v>18</v>
      </c>
      <c r="Q119" s="14" t="s">
        <v>19</v>
      </c>
      <c r="R119" s="14" t="s">
        <v>20</v>
      </c>
      <c r="S119" s="14" t="s">
        <v>21</v>
      </c>
      <c r="T119" s="14" t="s">
        <v>22</v>
      </c>
      <c r="U119" s="14" t="s">
        <v>23</v>
      </c>
      <c r="V119" s="14" t="s">
        <v>24</v>
      </c>
      <c r="W119" s="14" t="s">
        <v>25</v>
      </c>
      <c r="X119" s="14" t="s">
        <v>26</v>
      </c>
      <c r="Y119" s="14" t="s">
        <v>27</v>
      </c>
      <c r="Z119" s="14" t="s">
        <v>28</v>
      </c>
      <c r="AA119" s="14" t="s">
        <v>29</v>
      </c>
      <c r="AB119" s="14" t="s">
        <v>30</v>
      </c>
      <c r="AC119" s="14" t="s">
        <v>31</v>
      </c>
      <c r="AD119" s="14" t="s">
        <v>32</v>
      </c>
      <c r="AE119" s="14" t="s">
        <v>33</v>
      </c>
      <c r="AF119" s="14" t="s">
        <v>34</v>
      </c>
      <c r="AG119" s="14" t="s">
        <v>35</v>
      </c>
      <c r="AH119" s="14" t="s">
        <v>36</v>
      </c>
      <c r="AI119" s="14" t="s">
        <v>37</v>
      </c>
      <c r="AJ119" s="14" t="s">
        <v>38</v>
      </c>
      <c r="AK119" s="15"/>
    </row>
    <row r="120" ht="12.75" customHeight="1" spans="2:37" x14ac:dyDescent="0.25">
      <c r="B120" s="16" t="s">
        <v>41</v>
      </c>
      <c r="C120" s="17"/>
      <c r="D120" s="17"/>
      <c r="E120" s="18">
        <f>E10</f>
      </c>
      <c r="F120" s="18">
        <f>F10</f>
      </c>
      <c r="G120" s="18">
        <f>G10</f>
      </c>
      <c r="H120" s="18">
        <f>H10</f>
      </c>
      <c r="I120" s="18">
        <f>I10</f>
      </c>
      <c r="J120" s="18">
        <f>J10</f>
      </c>
      <c r="K120" s="18">
        <f>K10</f>
      </c>
      <c r="L120" s="18">
        <f>L10</f>
      </c>
      <c r="M120" s="18">
        <f>M10</f>
      </c>
      <c r="N120" s="18">
        <f>N10</f>
      </c>
      <c r="O120" s="18">
        <f>O10</f>
      </c>
      <c r="P120" s="18">
        <f>P10</f>
      </c>
      <c r="Q120" s="18">
        <f>Q10</f>
      </c>
      <c r="R120" s="18">
        <f>R10</f>
      </c>
      <c r="S120" s="18">
        <f>S10</f>
      </c>
      <c r="T120" s="18">
        <f>T10</f>
      </c>
      <c r="U120" s="18">
        <f>U10</f>
      </c>
      <c r="V120" s="18">
        <f>V10</f>
      </c>
      <c r="W120" s="18">
        <f>W10</f>
      </c>
      <c r="X120" s="18">
        <f>X10</f>
      </c>
      <c r="Y120" s="18">
        <f>Y10</f>
      </c>
      <c r="Z120" s="18">
        <f>Z10</f>
      </c>
      <c r="AA120" s="18">
        <f>AA10</f>
      </c>
      <c r="AB120" s="18">
        <f>AB10</f>
      </c>
      <c r="AC120" s="18">
        <f>AC10</f>
      </c>
      <c r="AD120" s="18">
        <f>AD10</f>
      </c>
      <c r="AE120" s="18">
        <f>AE10</f>
      </c>
      <c r="AF120" s="18">
        <f>AF10</f>
      </c>
      <c r="AG120" s="18">
        <f>AG10</f>
      </c>
      <c r="AH120" s="18">
        <f>AH10</f>
      </c>
      <c r="AI120" s="18">
        <f>AI10</f>
      </c>
      <c r="AJ120" s="18">
        <f>AJ10</f>
      </c>
      <c r="AK120" s="19"/>
    </row>
    <row r="121" ht="12.75" customHeight="1" spans="2:37" x14ac:dyDescent="0.25">
      <c r="B121" s="16" t="s">
        <v>42</v>
      </c>
      <c r="C121" s="17"/>
      <c r="D121" s="17"/>
      <c r="E121" s="18">
        <f>E106</f>
      </c>
      <c r="F121" s="18">
        <f>F106</f>
      </c>
      <c r="G121" s="18">
        <f>G106</f>
      </c>
      <c r="H121" s="18">
        <f>H106</f>
      </c>
      <c r="I121" s="18">
        <f>I106</f>
      </c>
      <c r="J121" s="18">
        <f>J106</f>
      </c>
      <c r="K121" s="18">
        <f>K106</f>
      </c>
      <c r="L121" s="18">
        <f>L106</f>
      </c>
      <c r="M121" s="18">
        <f>M106</f>
      </c>
      <c r="N121" s="18">
        <f>N106</f>
      </c>
      <c r="O121" s="18">
        <f>O106</f>
      </c>
      <c r="P121" s="18">
        <f>P106</f>
      </c>
      <c r="Q121" s="18">
        <f>Q106</f>
      </c>
      <c r="R121" s="18">
        <f>R106</f>
      </c>
      <c r="S121" s="18">
        <f>S106</f>
      </c>
      <c r="T121" s="18">
        <f>T106</f>
      </c>
      <c r="U121" s="18">
        <f>U106</f>
      </c>
      <c r="V121" s="18">
        <f>V106</f>
      </c>
      <c r="W121" s="18">
        <f>W106</f>
      </c>
      <c r="X121" s="18">
        <f>X106</f>
      </c>
      <c r="Y121" s="18">
        <f>Y106</f>
      </c>
      <c r="Z121" s="18">
        <f>Z106</f>
      </c>
      <c r="AA121" s="18">
        <f>AA106</f>
      </c>
      <c r="AB121" s="18">
        <f>AB106</f>
      </c>
      <c r="AC121" s="18">
        <f>AC106</f>
      </c>
      <c r="AD121" s="18">
        <f>AD106</f>
      </c>
      <c r="AE121" s="18">
        <f>AE106</f>
      </c>
      <c r="AF121" s="18">
        <f>AF106</f>
      </c>
      <c r="AG121" s="18">
        <f>AG106</f>
      </c>
      <c r="AH121" s="18">
        <f>AH106</f>
      </c>
      <c r="AI121" s="18">
        <f>AI106</f>
      </c>
      <c r="AJ121" s="18">
        <f>AJ106</f>
      </c>
      <c r="AK121" s="19"/>
    </row>
    <row r="122" ht="12.75" customHeight="1" spans="2:37" x14ac:dyDescent="0.25">
      <c r="B122" s="16" t="s">
        <v>43</v>
      </c>
      <c r="C122" s="17"/>
      <c r="D122" s="17"/>
      <c r="E122" s="18">
        <f>E112</f>
      </c>
      <c r="F122" s="18">
        <f>F112</f>
      </c>
      <c r="G122" s="18">
        <f>G112</f>
      </c>
      <c r="H122" s="18">
        <f>H112</f>
      </c>
      <c r="I122" s="18">
        <f>I112</f>
      </c>
      <c r="J122" s="18">
        <f>J112</f>
      </c>
      <c r="K122" s="18">
        <f>K112</f>
      </c>
      <c r="L122" s="18">
        <f>L112</f>
      </c>
      <c r="M122" s="18">
        <f>M112</f>
      </c>
      <c r="N122" s="18">
        <f>N112</f>
      </c>
      <c r="O122" s="18">
        <f>O112</f>
      </c>
      <c r="P122" s="18">
        <f>P112</f>
      </c>
      <c r="Q122" s="18">
        <f>Q112</f>
      </c>
      <c r="R122" s="18">
        <f>R112</f>
      </c>
      <c r="S122" s="18">
        <f>S112</f>
      </c>
      <c r="T122" s="18">
        <f>T112</f>
      </c>
      <c r="U122" s="18">
        <f>U112</f>
      </c>
      <c r="V122" s="18">
        <f>V112</f>
      </c>
      <c r="W122" s="18">
        <f>W112</f>
      </c>
      <c r="X122" s="18">
        <f>X112</f>
      </c>
      <c r="Y122" s="18">
        <f>Y112</f>
      </c>
      <c r="Z122" s="18">
        <f>Z112</f>
      </c>
      <c r="AA122" s="18">
        <f>AA112</f>
      </c>
      <c r="AB122" s="18">
        <f>AB112</f>
      </c>
      <c r="AC122" s="18">
        <f>AC112</f>
      </c>
      <c r="AD122" s="18">
        <f>AD112</f>
      </c>
      <c r="AE122" s="18">
        <f>AE112</f>
      </c>
      <c r="AF122" s="18">
        <f>AF112</f>
      </c>
      <c r="AG122" s="18">
        <f>AG112</f>
      </c>
      <c r="AH122" s="18">
        <f>AH112</f>
      </c>
      <c r="AI122" s="18">
        <f>AI112</f>
      </c>
      <c r="AJ122" s="18">
        <f>AJ112</f>
      </c>
      <c r="AK122" s="19"/>
    </row>
    <row r="123" ht="12.75" customHeight="1" spans="2:37" x14ac:dyDescent="0.25">
      <c r="B123" s="16" t="s">
        <v>44</v>
      </c>
      <c r="C123" s="17"/>
      <c r="D123" s="17"/>
      <c r="E123" s="18">
        <f>E116</f>
      </c>
      <c r="F123" s="18">
        <f>F116</f>
      </c>
      <c r="G123" s="18">
        <f>G116</f>
      </c>
      <c r="H123" s="18">
        <f>H116</f>
      </c>
      <c r="I123" s="18">
        <f>I116</f>
      </c>
      <c r="J123" s="18">
        <f>J116</f>
      </c>
      <c r="K123" s="18">
        <f>K116</f>
      </c>
      <c r="L123" s="18">
        <f>L116</f>
      </c>
      <c r="M123" s="18">
        <f>M116</f>
      </c>
      <c r="N123" s="18">
        <f>N116</f>
      </c>
      <c r="O123" s="18">
        <f>O116</f>
      </c>
      <c r="P123" s="18">
        <f>P116</f>
      </c>
      <c r="Q123" s="18">
        <f>Q116</f>
      </c>
      <c r="R123" s="18">
        <f>R116</f>
      </c>
      <c r="S123" s="18">
        <f>S116</f>
      </c>
      <c r="T123" s="18">
        <f>T116</f>
      </c>
      <c r="U123" s="18">
        <f>U116</f>
      </c>
      <c r="V123" s="18">
        <f>V116</f>
      </c>
      <c r="W123" s="18">
        <f>W116</f>
      </c>
      <c r="X123" s="18">
        <f>X116</f>
      </c>
      <c r="Y123" s="18">
        <f>Y116</f>
      </c>
      <c r="Z123" s="18">
        <f>Z116</f>
      </c>
      <c r="AA123" s="18">
        <f>AA116</f>
      </c>
      <c r="AB123" s="18">
        <f>AB116</f>
      </c>
      <c r="AC123" s="18">
        <f>AC116</f>
      </c>
      <c r="AD123" s="18">
        <f>AD116</f>
      </c>
      <c r="AE123" s="18">
        <f>AE116</f>
      </c>
      <c r="AF123" s="18">
        <f>AF116</f>
      </c>
      <c r="AG123" s="18">
        <f>AG116</f>
      </c>
      <c r="AH123" s="18">
        <f>AH116</f>
      </c>
      <c r="AI123" s="18">
        <f>AI116</f>
      </c>
      <c r="AJ123" s="18">
        <f>AJ116</f>
      </c>
      <c r="AK123" s="19"/>
    </row>
    <row r="124" ht="12.75" customHeight="1" spans="2:37" x14ac:dyDescent="0.25">
      <c r="B124" s="20" t="s">
        <v>45</v>
      </c>
      <c r="C124" s="21"/>
      <c r="D124" s="21"/>
      <c r="E124" s="22">
        <f>E120+E121+E122+E123</f>
      </c>
      <c r="F124" s="22">
        <f>F120+F121+F122+F123</f>
      </c>
      <c r="G124" s="22">
        <f>G120+G121+G122+G123</f>
      </c>
      <c r="H124" s="22">
        <f>H120+H121+H122+H123</f>
      </c>
      <c r="I124" s="22">
        <f>I120+I121+I122+I123</f>
      </c>
      <c r="J124" s="22">
        <f>J120+J121+J122+J123</f>
      </c>
      <c r="K124" s="22">
        <f>K120+K121+K122+K123</f>
      </c>
      <c r="L124" s="22">
        <f>L120+L121+L122+L123</f>
      </c>
      <c r="M124" s="22">
        <f>M120+M121+M122+M123</f>
      </c>
      <c r="N124" s="22">
        <f>N120+N121+N122+N123</f>
      </c>
      <c r="O124" s="22">
        <f>O120+O121+O122+O123</f>
      </c>
      <c r="P124" s="22">
        <f>P120+P121+P122+P123</f>
      </c>
      <c r="Q124" s="22">
        <f>Q120+Q121+Q122+Q123</f>
      </c>
      <c r="R124" s="22">
        <f>R120+R121+R122+R123</f>
      </c>
      <c r="S124" s="22">
        <f>S120+S121+S122+S123</f>
      </c>
      <c r="T124" s="22">
        <f>T120+T121+T122+T123</f>
      </c>
      <c r="U124" s="22">
        <f>U120+U121+U122+U123</f>
      </c>
      <c r="V124" s="22">
        <f>V120+V121+V122+V123</f>
      </c>
      <c r="W124" s="22">
        <f>W120+W121+W122+W123</f>
      </c>
      <c r="X124" s="22">
        <f>X120+X121+X122+X123</f>
      </c>
      <c r="Y124" s="22">
        <f>Y120+Y121+Y122+Y123</f>
      </c>
      <c r="Z124" s="22">
        <f>Z120+Z121+Z122+Z123</f>
      </c>
      <c r="AA124" s="22">
        <f>AA120+AA121+AA122+AA123</f>
      </c>
      <c r="AB124" s="22">
        <f>AB120+AB121+AB122+AB123</f>
      </c>
      <c r="AC124" s="22">
        <f>AC120+AC121+AC122+AC123</f>
      </c>
      <c r="AD124" s="22">
        <f>AD120+AD121+AD122+AD123</f>
      </c>
      <c r="AE124" s="22">
        <f>AE120+AE121+AE122+AE123</f>
      </c>
      <c r="AF124" s="22">
        <f>AF120+AF121+AF122+AF123</f>
      </c>
      <c r="AG124" s="22">
        <f>AG120+AG121+AG122+AG123</f>
      </c>
      <c r="AH124" s="22">
        <f>AH120+AH121+AH122+AH123</f>
      </c>
      <c r="AI124" s="22">
        <f>AI120+AI121+AI122+AI123</f>
      </c>
      <c r="AJ124" s="22">
        <f>AJ120+AJ121+AJ122+AJ123</f>
      </c>
      <c r="AK124" s="23"/>
    </row>
    <row r="126" ht="12.75" customHeight="1" spans="2:37" x14ac:dyDescent="0.25">
      <c r="B126" s="11" t="s">
        <v>46</v>
      </c>
      <c r="C126" s="12"/>
      <c r="D126" s="13"/>
      <c r="E126" s="14" t="s">
        <v>7</v>
      </c>
      <c r="F126" s="14" t="s">
        <v>8</v>
      </c>
      <c r="G126" s="14" t="s">
        <v>9</v>
      </c>
      <c r="H126" s="14" t="s">
        <v>10</v>
      </c>
      <c r="I126" s="14" t="s">
        <v>11</v>
      </c>
      <c r="J126" s="14" t="s">
        <v>12</v>
      </c>
      <c r="K126" s="14" t="s">
        <v>13</v>
      </c>
      <c r="L126" s="14" t="s">
        <v>14</v>
      </c>
      <c r="M126" s="14" t="s">
        <v>15</v>
      </c>
      <c r="N126" s="14" t="s">
        <v>16</v>
      </c>
      <c r="O126" s="14" t="s">
        <v>17</v>
      </c>
      <c r="P126" s="14" t="s">
        <v>18</v>
      </c>
      <c r="Q126" s="14" t="s">
        <v>19</v>
      </c>
      <c r="R126" s="14" t="s">
        <v>20</v>
      </c>
      <c r="S126" s="14" t="s">
        <v>21</v>
      </c>
      <c r="T126" s="14" t="s">
        <v>22</v>
      </c>
      <c r="U126" s="14" t="s">
        <v>23</v>
      </c>
      <c r="V126" s="14" t="s">
        <v>24</v>
      </c>
      <c r="W126" s="14" t="s">
        <v>25</v>
      </c>
      <c r="X126" s="14" t="s">
        <v>26</v>
      </c>
      <c r="Y126" s="14" t="s">
        <v>27</v>
      </c>
      <c r="Z126" s="14" t="s">
        <v>28</v>
      </c>
      <c r="AA126" s="14" t="s">
        <v>29</v>
      </c>
      <c r="AB126" s="14" t="s">
        <v>30</v>
      </c>
      <c r="AC126" s="14" t="s">
        <v>31</v>
      </c>
      <c r="AD126" s="14" t="s">
        <v>32</v>
      </c>
      <c r="AE126" s="14" t="s">
        <v>33</v>
      </c>
      <c r="AF126" s="14" t="s">
        <v>34</v>
      </c>
      <c r="AG126" s="14" t="s">
        <v>35</v>
      </c>
      <c r="AH126" s="14" t="s">
        <v>36</v>
      </c>
      <c r="AI126" s="14" t="s">
        <v>37</v>
      </c>
      <c r="AJ126" s="14" t="s">
        <v>38</v>
      </c>
      <c r="AK126" s="15"/>
    </row>
    <row r="127" ht="12.75" customHeight="1" spans="2:37" x14ac:dyDescent="0.25">
      <c r="B127" s="16" t="s">
        <v>41</v>
      </c>
      <c r="C127" s="17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9"/>
    </row>
    <row r="128" ht="12.75" customHeight="1" spans="2:37" x14ac:dyDescent="0.25">
      <c r="B128" s="16" t="s">
        <v>42</v>
      </c>
      <c r="C128" s="17"/>
      <c r="D128" s="17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9"/>
    </row>
    <row r="129" ht="12.75" customHeight="1" spans="2:37" x14ac:dyDescent="0.25">
      <c r="B129" s="16" t="s">
        <v>43</v>
      </c>
      <c r="C129" s="17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9"/>
    </row>
    <row r="130" ht="12.75" customHeight="1" spans="2:37" x14ac:dyDescent="0.25">
      <c r="B130" s="16" t="s">
        <v>44</v>
      </c>
      <c r="C130" s="17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9"/>
    </row>
    <row r="131" ht="12.75" customHeight="1" spans="2:37" x14ac:dyDescent="0.25">
      <c r="B131" s="20" t="s">
        <v>45</v>
      </c>
      <c r="C131" s="21"/>
      <c r="D131" s="21"/>
      <c r="E131" s="22">
        <f>E127+E128+E129+E130</f>
      </c>
      <c r="F131" s="22">
        <f>F127+F128+F129+F130</f>
      </c>
      <c r="G131" s="22">
        <f>G127+G128+G129+G130</f>
      </c>
      <c r="H131" s="22">
        <f>H127+H128+H129+H130</f>
      </c>
      <c r="I131" s="22">
        <f>I127+I128+I129+I130</f>
      </c>
      <c r="J131" s="22">
        <f>J127+J128+J129+J130</f>
      </c>
      <c r="K131" s="22">
        <f>K127+K128+K129+K130</f>
      </c>
      <c r="L131" s="22">
        <f>L127+L128+L129+L130</f>
      </c>
      <c r="M131" s="22">
        <f>M127+M128+M129+M130</f>
      </c>
      <c r="N131" s="22">
        <f>N127+N128+N129+N130</f>
      </c>
      <c r="O131" s="22">
        <f>O127+O128+O129+O130</f>
      </c>
      <c r="P131" s="22">
        <f>P127+P128+P129+P130</f>
      </c>
      <c r="Q131" s="22">
        <f>Q127+Q128+Q129+Q130</f>
      </c>
      <c r="R131" s="22">
        <f>R127+R128+R129+R130</f>
      </c>
      <c r="S131" s="22">
        <f>S127+S128+S129+S130</f>
      </c>
      <c r="T131" s="22">
        <f>T127+T128+T129+T130</f>
      </c>
      <c r="U131" s="22">
        <f>U127+U128+U129+U130</f>
      </c>
      <c r="V131" s="22">
        <f>V127+V128+V129+V130</f>
      </c>
      <c r="W131" s="22">
        <f>W127+W128+W129+W130</f>
      </c>
      <c r="X131" s="22">
        <f>X127+X128+X129+X130</f>
      </c>
      <c r="Y131" s="22">
        <f>Y127+Y128+Y129+Y130</f>
      </c>
      <c r="Z131" s="22">
        <f>Z127+Z128+Z129+Z130</f>
      </c>
      <c r="AA131" s="22">
        <f>AA127+AA128+AA129+AA130</f>
      </c>
      <c r="AB131" s="22">
        <f>AB127+AB128+AB129+AB130</f>
      </c>
      <c r="AC131" s="22">
        <f>AC127+AC128+AC129+AC130</f>
      </c>
      <c r="AD131" s="22">
        <f>AD127+AD128+AD129+AD130</f>
      </c>
      <c r="AE131" s="22">
        <f>AE127+AE128+AE129+AE130</f>
      </c>
      <c r="AF131" s="22">
        <f>AF127+AF128+AF129+AF130</f>
      </c>
      <c r="AG131" s="22">
        <f>AG127+AG128+AG129+AG130</f>
      </c>
      <c r="AH131" s="22">
        <f>AH127+AH128+AH129+AH130</f>
      </c>
      <c r="AI131" s="22">
        <f>AI127+AI128+AI129+AI130</f>
      </c>
      <c r="AJ131" s="22">
        <f>AJ127+AJ128+AJ129+AJ130</f>
      </c>
      <c r="AK131" s="23"/>
    </row>
    <row r="133" ht="12.75" customHeight="1" spans="2:37" x14ac:dyDescent="0.25">
      <c r="B133" s="11" t="s">
        <v>47</v>
      </c>
      <c r="C133" s="12"/>
      <c r="D133" s="13"/>
      <c r="E133" s="14" t="s">
        <v>7</v>
      </c>
      <c r="F133" s="14" t="s">
        <v>8</v>
      </c>
      <c r="G133" s="14" t="s">
        <v>9</v>
      </c>
      <c r="H133" s="14" t="s">
        <v>10</v>
      </c>
      <c r="I133" s="14" t="s">
        <v>11</v>
      </c>
      <c r="J133" s="14" t="s">
        <v>12</v>
      </c>
      <c r="K133" s="14" t="s">
        <v>13</v>
      </c>
      <c r="L133" s="14" t="s">
        <v>14</v>
      </c>
      <c r="M133" s="14" t="s">
        <v>15</v>
      </c>
      <c r="N133" s="14" t="s">
        <v>16</v>
      </c>
      <c r="O133" s="14" t="s">
        <v>17</v>
      </c>
      <c r="P133" s="14" t="s">
        <v>18</v>
      </c>
      <c r="Q133" s="14" t="s">
        <v>19</v>
      </c>
      <c r="R133" s="14" t="s">
        <v>20</v>
      </c>
      <c r="S133" s="14" t="s">
        <v>21</v>
      </c>
      <c r="T133" s="14" t="s">
        <v>22</v>
      </c>
      <c r="U133" s="14" t="s">
        <v>23</v>
      </c>
      <c r="V133" s="14" t="s">
        <v>24</v>
      </c>
      <c r="W133" s="14" t="s">
        <v>25</v>
      </c>
      <c r="X133" s="14" t="s">
        <v>26</v>
      </c>
      <c r="Y133" s="14" t="s">
        <v>27</v>
      </c>
      <c r="Z133" s="14" t="s">
        <v>28</v>
      </c>
      <c r="AA133" s="14" t="s">
        <v>29</v>
      </c>
      <c r="AB133" s="14" t="s">
        <v>30</v>
      </c>
      <c r="AC133" s="14" t="s">
        <v>31</v>
      </c>
      <c r="AD133" s="14" t="s">
        <v>32</v>
      </c>
      <c r="AE133" s="14" t="s">
        <v>33</v>
      </c>
      <c r="AF133" s="14" t="s">
        <v>34</v>
      </c>
      <c r="AG133" s="14" t="s">
        <v>35</v>
      </c>
      <c r="AH133" s="14" t="s">
        <v>36</v>
      </c>
      <c r="AI133" s="14" t="s">
        <v>37</v>
      </c>
      <c r="AJ133" s="14" t="s">
        <v>38</v>
      </c>
      <c r="AK133" s="15"/>
    </row>
    <row r="134" ht="12.75" customHeight="1" spans="2:37" x14ac:dyDescent="0.25">
      <c r="B134" s="16" t="s">
        <v>41</v>
      </c>
      <c r="C134" s="17"/>
      <c r="D134" s="17"/>
      <c r="E134" s="24">
        <f>E127-E120</f>
      </c>
      <c r="F134" s="24">
        <f>F127-F120</f>
      </c>
      <c r="G134" s="24">
        <f>G127-G120</f>
      </c>
      <c r="H134" s="24">
        <f>H127-H120</f>
      </c>
      <c r="I134" s="24">
        <f>I127-I120</f>
      </c>
      <c r="J134" s="24">
        <f>J127-J120</f>
      </c>
      <c r="K134" s="24">
        <f>K127-K120</f>
      </c>
      <c r="L134" s="24">
        <f>L127-L120</f>
      </c>
      <c r="M134" s="24">
        <f>M127-M120</f>
      </c>
      <c r="N134" s="24">
        <f>N127-N120</f>
      </c>
      <c r="O134" s="24">
        <f>O127-O120</f>
      </c>
      <c r="P134" s="24">
        <f>P127-P120</f>
      </c>
      <c r="Q134" s="24">
        <f>Q127-Q120</f>
      </c>
      <c r="R134" s="24">
        <f>R127-R120</f>
      </c>
      <c r="S134" s="24">
        <f>S127-S120</f>
      </c>
      <c r="T134" s="24">
        <f>T127-T120</f>
      </c>
      <c r="U134" s="24">
        <f>U127-U120</f>
      </c>
      <c r="V134" s="24">
        <f>V127-V120</f>
      </c>
      <c r="W134" s="24">
        <f>W127-W120</f>
      </c>
      <c r="X134" s="24">
        <f>X127-X120</f>
      </c>
      <c r="Y134" s="24">
        <f>Y127-Y120</f>
      </c>
      <c r="Z134" s="24">
        <f>Z127-Z120</f>
      </c>
      <c r="AA134" s="24">
        <f>AA127-AA120</f>
      </c>
      <c r="AB134" s="24">
        <f>AB127-AB120</f>
      </c>
      <c r="AC134" s="24">
        <f>AC127-AC120</f>
      </c>
      <c r="AD134" s="24">
        <f>AD127-AD120</f>
      </c>
      <c r="AE134" s="24">
        <f>AE127-AE120</f>
      </c>
      <c r="AF134" s="24">
        <f>AF127-AF120</f>
      </c>
      <c r="AG134" s="24">
        <f>AG127-AG120</f>
      </c>
      <c r="AH134" s="24">
        <f>AH127-AH120</f>
      </c>
      <c r="AI134" s="24">
        <f>AI127-AI120</f>
      </c>
      <c r="AJ134" s="24">
        <f>AJ127-AJ120</f>
      </c>
      <c r="AK134" s="19"/>
    </row>
    <row r="135" ht="12.75" customHeight="1" spans="2:37" x14ac:dyDescent="0.25">
      <c r="B135" s="16" t="s">
        <v>42</v>
      </c>
      <c r="C135" s="17"/>
      <c r="D135" s="17"/>
      <c r="E135" s="24">
        <f>E128-E121</f>
      </c>
      <c r="F135" s="24">
        <f>F128-F121</f>
      </c>
      <c r="G135" s="24">
        <f>G128-G121</f>
      </c>
      <c r="H135" s="24">
        <f>H128-H121</f>
      </c>
      <c r="I135" s="24">
        <f>I128-I121</f>
      </c>
      <c r="J135" s="24">
        <f>J128-J121</f>
      </c>
      <c r="K135" s="24">
        <f>K128-K121</f>
      </c>
      <c r="L135" s="24">
        <f>L128-L121</f>
      </c>
      <c r="M135" s="24">
        <f>M128-M121</f>
      </c>
      <c r="N135" s="24">
        <f>N128-N121</f>
      </c>
      <c r="O135" s="24">
        <f>O128-O121</f>
      </c>
      <c r="P135" s="24">
        <f>P128-P121</f>
      </c>
      <c r="Q135" s="24">
        <f>Q128-Q121</f>
      </c>
      <c r="R135" s="24">
        <f>R128-R121</f>
      </c>
      <c r="S135" s="24">
        <f>S128-S121</f>
      </c>
      <c r="T135" s="24">
        <f>T128-T121</f>
      </c>
      <c r="U135" s="24">
        <f>U128-U121</f>
      </c>
      <c r="V135" s="24">
        <f>V128-V121</f>
      </c>
      <c r="W135" s="24">
        <f>W128-W121</f>
      </c>
      <c r="X135" s="24">
        <f>X128-X121</f>
      </c>
      <c r="Y135" s="24">
        <f>Y128-Y121</f>
      </c>
      <c r="Z135" s="24">
        <f>Z128-Z121</f>
      </c>
      <c r="AA135" s="24">
        <f>AA128-AA121</f>
      </c>
      <c r="AB135" s="24">
        <f>AB128-AB121</f>
      </c>
      <c r="AC135" s="24">
        <f>AC128-AC121</f>
      </c>
      <c r="AD135" s="24">
        <f>AD128-AD121</f>
      </c>
      <c r="AE135" s="24">
        <f>AE128-AE121</f>
      </c>
      <c r="AF135" s="24">
        <f>AF128-AF121</f>
      </c>
      <c r="AG135" s="24">
        <f>AG128-AG121</f>
      </c>
      <c r="AH135" s="24">
        <f>AH128-AH121</f>
      </c>
      <c r="AI135" s="24">
        <f>AI128-AI121</f>
      </c>
      <c r="AJ135" s="24">
        <f>AJ128-AJ121</f>
      </c>
      <c r="AK135" s="19"/>
    </row>
    <row r="136" ht="12.75" customHeight="1" spans="2:37" x14ac:dyDescent="0.25">
      <c r="B136" s="16" t="s">
        <v>43</v>
      </c>
      <c r="C136" s="17"/>
      <c r="D136" s="17"/>
      <c r="E136" s="24">
        <f>E129-E122</f>
      </c>
      <c r="F136" s="24">
        <f>F129-F122</f>
      </c>
      <c r="G136" s="24">
        <f>G129-G122</f>
      </c>
      <c r="H136" s="24">
        <f>H129-H122</f>
      </c>
      <c r="I136" s="24">
        <f>I129-I122</f>
      </c>
      <c r="J136" s="24">
        <f>J129-J122</f>
      </c>
      <c r="K136" s="24">
        <f>K129-K122</f>
      </c>
      <c r="L136" s="24">
        <f>L129-L122</f>
      </c>
      <c r="M136" s="24">
        <f>M129-M122</f>
      </c>
      <c r="N136" s="24">
        <f>N129-N122</f>
      </c>
      <c r="O136" s="24">
        <f>O129-O122</f>
      </c>
      <c r="P136" s="24">
        <f>P129-P122</f>
      </c>
      <c r="Q136" s="24">
        <f>Q129-Q122</f>
      </c>
      <c r="R136" s="24">
        <f>R129-R122</f>
      </c>
      <c r="S136" s="24">
        <f>S129-S122</f>
      </c>
      <c r="T136" s="24">
        <f>T129-T122</f>
      </c>
      <c r="U136" s="24">
        <f>U129-U122</f>
      </c>
      <c r="V136" s="24">
        <f>V129-V122</f>
      </c>
      <c r="W136" s="24">
        <f>W129-W122</f>
      </c>
      <c r="X136" s="24">
        <f>X129-X122</f>
      </c>
      <c r="Y136" s="24">
        <f>Y129-Y122</f>
      </c>
      <c r="Z136" s="24">
        <f>Z129-Z122</f>
      </c>
      <c r="AA136" s="24">
        <f>AA129-AA122</f>
      </c>
      <c r="AB136" s="24">
        <f>AB129-AB122</f>
      </c>
      <c r="AC136" s="24">
        <f>AC129-AC122</f>
      </c>
      <c r="AD136" s="24">
        <f>AD129-AD122</f>
      </c>
      <c r="AE136" s="24">
        <f>AE129-AE122</f>
      </c>
      <c r="AF136" s="24">
        <f>AF129-AF122</f>
      </c>
      <c r="AG136" s="24">
        <f>AG129-AG122</f>
      </c>
      <c r="AH136" s="24">
        <f>AH129-AH122</f>
      </c>
      <c r="AI136" s="24">
        <f>AI129-AI122</f>
      </c>
      <c r="AJ136" s="24">
        <f>AJ129-AJ122</f>
      </c>
      <c r="AK136" s="19"/>
    </row>
    <row r="137" ht="12.75" customHeight="1" spans="2:37" x14ac:dyDescent="0.25">
      <c r="B137" s="16" t="s">
        <v>44</v>
      </c>
      <c r="C137" s="17"/>
      <c r="D137" s="17"/>
      <c r="E137" s="24">
        <f>E130-E123</f>
      </c>
      <c r="F137" s="24">
        <f>F130-F123</f>
      </c>
      <c r="G137" s="24">
        <f>G130-G123</f>
      </c>
      <c r="H137" s="24">
        <f>H130-H123</f>
      </c>
      <c r="I137" s="24">
        <f>I130-I123</f>
      </c>
      <c r="J137" s="24">
        <f>J130-J123</f>
      </c>
      <c r="K137" s="24">
        <f>K130-K123</f>
      </c>
      <c r="L137" s="24">
        <f>L130-L123</f>
      </c>
      <c r="M137" s="24">
        <f>M130-M123</f>
      </c>
      <c r="N137" s="24">
        <f>N130-N123</f>
      </c>
      <c r="O137" s="24">
        <f>O130-O123</f>
      </c>
      <c r="P137" s="24">
        <f>P130-P123</f>
      </c>
      <c r="Q137" s="24">
        <f>Q130-Q123</f>
      </c>
      <c r="R137" s="24">
        <f>R130-R123</f>
      </c>
      <c r="S137" s="24">
        <f>S130-S123</f>
      </c>
      <c r="T137" s="24">
        <f>T130-T123</f>
      </c>
      <c r="U137" s="24">
        <f>U130-U123</f>
      </c>
      <c r="V137" s="24">
        <f>V130-V123</f>
      </c>
      <c r="W137" s="24">
        <f>W130-W123</f>
      </c>
      <c r="X137" s="24">
        <f>X130-X123</f>
      </c>
      <c r="Y137" s="24">
        <f>Y130-Y123</f>
      </c>
      <c r="Z137" s="24">
        <f>Z130-Z123</f>
      </c>
      <c r="AA137" s="24">
        <f>AA130-AA123</f>
      </c>
      <c r="AB137" s="24">
        <f>AB130-AB123</f>
      </c>
      <c r="AC137" s="24">
        <f>AC130-AC123</f>
      </c>
      <c r="AD137" s="24">
        <f>AD130-AD123</f>
      </c>
      <c r="AE137" s="24">
        <f>AE130-AE123</f>
      </c>
      <c r="AF137" s="24">
        <f>AF130-AF123</f>
      </c>
      <c r="AG137" s="24">
        <f>AG130-AG123</f>
      </c>
      <c r="AH137" s="24">
        <f>AH130-AH123</f>
      </c>
      <c r="AI137" s="24">
        <f>AI130-AI123</f>
      </c>
      <c r="AJ137" s="24">
        <f>AJ130-AJ123</f>
      </c>
      <c r="AK137" s="19"/>
    </row>
    <row r="138" ht="12.75" customHeight="1" spans="2:37" x14ac:dyDescent="0.25">
      <c r="B138" s="20" t="s">
        <v>45</v>
      </c>
      <c r="C138" s="21"/>
      <c r="D138" s="21"/>
      <c r="E138" s="25">
        <f>E134+E135+E136+E137</f>
      </c>
      <c r="F138" s="25">
        <f>F134+F135+F136+F137</f>
      </c>
      <c r="G138" s="25">
        <f>G134+G135+G136+G137</f>
      </c>
      <c r="H138" s="25">
        <f>H134+H135+H136+H137</f>
      </c>
      <c r="I138" s="25">
        <f>I134+I135+I136+I137</f>
      </c>
      <c r="J138" s="25">
        <f>J134+J135+J136+J137</f>
      </c>
      <c r="K138" s="25">
        <f>K134+K135+K136+K137</f>
      </c>
      <c r="L138" s="25">
        <f>L134+L135+L136+L137</f>
      </c>
      <c r="M138" s="25">
        <f>M134+M135+M136+M137</f>
      </c>
      <c r="N138" s="25">
        <f>N134+N135+N136+N137</f>
      </c>
      <c r="O138" s="25">
        <f>O134+O135+O136+O137</f>
      </c>
      <c r="P138" s="25">
        <f>P134+P135+P136+P137</f>
      </c>
      <c r="Q138" s="25">
        <f>Q134+Q135+Q136+Q137</f>
      </c>
      <c r="R138" s="25">
        <f>R134+R135+R136+R137</f>
      </c>
      <c r="S138" s="25">
        <f>S134+S135+S136+S137</f>
      </c>
      <c r="T138" s="25">
        <f>T134+T135+T136+T137</f>
      </c>
      <c r="U138" s="25">
        <f>U134+U135+U136+U137</f>
      </c>
      <c r="V138" s="25">
        <f>V134+V135+V136+V137</f>
      </c>
      <c r="W138" s="25">
        <f>W134+W135+W136+W137</f>
      </c>
      <c r="X138" s="25">
        <f>X134+X135+X136+X137</f>
      </c>
      <c r="Y138" s="25">
        <f>Y134+Y135+Y136+Y137</f>
      </c>
      <c r="Z138" s="25">
        <f>Z134+Z135+Z136+Z137</f>
      </c>
      <c r="AA138" s="25">
        <f>AA134+AA135+AA136+AA137</f>
      </c>
      <c r="AB138" s="25">
        <f>AB134+AB135+AB136+AB137</f>
      </c>
      <c r="AC138" s="25">
        <f>AC134+AC135+AC136+AC137</f>
      </c>
      <c r="AD138" s="25">
        <f>AD134+AD135+AD136+AD137</f>
      </c>
      <c r="AE138" s="25">
        <f>AE134+AE135+AE136+AE137</f>
      </c>
      <c r="AF138" s="25">
        <f>AF134+AF135+AF136+AF137</f>
      </c>
      <c r="AG138" s="25">
        <f>AG134+AG135+AG136+AG137</f>
      </c>
      <c r="AH138" s="25">
        <f>AH134+AH135+AH136+AH137</f>
      </c>
      <c r="AI138" s="25">
        <f>AI134+AI135+AI136+AI137</f>
      </c>
      <c r="AJ138" s="25">
        <f>AJ134+AJ135+AJ136+AJ137</f>
      </c>
      <c r="AK13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3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1251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1346</v>
      </c>
      <c r="K8" s="44" t="s">
        <v>1347</v>
      </c>
      <c r="L8" s="44" t="s">
        <v>1348</v>
      </c>
      <c r="M8" s="44" t="s">
        <v>1349</v>
      </c>
      <c r="N8" s="44" t="s">
        <v>1350</v>
      </c>
      <c r="O8" s="44" t="s">
        <v>1351</v>
      </c>
      <c r="P8" s="44" t="s">
        <v>1352</v>
      </c>
      <c r="Q8" s="44" t="s">
        <v>1353</v>
      </c>
      <c r="R8" s="44" t="s">
        <v>1354</v>
      </c>
      <c r="S8" s="44" t="s">
        <v>1355</v>
      </c>
      <c r="T8" s="44" t="s">
        <v>1356</v>
      </c>
      <c r="U8" s="44" t="s">
        <v>1357</v>
      </c>
      <c r="V8" s="44" t="s">
        <v>1358</v>
      </c>
      <c r="W8" s="44" t="s">
        <v>1359</v>
      </c>
      <c r="X8" s="44" t="s">
        <v>1360</v>
      </c>
      <c r="Y8" s="44" t="s">
        <v>1361</v>
      </c>
      <c r="Z8" s="44" t="s">
        <v>1362</v>
      </c>
      <c r="AA8" s="44" t="s">
        <v>1363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1251</v>
      </c>
      <c r="D14" s="50" t="s">
        <v>42</v>
      </c>
      <c r="E14" s="32" t="s">
        <v>3</v>
      </c>
      <c r="F14" s="32" t="s">
        <v>1252</v>
      </c>
      <c r="G14" s="32"/>
      <c r="H14" s="32"/>
      <c r="I14" s="32"/>
      <c r="J14" s="32"/>
      <c r="K14" s="32"/>
      <c r="L14" s="33">
        <v>0</v>
      </c>
      <c r="M14" s="33">
        <v>32.24</v>
      </c>
      <c r="N14" s="33">
        <v>27.24</v>
      </c>
      <c r="O14" s="33">
        <v>27.8</v>
      </c>
      <c r="P14" s="32"/>
      <c r="Q14" s="33">
        <f>45.99+63.65</f>
        <v>109.64</v>
      </c>
      <c r="R14" s="33">
        <v>53.22</v>
      </c>
      <c r="S14" s="33">
        <v>44.94</v>
      </c>
      <c r="T14" s="33">
        <v>33.18</v>
      </c>
      <c r="U14" s="33">
        <v>29.07</v>
      </c>
      <c r="V14" s="33">
        <v>28.96</v>
      </c>
      <c r="W14" s="33">
        <v>29.66</v>
      </c>
      <c r="X14" s="33">
        <v>30.64</v>
      </c>
      <c r="Y14" s="33">
        <v>34.62</v>
      </c>
      <c r="Z14" s="33">
        <v>14.02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1251</v>
      </c>
      <c r="D15" s="50" t="s">
        <v>42</v>
      </c>
      <c r="E15" s="32" t="s">
        <v>3</v>
      </c>
      <c r="F15" s="32" t="s">
        <v>1253</v>
      </c>
      <c r="G15" s="33">
        <f>0.00+0.00</f>
        <v>0</v>
      </c>
      <c r="H15" s="32"/>
      <c r="I15" s="32"/>
      <c r="J15" s="32"/>
      <c r="K15" s="32"/>
      <c r="L15" s="33">
        <f>0.00+3956.51+0.00</f>
        <v>3956.51</v>
      </c>
      <c r="M15" s="33">
        <f>0.00+459.19</f>
        <v>459.19</v>
      </c>
      <c r="N15" s="33">
        <v>498.16</v>
      </c>
      <c r="O15" s="33">
        <v>541.98</v>
      </c>
      <c r="P15" s="32"/>
      <c r="Q15" s="33">
        <f>616.60+568.02</f>
        <v>1184.62</v>
      </c>
      <c r="R15" s="33">
        <v>585.59</v>
      </c>
      <c r="S15" s="33">
        <v>609</v>
      </c>
      <c r="T15" s="33">
        <v>523.15</v>
      </c>
      <c r="U15" s="33">
        <v>501.58</v>
      </c>
      <c r="V15" s="33">
        <v>572.18</v>
      </c>
      <c r="W15" s="33">
        <v>538.07</v>
      </c>
      <c r="X15" s="33">
        <v>101.28</v>
      </c>
      <c r="Y15" s="33">
        <v>121.01</v>
      </c>
      <c r="Z15" s="33">
        <v>150.86</v>
      </c>
      <c r="AA15" s="33">
        <v>539.2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1251</v>
      </c>
      <c r="D16" s="50" t="s">
        <v>42</v>
      </c>
      <c r="E16" s="32" t="s">
        <v>3</v>
      </c>
      <c r="F16" s="32" t="s">
        <v>1254</v>
      </c>
      <c r="G16" s="32"/>
      <c r="H16" s="32"/>
      <c r="I16" s="32"/>
      <c r="J16" s="33">
        <v>29.45</v>
      </c>
      <c r="K16" s="33">
        <v>30.73</v>
      </c>
      <c r="L16" s="33">
        <f>32.28+0.00</f>
        <v>32.28</v>
      </c>
      <c r="M16" s="33">
        <v>35.64</v>
      </c>
      <c r="N16" s="33">
        <v>47.77</v>
      </c>
      <c r="O16" s="33">
        <v>58.42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1251</v>
      </c>
      <c r="D17" s="50" t="s">
        <v>42</v>
      </c>
      <c r="E17" s="32" t="s">
        <v>3</v>
      </c>
      <c r="F17" s="32" t="s">
        <v>1255</v>
      </c>
      <c r="G17" s="32"/>
      <c r="H17" s="32"/>
      <c r="I17" s="32"/>
      <c r="J17" s="33">
        <v>27.24</v>
      </c>
      <c r="K17" s="33">
        <v>27.24</v>
      </c>
      <c r="L17" s="33">
        <v>27.24</v>
      </c>
      <c r="M17" s="33">
        <v>27.24</v>
      </c>
      <c r="N17" s="33">
        <v>27.24</v>
      </c>
      <c r="O17" s="33">
        <v>27.24</v>
      </c>
      <c r="P17" s="32"/>
      <c r="Q17" s="33">
        <f>27.24+27.24</f>
        <v>54.48</v>
      </c>
      <c r="R17" s="33">
        <v>27.24</v>
      </c>
      <c r="S17" s="33">
        <v>27.24</v>
      </c>
      <c r="T17" s="33">
        <v>27.24</v>
      </c>
      <c r="U17" s="33">
        <v>27.24</v>
      </c>
      <c r="V17" s="33">
        <v>27.24</v>
      </c>
      <c r="W17" s="33">
        <v>27.24</v>
      </c>
      <c r="X17" s="33">
        <v>27.24</v>
      </c>
      <c r="Y17" s="33">
        <v>27.24</v>
      </c>
      <c r="Z17" s="33">
        <v>27.24</v>
      </c>
      <c r="AA17" s="33">
        <v>27.24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1251</v>
      </c>
      <c r="D18" s="50" t="s">
        <v>42</v>
      </c>
      <c r="E18" s="32" t="s">
        <v>3</v>
      </c>
      <c r="F18" s="32" t="s">
        <v>1256</v>
      </c>
      <c r="G18" s="32"/>
      <c r="H18" s="32"/>
      <c r="I18" s="32"/>
      <c r="J18" s="32"/>
      <c r="K18" s="32"/>
      <c r="L18" s="32"/>
      <c r="M18" s="33">
        <v>32.8</v>
      </c>
      <c r="N18" s="33">
        <v>35.52</v>
      </c>
      <c r="O18" s="33">
        <v>59.6</v>
      </c>
      <c r="P18" s="32"/>
      <c r="Q18" s="33">
        <f>63.02+47.92</f>
        <v>110.94</v>
      </c>
      <c r="R18" s="33">
        <v>27.24</v>
      </c>
      <c r="S18" s="33">
        <v>27.24</v>
      </c>
      <c r="T18" s="33">
        <v>27.76</v>
      </c>
      <c r="U18" s="33">
        <v>27.24</v>
      </c>
      <c r="V18" s="33">
        <f>27.24+0.00</f>
        <v>27.24</v>
      </c>
      <c r="W18" s="33">
        <v>27.24</v>
      </c>
      <c r="X18" s="33">
        <v>29.5</v>
      </c>
      <c r="Y18" s="33">
        <v>30.92</v>
      </c>
      <c r="Z18" s="33">
        <v>30.64</v>
      </c>
      <c r="AA18" s="33">
        <v>30.8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1251</v>
      </c>
      <c r="D19" s="50" t="s">
        <v>42</v>
      </c>
      <c r="E19" s="32" t="s">
        <v>3</v>
      </c>
      <c r="F19" s="32" t="s">
        <v>1257</v>
      </c>
      <c r="G19" s="32"/>
      <c r="H19" s="32"/>
      <c r="I19" s="32"/>
      <c r="J19" s="33">
        <v>80.55</v>
      </c>
      <c r="K19" s="33">
        <v>101</v>
      </c>
      <c r="L19" s="33">
        <v>100.74</v>
      </c>
      <c r="M19" s="33">
        <v>47.06</v>
      </c>
      <c r="N19" s="33">
        <v>27.24</v>
      </c>
      <c r="O19" s="33">
        <v>27.24</v>
      </c>
      <c r="P19" s="32"/>
      <c r="Q19" s="33">
        <f>27.24+27.24</f>
        <v>54.48</v>
      </c>
      <c r="R19" s="33">
        <v>27.24</v>
      </c>
      <c r="S19" s="33">
        <v>27.24</v>
      </c>
      <c r="T19" s="33">
        <v>27.24</v>
      </c>
      <c r="U19" s="33">
        <v>27.24</v>
      </c>
      <c r="V19" s="33">
        <v>89.76</v>
      </c>
      <c r="W19" s="33">
        <v>118.91</v>
      </c>
      <c r="X19" s="33">
        <v>103.09</v>
      </c>
      <c r="Y19" s="33">
        <v>27.46</v>
      </c>
      <c r="Z19" s="33">
        <v>27.24</v>
      </c>
      <c r="AA19" s="33">
        <v>27.24</v>
      </c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1251</v>
      </c>
      <c r="D20" s="50" t="s">
        <v>42</v>
      </c>
      <c r="E20" s="32" t="s">
        <v>3</v>
      </c>
      <c r="F20" s="32" t="s">
        <v>1258</v>
      </c>
      <c r="G20" s="32"/>
      <c r="H20" s="32"/>
      <c r="I20" s="32"/>
      <c r="J20" s="33">
        <v>30.69</v>
      </c>
      <c r="K20" s="33">
        <v>90.17</v>
      </c>
      <c r="L20" s="33">
        <v>76.54</v>
      </c>
      <c r="M20" s="33">
        <v>53.14</v>
      </c>
      <c r="N20" s="33">
        <v>27.24</v>
      </c>
      <c r="O20" s="33">
        <v>45.88</v>
      </c>
      <c r="P20" s="32"/>
      <c r="Q20" s="33">
        <f>65.86+95.09</f>
        <v>160.95</v>
      </c>
      <c r="R20" s="33">
        <v>31.97</v>
      </c>
      <c r="S20" s="33">
        <v>27.24</v>
      </c>
      <c r="T20" s="33">
        <v>27.24</v>
      </c>
      <c r="U20" s="33">
        <v>27.24</v>
      </c>
      <c r="V20" s="33">
        <v>27.24</v>
      </c>
      <c r="W20" s="33">
        <v>42.93</v>
      </c>
      <c r="X20" s="33">
        <v>75.4</v>
      </c>
      <c r="Y20" s="33">
        <v>94.12</v>
      </c>
      <c r="Z20" s="33">
        <v>117.73</v>
      </c>
      <c r="AA20" s="33">
        <v>124.59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1251</v>
      </c>
      <c r="D21" s="50" t="s">
        <v>42</v>
      </c>
      <c r="E21" s="32" t="s">
        <v>3</v>
      </c>
      <c r="F21" s="32" t="s">
        <v>1259</v>
      </c>
      <c r="G21" s="32"/>
      <c r="H21" s="32"/>
      <c r="I21" s="32"/>
      <c r="J21" s="32"/>
      <c r="K21" s="32"/>
      <c r="L21" s="32"/>
      <c r="M21" s="32"/>
      <c r="N21" s="33">
        <v>0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1251</v>
      </c>
      <c r="D22" s="50" t="s">
        <v>42</v>
      </c>
      <c r="E22" s="32" t="s">
        <v>3</v>
      </c>
      <c r="F22" s="32" t="s">
        <v>1260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>
        <f>0.00+32.02</f>
        <v>32.02</v>
      </c>
      <c r="R22" s="33">
        <v>30.58</v>
      </c>
      <c r="S22" s="33">
        <v>85.26</v>
      </c>
      <c r="T22" s="33">
        <v>43.75</v>
      </c>
      <c r="U22" s="33">
        <v>32.25</v>
      </c>
      <c r="V22" s="33">
        <v>29.78</v>
      </c>
      <c r="W22" s="33">
        <v>31.56</v>
      </c>
      <c r="X22" s="33">
        <v>32.63</v>
      </c>
      <c r="Y22" s="33">
        <v>15.65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1251</v>
      </c>
      <c r="D23" s="50" t="s">
        <v>42</v>
      </c>
      <c r="E23" s="32" t="s">
        <v>3</v>
      </c>
      <c r="F23" s="32" t="s">
        <v>1261</v>
      </c>
      <c r="G23" s="32"/>
      <c r="H23" s="32"/>
      <c r="I23" s="32"/>
      <c r="J23" s="33">
        <v>28.19</v>
      </c>
      <c r="K23" s="33">
        <v>44.33</v>
      </c>
      <c r="L23" s="33">
        <v>53.16</v>
      </c>
      <c r="M23" s="33">
        <v>64.89</v>
      </c>
      <c r="N23" s="33">
        <v>69.54</v>
      </c>
      <c r="O23" s="33">
        <v>61.35</v>
      </c>
      <c r="P23" s="32"/>
      <c r="Q23" s="33">
        <f>27.24+93.23</f>
        <v>120.47</v>
      </c>
      <c r="R23" s="33">
        <v>36.42</v>
      </c>
      <c r="S23" s="33">
        <v>27.24</v>
      </c>
      <c r="T23" s="33">
        <v>125.45</v>
      </c>
      <c r="U23" s="33">
        <v>35.95</v>
      </c>
      <c r="V23" s="33">
        <v>56.93</v>
      </c>
      <c r="W23" s="33">
        <v>108.64</v>
      </c>
      <c r="X23" s="33">
        <v>65.09</v>
      </c>
      <c r="Y23" s="33">
        <v>27.24</v>
      </c>
      <c r="Z23" s="33">
        <v>27.24</v>
      </c>
      <c r="AA23" s="33">
        <v>156.23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1251</v>
      </c>
      <c r="D24" s="50" t="s">
        <v>42</v>
      </c>
      <c r="E24" s="32" t="s">
        <v>3</v>
      </c>
      <c r="F24" s="32" t="s">
        <v>1262</v>
      </c>
      <c r="G24" s="32"/>
      <c r="H24" s="32"/>
      <c r="I24" s="32"/>
      <c r="J24" s="33">
        <v>35.24</v>
      </c>
      <c r="K24" s="33">
        <v>32.84</v>
      </c>
      <c r="L24" s="33">
        <f>33.57+0.00</f>
        <v>33.57</v>
      </c>
      <c r="M24" s="33">
        <v>37.6</v>
      </c>
      <c r="N24" s="33">
        <v>48.13</v>
      </c>
      <c r="O24" s="33">
        <v>62.06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1251</v>
      </c>
      <c r="D25" s="50" t="s">
        <v>42</v>
      </c>
      <c r="E25" s="32" t="s">
        <v>3</v>
      </c>
      <c r="F25" s="32" t="s">
        <v>1263</v>
      </c>
      <c r="G25" s="32"/>
      <c r="H25" s="32"/>
      <c r="I25" s="32"/>
      <c r="J25" s="32"/>
      <c r="K25" s="32"/>
      <c r="L25" s="32"/>
      <c r="M25" s="32"/>
      <c r="N25" s="32"/>
      <c r="O25" s="33">
        <v>0</v>
      </c>
      <c r="P25" s="32"/>
      <c r="Q25" s="33">
        <f>29.54+44.53</f>
        <v>74.07</v>
      </c>
      <c r="R25" s="33">
        <v>64.08</v>
      </c>
      <c r="S25" s="33">
        <v>77.23</v>
      </c>
      <c r="T25" s="33">
        <v>41.13</v>
      </c>
      <c r="U25" s="33">
        <v>7.2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1251</v>
      </c>
      <c r="D26" s="50" t="s">
        <v>42</v>
      </c>
      <c r="E26" s="32" t="s">
        <v>3</v>
      </c>
      <c r="F26" s="32" t="s">
        <v>1264</v>
      </c>
      <c r="G26" s="33">
        <v>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>
        <f>0.00+24.14</f>
        <v>24.14</v>
      </c>
      <c r="AA26" s="33">
        <v>30.64</v>
      </c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1251</v>
      </c>
      <c r="D27" s="50" t="s">
        <v>42</v>
      </c>
      <c r="E27" s="32" t="s">
        <v>3</v>
      </c>
      <c r="F27" s="32" t="s">
        <v>1265</v>
      </c>
      <c r="G27" s="33">
        <v>0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>
        <f>0.00+54.05</f>
        <v>54.05</v>
      </c>
      <c r="X27" s="33">
        <v>46.1</v>
      </c>
      <c r="Y27" s="33">
        <v>33.61</v>
      </c>
      <c r="Z27" s="33">
        <v>57.03</v>
      </c>
      <c r="AA27" s="33">
        <v>82.91</v>
      </c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1251</v>
      </c>
      <c r="D28" s="50" t="s">
        <v>42</v>
      </c>
      <c r="E28" s="32" t="s">
        <v>3</v>
      </c>
      <c r="F28" s="32" t="s">
        <v>1266</v>
      </c>
      <c r="G28" s="32"/>
      <c r="H28" s="32"/>
      <c r="I28" s="32"/>
      <c r="J28" s="33">
        <v>50.92</v>
      </c>
      <c r="K28" s="33">
        <v>153.35</v>
      </c>
      <c r="L28" s="33">
        <v>167.01</v>
      </c>
      <c r="M28" s="33">
        <v>132.51</v>
      </c>
      <c r="N28" s="33">
        <v>134.79</v>
      </c>
      <c r="O28" s="33">
        <v>150.22</v>
      </c>
      <c r="P28" s="32"/>
      <c r="Q28" s="33">
        <f>237.72+294.76</f>
        <v>532.48</v>
      </c>
      <c r="R28" s="33">
        <v>265.72</v>
      </c>
      <c r="S28" s="33">
        <v>218.82</v>
      </c>
      <c r="T28" s="33">
        <v>191.22</v>
      </c>
      <c r="U28" s="33">
        <v>187.18</v>
      </c>
      <c r="V28" s="33">
        <v>148.08</v>
      </c>
      <c r="W28" s="33">
        <v>133.41</v>
      </c>
      <c r="X28" s="33">
        <v>120.75</v>
      </c>
      <c r="Y28" s="33">
        <v>220.37</v>
      </c>
      <c r="Z28" s="33">
        <v>92.79</v>
      </c>
      <c r="AA28" s="33">
        <v>114.56</v>
      </c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1251</v>
      </c>
      <c r="D29" s="50" t="s">
        <v>42</v>
      </c>
      <c r="E29" s="32" t="s">
        <v>3</v>
      </c>
      <c r="F29" s="32" t="s">
        <v>1267</v>
      </c>
      <c r="G29" s="32"/>
      <c r="H29" s="32"/>
      <c r="I29" s="32"/>
      <c r="J29" s="33">
        <v>59.59</v>
      </c>
      <c r="K29" s="33">
        <v>132.15</v>
      </c>
      <c r="L29" s="33">
        <v>138.01</v>
      </c>
      <c r="M29" s="33">
        <v>93.72</v>
      </c>
      <c r="N29" s="33">
        <v>27.24</v>
      </c>
      <c r="O29" s="33">
        <v>79.35</v>
      </c>
      <c r="P29" s="32"/>
      <c r="Q29" s="33">
        <f>98.62+98.59</f>
        <v>197.21</v>
      </c>
      <c r="R29" s="33">
        <v>31.97</v>
      </c>
      <c r="S29" s="33">
        <v>27.24</v>
      </c>
      <c r="T29" s="33">
        <v>27.24</v>
      </c>
      <c r="U29" s="33">
        <v>27.24</v>
      </c>
      <c r="V29" s="33">
        <v>27.24</v>
      </c>
      <c r="W29" s="33">
        <v>92.55</v>
      </c>
      <c r="X29" s="33">
        <v>102.03</v>
      </c>
      <c r="Y29" s="33">
        <v>76.04</v>
      </c>
      <c r="Z29" s="33">
        <v>105.2</v>
      </c>
      <c r="AA29" s="33">
        <v>172.69</v>
      </c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1251</v>
      </c>
      <c r="D30" s="50" t="s">
        <v>42</v>
      </c>
      <c r="E30" s="32" t="s">
        <v>3</v>
      </c>
      <c r="F30" s="32" t="s">
        <v>1268</v>
      </c>
      <c r="G30" s="32"/>
      <c r="H30" s="32"/>
      <c r="I30" s="32"/>
      <c r="J30" s="33">
        <v>57.72</v>
      </c>
      <c r="K30" s="33">
        <v>56.92</v>
      </c>
      <c r="L30" s="33">
        <v>63.44</v>
      </c>
      <c r="M30" s="33">
        <v>69.19</v>
      </c>
      <c r="N30" s="33">
        <v>27.31</v>
      </c>
      <c r="O30" s="33">
        <v>27.36</v>
      </c>
      <c r="P30" s="32"/>
      <c r="Q30" s="33">
        <f>27.24+27.24</f>
        <v>54.48</v>
      </c>
      <c r="R30" s="33">
        <v>27.24</v>
      </c>
      <c r="S30" s="33">
        <v>27.24</v>
      </c>
      <c r="T30" s="33">
        <v>27.24</v>
      </c>
      <c r="U30" s="33">
        <v>27.24</v>
      </c>
      <c r="V30" s="33">
        <v>27.24</v>
      </c>
      <c r="W30" s="33">
        <v>33.03</v>
      </c>
      <c r="X30" s="33">
        <v>51.76</v>
      </c>
      <c r="Y30" s="33">
        <v>36.83</v>
      </c>
      <c r="Z30" s="33">
        <v>157.77</v>
      </c>
      <c r="AA30" s="33">
        <v>218.67</v>
      </c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1251</v>
      </c>
      <c r="D31" s="50" t="s">
        <v>42</v>
      </c>
      <c r="E31" s="32" t="s">
        <v>3</v>
      </c>
      <c r="F31" s="32" t="s">
        <v>1269</v>
      </c>
      <c r="G31" s="32"/>
      <c r="H31" s="32"/>
      <c r="I31" s="32"/>
      <c r="J31" s="33">
        <v>27.24</v>
      </c>
      <c r="K31" s="33">
        <v>27.24</v>
      </c>
      <c r="L31" s="33">
        <v>27.24</v>
      </c>
      <c r="M31" s="33">
        <v>27.24</v>
      </c>
      <c r="N31" s="33">
        <v>27.24</v>
      </c>
      <c r="O31" s="33">
        <v>27.24</v>
      </c>
      <c r="P31" s="32"/>
      <c r="Q31" s="33">
        <f>27.24+27.24</f>
        <v>54.48</v>
      </c>
      <c r="R31" s="33">
        <v>27.24</v>
      </c>
      <c r="S31" s="33">
        <v>27.24</v>
      </c>
      <c r="T31" s="33">
        <v>27.24</v>
      </c>
      <c r="U31" s="33">
        <v>27.24</v>
      </c>
      <c r="V31" s="33">
        <v>27.24</v>
      </c>
      <c r="W31" s="33">
        <v>27.24</v>
      </c>
      <c r="X31" s="33">
        <v>27.24</v>
      </c>
      <c r="Y31" s="33">
        <v>27.24</v>
      </c>
      <c r="Z31" s="33">
        <v>27.24</v>
      </c>
      <c r="AA31" s="33">
        <v>27.24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1251</v>
      </c>
      <c r="D32" s="50" t="s">
        <v>42</v>
      </c>
      <c r="E32" s="32" t="s">
        <v>3</v>
      </c>
      <c r="F32" s="32" t="s">
        <v>1270</v>
      </c>
      <c r="G32" s="32"/>
      <c r="H32" s="32"/>
      <c r="I32" s="32"/>
      <c r="J32" s="33">
        <v>46.38</v>
      </c>
      <c r="K32" s="33">
        <v>77.49</v>
      </c>
      <c r="L32" s="33">
        <v>99.68</v>
      </c>
      <c r="M32" s="33">
        <v>49.86</v>
      </c>
      <c r="N32" s="33">
        <v>27.24</v>
      </c>
      <c r="O32" s="33">
        <v>91.74</v>
      </c>
      <c r="P32" s="32"/>
      <c r="Q32" s="33">
        <f>257.87+234.44</f>
        <v>492.31</v>
      </c>
      <c r="R32" s="33">
        <v>220.51</v>
      </c>
      <c r="S32" s="33">
        <v>208.46</v>
      </c>
      <c r="T32" s="33">
        <v>152.02</v>
      </c>
      <c r="U32" s="33">
        <v>44.94</v>
      </c>
      <c r="V32" s="33">
        <v>27.24</v>
      </c>
      <c r="W32" s="33">
        <v>27.24</v>
      </c>
      <c r="X32" s="33">
        <v>27.24</v>
      </c>
      <c r="Y32" s="33">
        <v>27.24</v>
      </c>
      <c r="Z32" s="33">
        <v>27.24</v>
      </c>
      <c r="AA32" s="33">
        <v>27.24</v>
      </c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1251</v>
      </c>
      <c r="D33" s="50" t="s">
        <v>42</v>
      </c>
      <c r="E33" s="32" t="s">
        <v>3</v>
      </c>
      <c r="F33" s="32" t="s">
        <v>1271</v>
      </c>
      <c r="G33" s="32"/>
      <c r="H33" s="32"/>
      <c r="I33" s="32"/>
      <c r="J33" s="33">
        <v>141.25</v>
      </c>
      <c r="K33" s="33">
        <v>195.73</v>
      </c>
      <c r="L33" s="33">
        <v>109.5</v>
      </c>
      <c r="M33" s="33">
        <v>103.23</v>
      </c>
      <c r="N33" s="33">
        <v>125.09</v>
      </c>
      <c r="O33" s="33">
        <v>133.65</v>
      </c>
      <c r="P33" s="32"/>
      <c r="Q33" s="33">
        <f>116.53+99.51</f>
        <v>216.04000000000002</v>
      </c>
      <c r="R33" s="33">
        <v>101.66</v>
      </c>
      <c r="S33" s="33">
        <v>109.15</v>
      </c>
      <c r="T33" s="33">
        <v>112.44</v>
      </c>
      <c r="U33" s="33">
        <f>0.00+103.90</f>
        <v>103.9</v>
      </c>
      <c r="V33" s="33">
        <v>119.08</v>
      </c>
      <c r="W33" s="33">
        <v>108.37</v>
      </c>
      <c r="X33" s="33">
        <v>88.52</v>
      </c>
      <c r="Y33" s="33">
        <v>89.95</v>
      </c>
      <c r="Z33" s="33">
        <v>112.01</v>
      </c>
      <c r="AA33" s="33">
        <v>126.95</v>
      </c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1251</v>
      </c>
      <c r="D34" s="50" t="s">
        <v>42</v>
      </c>
      <c r="E34" s="32" t="s">
        <v>3</v>
      </c>
      <c r="F34" s="32" t="s">
        <v>1272</v>
      </c>
      <c r="G34" s="32"/>
      <c r="H34" s="32"/>
      <c r="I34" s="32"/>
      <c r="J34" s="33">
        <v>57.46</v>
      </c>
      <c r="K34" s="33">
        <v>85.24</v>
      </c>
      <c r="L34" s="33">
        <v>91.53</v>
      </c>
      <c r="M34" s="33">
        <v>64.75</v>
      </c>
      <c r="N34" s="33">
        <v>27.24</v>
      </c>
      <c r="O34" s="33">
        <v>27.24</v>
      </c>
      <c r="P34" s="32"/>
      <c r="Q34" s="33">
        <f>27.24+33.11</f>
        <v>60.349999999999994</v>
      </c>
      <c r="R34" s="33">
        <v>27.24</v>
      </c>
      <c r="S34" s="33">
        <v>27.24</v>
      </c>
      <c r="T34" s="33">
        <v>27.24</v>
      </c>
      <c r="U34" s="33">
        <v>32.74</v>
      </c>
      <c r="V34" s="33">
        <v>88.05</v>
      </c>
      <c r="W34" s="33">
        <v>90.41</v>
      </c>
      <c r="X34" s="33">
        <v>42.13</v>
      </c>
      <c r="Y34" s="33">
        <v>27.24</v>
      </c>
      <c r="Z34" s="33">
        <v>27.24</v>
      </c>
      <c r="AA34" s="33">
        <v>118.91</v>
      </c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1251</v>
      </c>
      <c r="D35" s="50" t="s">
        <v>42</v>
      </c>
      <c r="E35" s="32" t="s">
        <v>3</v>
      </c>
      <c r="F35" s="32" t="s">
        <v>1273</v>
      </c>
      <c r="G35" s="32"/>
      <c r="H35" s="32"/>
      <c r="I35" s="32"/>
      <c r="J35" s="33">
        <v>257.89</v>
      </c>
      <c r="K35" s="33">
        <v>282.98</v>
      </c>
      <c r="L35" s="33">
        <v>248.92</v>
      </c>
      <c r="M35" s="33">
        <v>246.2</v>
      </c>
      <c r="N35" s="33">
        <v>245.01</v>
      </c>
      <c r="O35" s="33">
        <v>230.26</v>
      </c>
      <c r="P35" s="32"/>
      <c r="Q35" s="33">
        <f>247.23+82.10</f>
        <v>329.33</v>
      </c>
      <c r="R35" s="33">
        <v>110.88</v>
      </c>
      <c r="S35" s="33">
        <v>250.67</v>
      </c>
      <c r="T35" s="33">
        <v>227.89</v>
      </c>
      <c r="U35" s="33">
        <f>0.00+235.12</f>
        <v>235.12</v>
      </c>
      <c r="V35" s="33">
        <v>272.52</v>
      </c>
      <c r="W35" s="33">
        <v>263.25</v>
      </c>
      <c r="X35" s="33">
        <v>182.18</v>
      </c>
      <c r="Y35" s="33">
        <v>246.88</v>
      </c>
      <c r="Z35" s="33">
        <v>267.75</v>
      </c>
      <c r="AA35" s="33">
        <v>251.94</v>
      </c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1251</v>
      </c>
      <c r="D36" s="50" t="s">
        <v>42</v>
      </c>
      <c r="E36" s="32" t="s">
        <v>3</v>
      </c>
      <c r="F36" s="32" t="s">
        <v>1274</v>
      </c>
      <c r="G36" s="32"/>
      <c r="H36" s="32"/>
      <c r="I36" s="32"/>
      <c r="J36" s="33">
        <v>27.24</v>
      </c>
      <c r="K36" s="33">
        <v>27.24</v>
      </c>
      <c r="L36" s="33">
        <v>27.24</v>
      </c>
      <c r="M36" s="33">
        <v>27.24</v>
      </c>
      <c r="N36" s="33">
        <v>27.24</v>
      </c>
      <c r="O36" s="33">
        <v>27.24</v>
      </c>
      <c r="P36" s="32"/>
      <c r="Q36" s="33">
        <f>27.24+27.24</f>
        <v>54.48</v>
      </c>
      <c r="R36" s="33">
        <v>27.24</v>
      </c>
      <c r="S36" s="33">
        <v>27.24</v>
      </c>
      <c r="T36" s="33">
        <v>27.24</v>
      </c>
      <c r="U36" s="33">
        <v>27.24</v>
      </c>
      <c r="V36" s="33">
        <v>27.24</v>
      </c>
      <c r="W36" s="33">
        <v>27.24</v>
      </c>
      <c r="X36" s="33">
        <v>27.24</v>
      </c>
      <c r="Y36" s="33">
        <v>27.24</v>
      </c>
      <c r="Z36" s="33">
        <v>27.24</v>
      </c>
      <c r="AA36" s="33">
        <v>27.24</v>
      </c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1251</v>
      </c>
      <c r="D37" s="50" t="s">
        <v>42</v>
      </c>
      <c r="E37" s="32" t="s">
        <v>3</v>
      </c>
      <c r="F37" s="32" t="s">
        <v>1275</v>
      </c>
      <c r="G37" s="32"/>
      <c r="H37" s="32"/>
      <c r="I37" s="32"/>
      <c r="J37" s="32"/>
      <c r="K37" s="32"/>
      <c r="L37" s="32"/>
      <c r="M37" s="32"/>
      <c r="N37" s="32"/>
      <c r="O37" s="33">
        <v>0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1251</v>
      </c>
      <c r="D38" s="50" t="s">
        <v>42</v>
      </c>
      <c r="E38" s="32" t="s">
        <v>3</v>
      </c>
      <c r="F38" s="32" t="s">
        <v>1276</v>
      </c>
      <c r="G38" s="32"/>
      <c r="H38" s="32"/>
      <c r="I38" s="32"/>
      <c r="J38" s="33">
        <v>27.24</v>
      </c>
      <c r="K38" s="33">
        <v>27.24</v>
      </c>
      <c r="L38" s="33">
        <v>27.24</v>
      </c>
      <c r="M38" s="33">
        <v>27.24</v>
      </c>
      <c r="N38" s="33">
        <v>27.24</v>
      </c>
      <c r="O38" s="33">
        <v>27.24</v>
      </c>
      <c r="P38" s="32"/>
      <c r="Q38" s="33">
        <f>27.24+27.24</f>
        <v>54.48</v>
      </c>
      <c r="R38" s="33">
        <v>27.24</v>
      </c>
      <c r="S38" s="33">
        <v>27.24</v>
      </c>
      <c r="T38" s="33">
        <v>27.24</v>
      </c>
      <c r="U38" s="33">
        <v>27.24</v>
      </c>
      <c r="V38" s="33">
        <v>27.24</v>
      </c>
      <c r="W38" s="33">
        <v>27.24</v>
      </c>
      <c r="X38" s="33">
        <v>27.24</v>
      </c>
      <c r="Y38" s="33">
        <v>27.24</v>
      </c>
      <c r="Z38" s="33">
        <v>27.24</v>
      </c>
      <c r="AA38" s="33">
        <v>27.24</v>
      </c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1251</v>
      </c>
      <c r="D39" s="50" t="s">
        <v>42</v>
      </c>
      <c r="E39" s="32" t="s">
        <v>3</v>
      </c>
      <c r="F39" s="32" t="s">
        <v>1277</v>
      </c>
      <c r="G39" s="32"/>
      <c r="H39" s="32"/>
      <c r="I39" s="32"/>
      <c r="J39" s="33">
        <v>27.24</v>
      </c>
      <c r="K39" s="33">
        <v>27.24</v>
      </c>
      <c r="L39" s="33">
        <v>27.24</v>
      </c>
      <c r="M39" s="33">
        <v>27.24</v>
      </c>
      <c r="N39" s="33">
        <v>27.24</v>
      </c>
      <c r="O39" s="33">
        <v>27.24</v>
      </c>
      <c r="P39" s="32"/>
      <c r="Q39" s="33">
        <f>27.24+27.24</f>
        <v>54.48</v>
      </c>
      <c r="R39" s="33">
        <v>27.24</v>
      </c>
      <c r="S39" s="33">
        <v>27.24</v>
      </c>
      <c r="T39" s="33">
        <v>27.24</v>
      </c>
      <c r="U39" s="33">
        <v>27.24</v>
      </c>
      <c r="V39" s="33">
        <v>27.24</v>
      </c>
      <c r="W39" s="33">
        <v>27.24</v>
      </c>
      <c r="X39" s="33">
        <v>27.24</v>
      </c>
      <c r="Y39" s="33">
        <v>27.24</v>
      </c>
      <c r="Z39" s="33">
        <v>27.24</v>
      </c>
      <c r="AA39" s="33">
        <v>27.24</v>
      </c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1251</v>
      </c>
      <c r="D40" s="50" t="s">
        <v>42</v>
      </c>
      <c r="E40" s="32" t="s">
        <v>3</v>
      </c>
      <c r="F40" s="32" t="s">
        <v>1278</v>
      </c>
      <c r="G40" s="32"/>
      <c r="H40" s="32"/>
      <c r="I40" s="32"/>
      <c r="J40" s="33">
        <v>13.75</v>
      </c>
      <c r="K40" s="33">
        <v>13.84</v>
      </c>
      <c r="L40" s="33">
        <v>13.84</v>
      </c>
      <c r="M40" s="33">
        <v>13.01</v>
      </c>
      <c r="N40" s="33">
        <v>12.64</v>
      </c>
      <c r="O40" s="33">
        <v>12.64</v>
      </c>
      <c r="P40" s="32"/>
      <c r="Q40" s="33">
        <f>12.64+12.31</f>
        <v>24.950000000000003</v>
      </c>
      <c r="R40" s="33">
        <v>12.64</v>
      </c>
      <c r="S40" s="33">
        <v>12.64</v>
      </c>
      <c r="T40" s="33">
        <v>12.64</v>
      </c>
      <c r="U40" s="33">
        <v>12.64</v>
      </c>
      <c r="V40" s="33">
        <v>15.09</v>
      </c>
      <c r="W40" s="33">
        <v>15.15</v>
      </c>
      <c r="X40" s="33">
        <v>15.15</v>
      </c>
      <c r="Y40" s="33">
        <v>15.15</v>
      </c>
      <c r="Z40" s="33">
        <v>15.15</v>
      </c>
      <c r="AA40" s="33">
        <v>15.15</v>
      </c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1251</v>
      </c>
      <c r="D41" s="50" t="s">
        <v>42</v>
      </c>
      <c r="E41" s="32" t="s">
        <v>3</v>
      </c>
      <c r="F41" s="32" t="s">
        <v>1279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3">
        <v>27.59</v>
      </c>
      <c r="Y41" s="33">
        <v>19.89</v>
      </c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1251</v>
      </c>
      <c r="D42" s="50" t="s">
        <v>42</v>
      </c>
      <c r="E42" s="32" t="s">
        <v>3</v>
      </c>
      <c r="F42" s="32" t="s">
        <v>1280</v>
      </c>
      <c r="G42" s="32"/>
      <c r="H42" s="32"/>
      <c r="I42" s="32"/>
      <c r="J42" s="33">
        <v>111.27</v>
      </c>
      <c r="K42" s="33">
        <v>119.05</v>
      </c>
      <c r="L42" s="33">
        <v>119.46</v>
      </c>
      <c r="M42" s="33">
        <v>135.81</v>
      </c>
      <c r="N42" s="33">
        <v>31.04</v>
      </c>
      <c r="O42" s="33">
        <v>62.32</v>
      </c>
      <c r="P42" s="32"/>
      <c r="Q42" s="33">
        <f>133.68+115.01</f>
        <v>248.69</v>
      </c>
      <c r="R42" s="33">
        <v>115.19</v>
      </c>
      <c r="S42" s="33">
        <v>64.19</v>
      </c>
      <c r="T42" s="33">
        <v>55.93</v>
      </c>
      <c r="U42" s="33">
        <v>28.49</v>
      </c>
      <c r="V42" s="33">
        <v>35.51</v>
      </c>
      <c r="W42" s="33">
        <v>74.72</v>
      </c>
      <c r="X42" s="33">
        <v>34.84</v>
      </c>
      <c r="Y42" s="33">
        <v>27.24</v>
      </c>
      <c r="Z42" s="33">
        <v>27.24</v>
      </c>
      <c r="AA42" s="33">
        <v>27.24</v>
      </c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1251</v>
      </c>
      <c r="D43" s="50" t="s">
        <v>42</v>
      </c>
      <c r="E43" s="32" t="s">
        <v>3</v>
      </c>
      <c r="F43" s="32" t="s">
        <v>1281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3">
        <v>43.69</v>
      </c>
      <c r="S43" s="33">
        <v>71.06</v>
      </c>
      <c r="T43" s="33">
        <v>43.28</v>
      </c>
      <c r="U43" s="33">
        <v>32.36</v>
      </c>
      <c r="V43" s="33">
        <v>32.71</v>
      </c>
      <c r="W43" s="33">
        <v>4.76</v>
      </c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1251</v>
      </c>
      <c r="D44" s="50" t="s">
        <v>42</v>
      </c>
      <c r="E44" s="32" t="s">
        <v>3</v>
      </c>
      <c r="F44" s="32" t="s">
        <v>1282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3">
        <v>48.93</v>
      </c>
      <c r="S44" s="33">
        <v>53.57</v>
      </c>
      <c r="T44" s="33">
        <v>19.39</v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1251</v>
      </c>
      <c r="D45" s="50" t="s">
        <v>42</v>
      </c>
      <c r="E45" s="32" t="s">
        <v>3</v>
      </c>
      <c r="F45" s="32" t="s">
        <v>1283</v>
      </c>
      <c r="G45" s="32"/>
      <c r="H45" s="32"/>
      <c r="I45" s="32"/>
      <c r="J45" s="33">
        <v>1573.24</v>
      </c>
      <c r="K45" s="33">
        <v>1482.2</v>
      </c>
      <c r="L45" s="33">
        <v>1270.56</v>
      </c>
      <c r="M45" s="33">
        <v>1122.81</v>
      </c>
      <c r="N45" s="33">
        <v>890.7</v>
      </c>
      <c r="O45" s="33">
        <v>874.21</v>
      </c>
      <c r="P45" s="32"/>
      <c r="Q45" s="33">
        <f>875.52+866.41</f>
        <v>1741.9299999999998</v>
      </c>
      <c r="R45" s="33">
        <v>820.31</v>
      </c>
      <c r="S45" s="33">
        <v>905.45</v>
      </c>
      <c r="T45" s="33">
        <v>1087.34</v>
      </c>
      <c r="U45" s="33">
        <f>1630.56+0.00</f>
        <v>1630.56</v>
      </c>
      <c r="V45" s="33">
        <v>1578.28</v>
      </c>
      <c r="W45" s="33">
        <v>1414.59</v>
      </c>
      <c r="X45" s="33">
        <v>785.54</v>
      </c>
      <c r="Y45" s="33">
        <v>745.45</v>
      </c>
      <c r="Z45" s="33">
        <v>786.76</v>
      </c>
      <c r="AA45" s="33">
        <v>1107.31</v>
      </c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1251</v>
      </c>
      <c r="D46" s="50" t="s">
        <v>42</v>
      </c>
      <c r="E46" s="32" t="s">
        <v>3</v>
      </c>
      <c r="F46" s="32" t="s">
        <v>1284</v>
      </c>
      <c r="G46" s="32"/>
      <c r="H46" s="32"/>
      <c r="I46" s="32"/>
      <c r="J46" s="33">
        <v>147.42</v>
      </c>
      <c r="K46" s="33">
        <v>167.82</v>
      </c>
      <c r="L46" s="33">
        <v>143.22</v>
      </c>
      <c r="M46" s="33">
        <v>99.78</v>
      </c>
      <c r="N46" s="33">
        <v>27.24</v>
      </c>
      <c r="O46" s="33">
        <v>27.24</v>
      </c>
      <c r="P46" s="32"/>
      <c r="Q46" s="33">
        <f>28.34+27.24</f>
        <v>55.58</v>
      </c>
      <c r="R46" s="33">
        <v>27.24</v>
      </c>
      <c r="S46" s="33">
        <v>27.24</v>
      </c>
      <c r="T46" s="33">
        <v>186.6</v>
      </c>
      <c r="U46" s="33">
        <v>198.66</v>
      </c>
      <c r="V46" s="33">
        <v>214.9</v>
      </c>
      <c r="W46" s="33">
        <v>227.13</v>
      </c>
      <c r="X46" s="33">
        <v>185.14</v>
      </c>
      <c r="Y46" s="33">
        <v>207.15</v>
      </c>
      <c r="Z46" s="33">
        <v>157.31</v>
      </c>
      <c r="AA46" s="33">
        <v>282.36</v>
      </c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1251</v>
      </c>
      <c r="D47" s="50" t="s">
        <v>42</v>
      </c>
      <c r="E47" s="32" t="s">
        <v>3</v>
      </c>
      <c r="F47" s="32" t="s">
        <v>1285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3">
        <f>0.00+0.00+0.00+27.18</f>
        <v>27.18</v>
      </c>
      <c r="AA47" s="33">
        <v>45.83</v>
      </c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1251</v>
      </c>
      <c r="D48" s="50" t="s">
        <v>42</v>
      </c>
      <c r="E48" s="32" t="s">
        <v>3</v>
      </c>
      <c r="F48" s="32" t="s">
        <v>1286</v>
      </c>
      <c r="G48" s="32"/>
      <c r="H48" s="32"/>
      <c r="I48" s="32"/>
      <c r="J48" s="33">
        <v>118.61</v>
      </c>
      <c r="K48" s="33">
        <v>123.71</v>
      </c>
      <c r="L48" s="33">
        <v>225.93</v>
      </c>
      <c r="M48" s="33">
        <v>306.03</v>
      </c>
      <c r="N48" s="33">
        <v>229.31</v>
      </c>
      <c r="O48" s="33">
        <v>206.65</v>
      </c>
      <c r="P48" s="32"/>
      <c r="Q48" s="33">
        <f>122.35+190.10</f>
        <v>312.45</v>
      </c>
      <c r="R48" s="33">
        <v>110.54</v>
      </c>
      <c r="S48" s="33">
        <v>27.24</v>
      </c>
      <c r="T48" s="33">
        <v>27.24</v>
      </c>
      <c r="U48" s="33">
        <v>27.24</v>
      </c>
      <c r="V48" s="33">
        <v>42.59</v>
      </c>
      <c r="W48" s="33">
        <v>176.55</v>
      </c>
      <c r="X48" s="33">
        <v>216.05</v>
      </c>
      <c r="Y48" s="33">
        <v>149.94</v>
      </c>
      <c r="Z48" s="33">
        <v>154.4</v>
      </c>
      <c r="AA48" s="33">
        <v>114.7</v>
      </c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1251</v>
      </c>
      <c r="D49" s="50" t="s">
        <v>42</v>
      </c>
      <c r="E49" s="32" t="s">
        <v>3</v>
      </c>
      <c r="F49" s="32" t="s">
        <v>1287</v>
      </c>
      <c r="G49" s="32"/>
      <c r="H49" s="32"/>
      <c r="I49" s="32"/>
      <c r="J49" s="33">
        <v>85.37</v>
      </c>
      <c r="K49" s="33">
        <v>100.87</v>
      </c>
      <c r="L49" s="33">
        <v>80.02</v>
      </c>
      <c r="M49" s="33">
        <v>64.89</v>
      </c>
      <c r="N49" s="33">
        <v>27.24</v>
      </c>
      <c r="O49" s="33">
        <v>58.77</v>
      </c>
      <c r="P49" s="32"/>
      <c r="Q49" s="33">
        <f>27.24+27.24</f>
        <v>54.48</v>
      </c>
      <c r="R49" s="33">
        <v>28.46</v>
      </c>
      <c r="S49" s="33">
        <v>33.22</v>
      </c>
      <c r="T49" s="33">
        <v>41.13</v>
      </c>
      <c r="U49" s="33">
        <v>39.61</v>
      </c>
      <c r="V49" s="33">
        <v>39.67</v>
      </c>
      <c r="W49" s="33">
        <v>43.72</v>
      </c>
      <c r="X49" s="33">
        <v>34.2</v>
      </c>
      <c r="Y49" s="33">
        <v>84.87</v>
      </c>
      <c r="Z49" s="33">
        <v>122.33</v>
      </c>
      <c r="AA49" s="33">
        <v>162.09</v>
      </c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1251</v>
      </c>
      <c r="D50" s="50" t="s">
        <v>42</v>
      </c>
      <c r="E50" s="32" t="s">
        <v>3</v>
      </c>
      <c r="F50" s="32" t="s">
        <v>1288</v>
      </c>
      <c r="G50" s="32"/>
      <c r="H50" s="32"/>
      <c r="I50" s="32"/>
      <c r="J50" s="32"/>
      <c r="K50" s="32"/>
      <c r="L50" s="33">
        <v>0</v>
      </c>
      <c r="M50" s="33">
        <v>32.24</v>
      </c>
      <c r="N50" s="33">
        <v>27.24</v>
      </c>
      <c r="O50" s="33">
        <v>27.24</v>
      </c>
      <c r="P50" s="32"/>
      <c r="Q50" s="33">
        <f>27.24+54.33</f>
        <v>81.57</v>
      </c>
      <c r="R50" s="33">
        <v>34.57</v>
      </c>
      <c r="S50" s="33">
        <v>35.92</v>
      </c>
      <c r="T50" s="33">
        <v>38.18</v>
      </c>
      <c r="U50" s="33">
        <v>20.61</v>
      </c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1251</v>
      </c>
      <c r="D51" s="50" t="s">
        <v>42</v>
      </c>
      <c r="E51" s="32" t="s">
        <v>3</v>
      </c>
      <c r="F51" s="32" t="s">
        <v>1289</v>
      </c>
      <c r="G51" s="32"/>
      <c r="H51" s="32"/>
      <c r="I51" s="32"/>
      <c r="J51" s="33">
        <v>105.93</v>
      </c>
      <c r="K51" s="33">
        <v>171.55</v>
      </c>
      <c r="L51" s="33">
        <v>156.31</v>
      </c>
      <c r="M51" s="33">
        <v>120.14</v>
      </c>
      <c r="N51" s="33">
        <v>163.66</v>
      </c>
      <c r="O51" s="33">
        <v>270.2</v>
      </c>
      <c r="P51" s="32"/>
      <c r="Q51" s="33">
        <f>356.73+292.55</f>
        <v>649.28</v>
      </c>
      <c r="R51" s="33">
        <v>257.04</v>
      </c>
      <c r="S51" s="33">
        <v>256.2</v>
      </c>
      <c r="T51" s="33">
        <v>110.2</v>
      </c>
      <c r="U51" s="33">
        <v>91.88</v>
      </c>
      <c r="V51" s="33">
        <v>81.86</v>
      </c>
      <c r="W51" s="33">
        <v>258.35</v>
      </c>
      <c r="X51" s="33">
        <v>134.73</v>
      </c>
      <c r="Y51" s="33">
        <v>120.89</v>
      </c>
      <c r="Z51" s="33">
        <v>27.52</v>
      </c>
      <c r="AA51" s="33">
        <v>124.19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1251</v>
      </c>
      <c r="D52" s="50" t="s">
        <v>42</v>
      </c>
      <c r="E52" s="32" t="s">
        <v>3</v>
      </c>
      <c r="F52" s="32" t="s">
        <v>1290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3">
        <f>0.00+0.00+17.94</f>
        <v>17.94</v>
      </c>
      <c r="Y52" s="33">
        <v>29.93</v>
      </c>
      <c r="Z52" s="33">
        <v>30.47</v>
      </c>
      <c r="AA52" s="33">
        <v>51.76</v>
      </c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1251</v>
      </c>
      <c r="D53" s="50" t="s">
        <v>42</v>
      </c>
      <c r="E53" s="32" t="s">
        <v>3</v>
      </c>
      <c r="F53" s="32" t="s">
        <v>1291</v>
      </c>
      <c r="G53" s="32"/>
      <c r="H53" s="32"/>
      <c r="I53" s="32"/>
      <c r="J53" s="33">
        <v>107.79</v>
      </c>
      <c r="K53" s="33">
        <v>129.89</v>
      </c>
      <c r="L53" s="33">
        <v>130.8</v>
      </c>
      <c r="M53" s="33">
        <v>89.16</v>
      </c>
      <c r="N53" s="33">
        <v>27.24</v>
      </c>
      <c r="O53" s="33">
        <v>27.24</v>
      </c>
      <c r="P53" s="32"/>
      <c r="Q53" s="33">
        <f>70.94+344.25</f>
        <v>415.19</v>
      </c>
      <c r="R53" s="33">
        <v>257.75</v>
      </c>
      <c r="S53" s="33">
        <v>27.24</v>
      </c>
      <c r="T53" s="33">
        <v>131.44</v>
      </c>
      <c r="U53" s="33">
        <v>34.09</v>
      </c>
      <c r="V53" s="33">
        <v>27.24</v>
      </c>
      <c r="W53" s="33">
        <v>91.07</v>
      </c>
      <c r="X53" s="33">
        <v>123.65</v>
      </c>
      <c r="Y53" s="33">
        <v>54.54</v>
      </c>
      <c r="Z53" s="33">
        <v>40.81</v>
      </c>
      <c r="AA53" s="33">
        <v>98.18</v>
      </c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1251</v>
      </c>
      <c r="D54" s="50" t="s">
        <v>42</v>
      </c>
      <c r="E54" s="32" t="s">
        <v>3</v>
      </c>
      <c r="F54" s="32" t="s">
        <v>1292</v>
      </c>
      <c r="G54" s="32"/>
      <c r="H54" s="32"/>
      <c r="I54" s="32"/>
      <c r="J54" s="33">
        <v>149.74</v>
      </c>
      <c r="K54" s="33">
        <v>174.49</v>
      </c>
      <c r="L54" s="33">
        <v>145.26</v>
      </c>
      <c r="M54" s="33">
        <v>198.15</v>
      </c>
      <c r="N54" s="33">
        <v>327.62</v>
      </c>
      <c r="O54" s="33">
        <v>220.64</v>
      </c>
      <c r="P54" s="32"/>
      <c r="Q54" s="33">
        <f>236.74+293.08</f>
        <v>529.8199999999999</v>
      </c>
      <c r="R54" s="33">
        <v>460.65</v>
      </c>
      <c r="S54" s="33">
        <v>289.26</v>
      </c>
      <c r="T54" s="33">
        <v>170.65</v>
      </c>
      <c r="U54" s="33">
        <v>35.79</v>
      </c>
      <c r="V54" s="33">
        <v>82.12</v>
      </c>
      <c r="W54" s="33">
        <v>105.99</v>
      </c>
      <c r="X54" s="33">
        <v>156.85</v>
      </c>
      <c r="Y54" s="33">
        <v>239.58</v>
      </c>
      <c r="Z54" s="33">
        <v>54.41</v>
      </c>
      <c r="AA54" s="33">
        <v>131.45</v>
      </c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1251</v>
      </c>
      <c r="D55" s="50" t="s">
        <v>42</v>
      </c>
      <c r="E55" s="32" t="s">
        <v>3</v>
      </c>
      <c r="F55" s="32" t="s">
        <v>1293</v>
      </c>
      <c r="G55" s="32"/>
      <c r="H55" s="32"/>
      <c r="I55" s="32"/>
      <c r="J55" s="32"/>
      <c r="K55" s="32"/>
      <c r="L55" s="32"/>
      <c r="M55" s="32"/>
      <c r="N55" s="32"/>
      <c r="O55" s="33">
        <v>0</v>
      </c>
      <c r="P55" s="32"/>
      <c r="Q55" s="33">
        <f>28.70+27.86</f>
        <v>56.56</v>
      </c>
      <c r="R55" s="33">
        <v>27.87</v>
      </c>
      <c r="S55" s="33">
        <v>28</v>
      </c>
      <c r="T55" s="33">
        <v>27.83</v>
      </c>
      <c r="U55" s="33">
        <v>27.68</v>
      </c>
      <c r="V55" s="33">
        <v>28.32</v>
      </c>
      <c r="W55" s="33">
        <v>28.28</v>
      </c>
      <c r="X55" s="33">
        <v>28.11</v>
      </c>
      <c r="Y55" s="33">
        <v>27.24</v>
      </c>
      <c r="Z55" s="33">
        <v>28.37</v>
      </c>
      <c r="AA55" s="33">
        <v>28.86</v>
      </c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1251</v>
      </c>
      <c r="D56" s="50" t="s">
        <v>42</v>
      </c>
      <c r="E56" s="32" t="s">
        <v>3</v>
      </c>
      <c r="F56" s="32" t="s">
        <v>1294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>
        <v>32.63</v>
      </c>
      <c r="T56" s="33">
        <v>27.24</v>
      </c>
      <c r="U56" s="33">
        <v>27.24</v>
      </c>
      <c r="V56" s="33">
        <v>31.27</v>
      </c>
      <c r="W56" s="33">
        <v>34.68</v>
      </c>
      <c r="X56" s="33">
        <v>34.84</v>
      </c>
      <c r="Y56" s="33">
        <v>8.95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1251</v>
      </c>
      <c r="D57" s="50" t="s">
        <v>42</v>
      </c>
      <c r="E57" s="32" t="s">
        <v>3</v>
      </c>
      <c r="F57" s="32" t="s">
        <v>1295</v>
      </c>
      <c r="G57" s="32"/>
      <c r="H57" s="32"/>
      <c r="I57" s="32"/>
      <c r="J57" s="33">
        <v>63.8</v>
      </c>
      <c r="K57" s="33">
        <v>97.55</v>
      </c>
      <c r="L57" s="33">
        <v>69.87</v>
      </c>
      <c r="M57" s="33">
        <v>66.44</v>
      </c>
      <c r="N57" s="33">
        <v>65.31</v>
      </c>
      <c r="O57" s="33">
        <v>77.03</v>
      </c>
      <c r="P57" s="32"/>
      <c r="Q57" s="33">
        <f>72.69+73.17</f>
        <v>145.86</v>
      </c>
      <c r="R57" s="33">
        <v>90.58</v>
      </c>
      <c r="S57" s="33">
        <v>78.35</v>
      </c>
      <c r="T57" s="33">
        <v>67.93</v>
      </c>
      <c r="U57" s="33">
        <f>62.29+0.00</f>
        <v>62.29</v>
      </c>
      <c r="V57" s="33">
        <v>51.11</v>
      </c>
      <c r="W57" s="33">
        <v>232.09</v>
      </c>
      <c r="X57" s="33">
        <v>39.35</v>
      </c>
      <c r="Y57" s="33">
        <v>70.38</v>
      </c>
      <c r="Z57" s="33">
        <v>69.53</v>
      </c>
      <c r="AA57" s="33">
        <v>89.68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1251</v>
      </c>
      <c r="D58" s="50" t="s">
        <v>42</v>
      </c>
      <c r="E58" s="32" t="s">
        <v>3</v>
      </c>
      <c r="F58" s="32" t="s">
        <v>1296</v>
      </c>
      <c r="G58" s="32"/>
      <c r="H58" s="32"/>
      <c r="I58" s="32"/>
      <c r="J58" s="32"/>
      <c r="K58" s="32"/>
      <c r="L58" s="33">
        <v>29.42</v>
      </c>
      <c r="M58" s="33">
        <v>6.23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1251</v>
      </c>
      <c r="D59" s="50" t="s">
        <v>42</v>
      </c>
      <c r="E59" s="32" t="s">
        <v>3</v>
      </c>
      <c r="F59" s="32" t="s">
        <v>1297</v>
      </c>
      <c r="G59" s="32"/>
      <c r="H59" s="32"/>
      <c r="I59" s="32"/>
      <c r="J59" s="33">
        <v>25.49</v>
      </c>
      <c r="K59" s="33">
        <v>25.63</v>
      </c>
      <c r="L59" s="33">
        <v>25.63</v>
      </c>
      <c r="M59" s="33">
        <v>24.35</v>
      </c>
      <c r="N59" s="33">
        <v>23.75</v>
      </c>
      <c r="O59" s="33">
        <v>23.75</v>
      </c>
      <c r="P59" s="32"/>
      <c r="Q59" s="33">
        <f>23.75+23.26</f>
        <v>47.010000000000005</v>
      </c>
      <c r="R59" s="33">
        <v>23.75</v>
      </c>
      <c r="S59" s="33">
        <v>23.75</v>
      </c>
      <c r="T59" s="33">
        <v>23.75</v>
      </c>
      <c r="U59" s="33">
        <v>23.75</v>
      </c>
      <c r="V59" s="33">
        <v>27.64</v>
      </c>
      <c r="W59" s="33">
        <v>27.75</v>
      </c>
      <c r="X59" s="33">
        <v>27.75</v>
      </c>
      <c r="Y59" s="33">
        <v>27.75</v>
      </c>
      <c r="Z59" s="33">
        <v>27.75</v>
      </c>
      <c r="AA59" s="33">
        <v>27.75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1251</v>
      </c>
      <c r="D60" s="50" t="s">
        <v>42</v>
      </c>
      <c r="E60" s="32" t="s">
        <v>3</v>
      </c>
      <c r="F60" s="32" t="s">
        <v>1298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>
        <v>0</v>
      </c>
      <c r="U60" s="33">
        <v>29.29</v>
      </c>
      <c r="V60" s="33">
        <v>30.4</v>
      </c>
      <c r="W60" s="33">
        <v>40.53</v>
      </c>
      <c r="X60" s="33">
        <v>31.83</v>
      </c>
      <c r="Y60" s="33">
        <v>31.92</v>
      </c>
      <c r="Z60" s="33">
        <v>32.27</v>
      </c>
      <c r="AA60" s="33">
        <v>52.29</v>
      </c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1251</v>
      </c>
      <c r="D61" s="50" t="s">
        <v>42</v>
      </c>
      <c r="E61" s="32" t="s">
        <v>3</v>
      </c>
      <c r="F61" s="32" t="s">
        <v>1299</v>
      </c>
      <c r="G61" s="32"/>
      <c r="H61" s="32"/>
      <c r="I61" s="32"/>
      <c r="J61" s="32"/>
      <c r="K61" s="32"/>
      <c r="L61" s="33">
        <v>0</v>
      </c>
      <c r="M61" s="33">
        <v>32.24</v>
      </c>
      <c r="N61" s="33">
        <v>27.24</v>
      </c>
      <c r="O61" s="33">
        <v>27.24</v>
      </c>
      <c r="P61" s="32"/>
      <c r="Q61" s="33">
        <f>27.24+44.66</f>
        <v>71.89999999999999</v>
      </c>
      <c r="R61" s="33">
        <v>65.86</v>
      </c>
      <c r="S61" s="33">
        <v>61.96</v>
      </c>
      <c r="T61" s="33">
        <v>73.53</v>
      </c>
      <c r="U61" s="33">
        <v>49.29</v>
      </c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1251</v>
      </c>
      <c r="D62" s="50" t="s">
        <v>42</v>
      </c>
      <c r="E62" s="32" t="s">
        <v>3</v>
      </c>
      <c r="F62" s="32" t="s">
        <v>1300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3">
        <v>19.91</v>
      </c>
      <c r="S62" s="33">
        <v>28.04</v>
      </c>
      <c r="T62" s="33">
        <v>27.24</v>
      </c>
      <c r="U62" s="33">
        <v>28.11</v>
      </c>
      <c r="V62" s="33">
        <v>29.4</v>
      </c>
      <c r="W62" s="33">
        <v>29.07</v>
      </c>
      <c r="X62" s="33">
        <v>30.22</v>
      </c>
      <c r="Y62" s="33">
        <v>49.25</v>
      </c>
      <c r="Z62" s="33">
        <v>34.45</v>
      </c>
      <c r="AA62" s="33">
        <v>31.81</v>
      </c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1251</v>
      </c>
      <c r="D63" s="50" t="s">
        <v>42</v>
      </c>
      <c r="E63" s="32" t="s">
        <v>3</v>
      </c>
      <c r="F63" s="32" t="s">
        <v>1301</v>
      </c>
      <c r="G63" s="32"/>
      <c r="H63" s="32"/>
      <c r="I63" s="32"/>
      <c r="J63" s="32"/>
      <c r="K63" s="32"/>
      <c r="L63" s="32"/>
      <c r="M63" s="33">
        <v>27.24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1251</v>
      </c>
      <c r="D64" s="50" t="s">
        <v>42</v>
      </c>
      <c r="E64" s="32" t="s">
        <v>3</v>
      </c>
      <c r="F64" s="32" t="s">
        <v>1302</v>
      </c>
      <c r="G64" s="33">
        <v>0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3">
        <f>0.00+37.45</f>
        <v>37.45</v>
      </c>
      <c r="S64" s="33">
        <v>116.46</v>
      </c>
      <c r="T64" s="33">
        <v>53.68</v>
      </c>
      <c r="U64" s="33">
        <v>31.6</v>
      </c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1251</v>
      </c>
      <c r="D65" s="50" t="s">
        <v>42</v>
      </c>
      <c r="E65" s="32" t="s">
        <v>3</v>
      </c>
      <c r="F65" s="32" t="s">
        <v>1303</v>
      </c>
      <c r="G65" s="32"/>
      <c r="H65" s="32"/>
      <c r="I65" s="32"/>
      <c r="J65" s="33">
        <v>56.27</v>
      </c>
      <c r="K65" s="33">
        <v>30.94</v>
      </c>
      <c r="L65" s="33">
        <v>36.6</v>
      </c>
      <c r="M65" s="33">
        <v>56.93</v>
      </c>
      <c r="N65" s="33">
        <v>129.62</v>
      </c>
      <c r="O65" s="33">
        <v>148.81</v>
      </c>
      <c r="P65" s="32"/>
      <c r="Q65" s="33">
        <f>163.52+140.28</f>
        <v>303.8</v>
      </c>
      <c r="R65" s="33">
        <v>104.06</v>
      </c>
      <c r="S65" s="33">
        <v>27.24</v>
      </c>
      <c r="T65" s="33">
        <v>27.24</v>
      </c>
      <c r="U65" s="33">
        <v>76.38</v>
      </c>
      <c r="V65" s="33">
        <v>156.03</v>
      </c>
      <c r="W65" s="33">
        <v>181.16</v>
      </c>
      <c r="X65" s="33">
        <v>119.98</v>
      </c>
      <c r="Y65" s="33">
        <v>100.04</v>
      </c>
      <c r="Z65" s="33">
        <v>27.24</v>
      </c>
      <c r="AA65" s="33">
        <v>27.24</v>
      </c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1251</v>
      </c>
      <c r="D66" s="50" t="s">
        <v>42</v>
      </c>
      <c r="E66" s="32" t="s">
        <v>3</v>
      </c>
      <c r="F66" s="32" t="s">
        <v>1304</v>
      </c>
      <c r="G66" s="32"/>
      <c r="H66" s="32"/>
      <c r="I66" s="32"/>
      <c r="J66" s="33">
        <v>37.09</v>
      </c>
      <c r="K66" s="33">
        <v>69.72</v>
      </c>
      <c r="L66" s="33">
        <v>84.32</v>
      </c>
      <c r="M66" s="33">
        <v>96.97</v>
      </c>
      <c r="N66" s="33">
        <v>41.75</v>
      </c>
      <c r="O66" s="33">
        <v>51.92</v>
      </c>
      <c r="P66" s="32"/>
      <c r="Q66" s="33">
        <f>74.97+38.82</f>
        <v>113.78999999999999</v>
      </c>
      <c r="R66" s="33">
        <v>170.51</v>
      </c>
      <c r="S66" s="33">
        <v>135.93</v>
      </c>
      <c r="T66" s="33">
        <v>29.15</v>
      </c>
      <c r="U66" s="33">
        <v>34.85</v>
      </c>
      <c r="V66" s="33">
        <v>75.52</v>
      </c>
      <c r="W66" s="33">
        <v>93.33</v>
      </c>
      <c r="X66" s="33">
        <v>99.26</v>
      </c>
      <c r="Y66" s="33">
        <v>181.16</v>
      </c>
      <c r="Z66" s="33">
        <v>148.55</v>
      </c>
      <c r="AA66" s="33">
        <v>112.18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1251</v>
      </c>
      <c r="D67" s="50" t="s">
        <v>42</v>
      </c>
      <c r="E67" s="32" t="s">
        <v>3</v>
      </c>
      <c r="F67" s="32" t="s">
        <v>1305</v>
      </c>
      <c r="G67" s="32"/>
      <c r="H67" s="32"/>
      <c r="I67" s="32"/>
      <c r="J67" s="33">
        <v>1084.42</v>
      </c>
      <c r="K67" s="33">
        <f>1093.84+1089.49</f>
        <v>2183.33</v>
      </c>
      <c r="L67" s="33">
        <v>1089.49</v>
      </c>
      <c r="M67" s="33">
        <v>1084.17</v>
      </c>
      <c r="N67" s="33">
        <v>1076.4</v>
      </c>
      <c r="O67" s="33">
        <v>1076.4</v>
      </c>
      <c r="P67" s="32"/>
      <c r="Q67" s="33">
        <f>1076.40+1074.41</f>
        <v>2150.8100000000004</v>
      </c>
      <c r="R67" s="33">
        <v>1076.4</v>
      </c>
      <c r="S67" s="33">
        <v>1076.4</v>
      </c>
      <c r="T67" s="33">
        <v>1076.4</v>
      </c>
      <c r="U67" s="33">
        <v>1076.4</v>
      </c>
      <c r="V67" s="33">
        <v>1097.92</v>
      </c>
      <c r="W67" s="33">
        <v>1102.1</v>
      </c>
      <c r="X67" s="33">
        <v>1102.1</v>
      </c>
      <c r="Y67" s="33">
        <v>1102.1</v>
      </c>
      <c r="Z67" s="33">
        <v>1102.1</v>
      </c>
      <c r="AA67" s="33">
        <v>1102.1</v>
      </c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1251</v>
      </c>
      <c r="D68" s="50" t="s">
        <v>42</v>
      </c>
      <c r="E68" s="32" t="s">
        <v>3</v>
      </c>
      <c r="F68" s="32" t="s">
        <v>1306</v>
      </c>
      <c r="G68" s="32"/>
      <c r="H68" s="32"/>
      <c r="I68" s="32"/>
      <c r="J68" s="33">
        <v>34.42</v>
      </c>
      <c r="K68" s="33">
        <v>100.74</v>
      </c>
      <c r="L68" s="33">
        <v>82.03</v>
      </c>
      <c r="M68" s="33">
        <v>60.33</v>
      </c>
      <c r="N68" s="33">
        <v>27.24</v>
      </c>
      <c r="O68" s="33">
        <v>100.16</v>
      </c>
      <c r="P68" s="32"/>
      <c r="Q68" s="33">
        <f>126.29+129.23</f>
        <v>255.51999999999998</v>
      </c>
      <c r="R68" s="33">
        <v>28.04</v>
      </c>
      <c r="S68" s="33">
        <v>27.24</v>
      </c>
      <c r="T68" s="33">
        <v>27.24</v>
      </c>
      <c r="U68" s="33">
        <v>86.42</v>
      </c>
      <c r="V68" s="33">
        <v>75.52</v>
      </c>
      <c r="W68" s="33">
        <v>128.16</v>
      </c>
      <c r="X68" s="33">
        <v>118.5</v>
      </c>
      <c r="Y68" s="33">
        <v>27.24</v>
      </c>
      <c r="Z68" s="33">
        <v>27.24</v>
      </c>
      <c r="AA68" s="33">
        <v>27.24</v>
      </c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1251</v>
      </c>
      <c r="D69" s="50" t="s">
        <v>42</v>
      </c>
      <c r="E69" s="32" t="s">
        <v>3</v>
      </c>
      <c r="F69" s="32" t="s">
        <v>1307</v>
      </c>
      <c r="G69" s="32"/>
      <c r="H69" s="32"/>
      <c r="I69" s="32"/>
      <c r="J69" s="33">
        <v>27.24</v>
      </c>
      <c r="K69" s="33">
        <v>119.17</v>
      </c>
      <c r="L69" s="33">
        <v>79.35</v>
      </c>
      <c r="M69" s="33">
        <v>27.24</v>
      </c>
      <c r="N69" s="33">
        <v>27.24</v>
      </c>
      <c r="O69" s="33">
        <v>27.24</v>
      </c>
      <c r="P69" s="32"/>
      <c r="Q69" s="33">
        <f>27.24+27.24</f>
        <v>54.48</v>
      </c>
      <c r="R69" s="33">
        <v>27.24</v>
      </c>
      <c r="S69" s="33">
        <v>27.24</v>
      </c>
      <c r="T69" s="33">
        <v>27.24</v>
      </c>
      <c r="U69" s="33">
        <v>27.24</v>
      </c>
      <c r="V69" s="33">
        <v>27.24</v>
      </c>
      <c r="W69" s="33">
        <v>36.74</v>
      </c>
      <c r="X69" s="33">
        <v>65.64</v>
      </c>
      <c r="Y69" s="33">
        <v>142.14</v>
      </c>
      <c r="Z69" s="33">
        <v>139.51</v>
      </c>
      <c r="AA69" s="33">
        <v>254.81</v>
      </c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1251</v>
      </c>
      <c r="D70" s="50" t="s">
        <v>42</v>
      </c>
      <c r="E70" s="32" t="s">
        <v>3</v>
      </c>
      <c r="F70" s="32" t="s">
        <v>1308</v>
      </c>
      <c r="G70" s="32"/>
      <c r="H70" s="32"/>
      <c r="I70" s="32"/>
      <c r="J70" s="33">
        <v>27.24</v>
      </c>
      <c r="K70" s="33">
        <v>27.24</v>
      </c>
      <c r="L70" s="33">
        <v>27.24</v>
      </c>
      <c r="M70" s="33">
        <v>27.24</v>
      </c>
      <c r="N70" s="33">
        <v>27.24</v>
      </c>
      <c r="O70" s="33">
        <v>27.24</v>
      </c>
      <c r="P70" s="32"/>
      <c r="Q70" s="33">
        <f>27.24+27.24</f>
        <v>54.48</v>
      </c>
      <c r="R70" s="33">
        <v>27.24</v>
      </c>
      <c r="S70" s="33">
        <v>27.24</v>
      </c>
      <c r="T70" s="33">
        <v>27.24</v>
      </c>
      <c r="U70" s="33">
        <v>27.24</v>
      </c>
      <c r="V70" s="33">
        <v>27.24</v>
      </c>
      <c r="W70" s="33">
        <v>27.24</v>
      </c>
      <c r="X70" s="33">
        <v>27.24</v>
      </c>
      <c r="Y70" s="33">
        <v>27.24</v>
      </c>
      <c r="Z70" s="33">
        <v>27.24</v>
      </c>
      <c r="AA70" s="33">
        <v>27.24</v>
      </c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1251</v>
      </c>
      <c r="D71" s="50" t="s">
        <v>42</v>
      </c>
      <c r="E71" s="32" t="s">
        <v>3</v>
      </c>
      <c r="F71" s="32" t="s">
        <v>1309</v>
      </c>
      <c r="G71" s="32"/>
      <c r="H71" s="32"/>
      <c r="I71" s="32"/>
      <c r="J71" s="33">
        <v>29.85</v>
      </c>
      <c r="K71" s="33">
        <v>30.32</v>
      </c>
      <c r="L71" s="33">
        <v>30.73</v>
      </c>
      <c r="M71" s="33">
        <v>36.47</v>
      </c>
      <c r="N71" s="33">
        <v>45.99</v>
      </c>
      <c r="O71" s="33">
        <v>56.06</v>
      </c>
      <c r="P71" s="32"/>
      <c r="Q71" s="33">
        <f>60.90+59.44</f>
        <v>120.34</v>
      </c>
      <c r="R71" s="33">
        <v>55.59</v>
      </c>
      <c r="S71" s="33">
        <v>57.71</v>
      </c>
      <c r="T71" s="33">
        <v>42.91</v>
      </c>
      <c r="U71" s="33">
        <v>40.7</v>
      </c>
      <c r="V71" s="33">
        <v>57.35</v>
      </c>
      <c r="W71" s="33">
        <v>73.79</v>
      </c>
      <c r="X71" s="33">
        <v>46.24</v>
      </c>
      <c r="Y71" s="33">
        <v>42.93</v>
      </c>
      <c r="Z71" s="33">
        <v>49.12</v>
      </c>
      <c r="AA71" s="33">
        <v>61.15</v>
      </c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1251</v>
      </c>
      <c r="D72" s="50" t="s">
        <v>42</v>
      </c>
      <c r="E72" s="32" t="s">
        <v>3</v>
      </c>
      <c r="F72" s="32" t="s">
        <v>1310</v>
      </c>
      <c r="G72" s="32"/>
      <c r="H72" s="32"/>
      <c r="I72" s="32"/>
      <c r="J72" s="32"/>
      <c r="K72" s="33">
        <f>0.00+33.89</f>
        <v>33.89</v>
      </c>
      <c r="L72" s="33">
        <v>31.78</v>
      </c>
      <c r="M72" s="33">
        <v>35.24</v>
      </c>
      <c r="N72" s="33">
        <v>26.74</v>
      </c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1251</v>
      </c>
      <c r="D73" s="50" t="s">
        <v>42</v>
      </c>
      <c r="E73" s="32" t="s">
        <v>3</v>
      </c>
      <c r="F73" s="32" t="s">
        <v>1311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3">
        <v>39.75</v>
      </c>
      <c r="X73" s="33">
        <v>34.84</v>
      </c>
      <c r="Y73" s="33">
        <v>35.27</v>
      </c>
      <c r="Z73" s="33">
        <v>32.02</v>
      </c>
      <c r="AA73" s="33">
        <v>29.72</v>
      </c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1251</v>
      </c>
      <c r="D74" s="50" t="s">
        <v>42</v>
      </c>
      <c r="E74" s="32" t="s">
        <v>3</v>
      </c>
      <c r="F74" s="32" t="s">
        <v>1312</v>
      </c>
      <c r="G74" s="32"/>
      <c r="H74" s="32"/>
      <c r="I74" s="32"/>
      <c r="J74" s="33">
        <v>87.78</v>
      </c>
      <c r="K74" s="33">
        <v>145.59</v>
      </c>
      <c r="L74" s="33">
        <v>168.11</v>
      </c>
      <c r="M74" s="33">
        <v>201.56</v>
      </c>
      <c r="N74" s="33">
        <v>47.88</v>
      </c>
      <c r="O74" s="33">
        <v>111.17</v>
      </c>
      <c r="P74" s="32"/>
      <c r="Q74" s="33">
        <f>27.24+27.31</f>
        <v>54.55</v>
      </c>
      <c r="R74" s="33">
        <v>85.48</v>
      </c>
      <c r="S74" s="33">
        <v>162.8</v>
      </c>
      <c r="T74" s="33">
        <v>122.62</v>
      </c>
      <c r="U74" s="33">
        <v>76.27</v>
      </c>
      <c r="V74" s="33">
        <v>61.04</v>
      </c>
      <c r="W74" s="33">
        <v>77.36</v>
      </c>
      <c r="X74" s="33">
        <v>87.23</v>
      </c>
      <c r="Y74" s="33">
        <v>62.85</v>
      </c>
      <c r="Z74" s="33">
        <v>225.12</v>
      </c>
      <c r="AA74" s="33">
        <v>296.04</v>
      </c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1251</v>
      </c>
      <c r="D75" s="50" t="s">
        <v>42</v>
      </c>
      <c r="E75" s="32" t="s">
        <v>3</v>
      </c>
      <c r="F75" s="32" t="s">
        <v>1313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3">
        <v>70.73</v>
      </c>
      <c r="S75" s="33">
        <v>79.57</v>
      </c>
      <c r="T75" s="33">
        <v>6.5</v>
      </c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1251</v>
      </c>
      <c r="D76" s="50" t="s">
        <v>42</v>
      </c>
      <c r="E76" s="32" t="s">
        <v>3</v>
      </c>
      <c r="F76" s="32" t="s">
        <v>1314</v>
      </c>
      <c r="G76" s="32"/>
      <c r="H76" s="32"/>
      <c r="I76" s="32"/>
      <c r="J76" s="33">
        <v>13.42</v>
      </c>
      <c r="K76" s="33">
        <v>13.51</v>
      </c>
      <c r="L76" s="33">
        <v>13.51</v>
      </c>
      <c r="M76" s="33">
        <v>12.75</v>
      </c>
      <c r="N76" s="33">
        <v>12.4</v>
      </c>
      <c r="O76" s="33">
        <v>12.4</v>
      </c>
      <c r="P76" s="32"/>
      <c r="Q76" s="33">
        <f>12.40+12.10</f>
        <v>24.5</v>
      </c>
      <c r="R76" s="33">
        <v>12.4</v>
      </c>
      <c r="S76" s="33">
        <v>12.4</v>
      </c>
      <c r="T76" s="33">
        <v>12.4</v>
      </c>
      <c r="U76" s="33">
        <v>12.4</v>
      </c>
      <c r="V76" s="33">
        <v>14.67</v>
      </c>
      <c r="W76" s="33">
        <v>14.73</v>
      </c>
      <c r="X76" s="33">
        <v>14.73</v>
      </c>
      <c r="Y76" s="33">
        <v>14.73</v>
      </c>
      <c r="Z76" s="33">
        <v>14.73</v>
      </c>
      <c r="AA76" s="33">
        <v>14.73</v>
      </c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1251</v>
      </c>
      <c r="D77" s="50" t="s">
        <v>42</v>
      </c>
      <c r="E77" s="32" t="s">
        <v>3</v>
      </c>
      <c r="F77" s="32" t="s">
        <v>1315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3">
        <v>106.43</v>
      </c>
      <c r="S77" s="33">
        <v>45.57</v>
      </c>
      <c r="T77" s="33">
        <v>102.52</v>
      </c>
      <c r="U77" s="33">
        <v>51.07</v>
      </c>
      <c r="V77" s="33">
        <v>34.89</v>
      </c>
      <c r="W77" s="33">
        <v>37.36</v>
      </c>
      <c r="X77" s="33">
        <v>37.75</v>
      </c>
      <c r="Y77" s="33">
        <v>53.49</v>
      </c>
      <c r="Z77" s="33">
        <v>64.69</v>
      </c>
      <c r="AA77" s="33">
        <v>97.94</v>
      </c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1251</v>
      </c>
      <c r="D78" s="50" t="s">
        <v>42</v>
      </c>
      <c r="E78" s="32" t="s">
        <v>3</v>
      </c>
      <c r="F78" s="32" t="s">
        <v>1316</v>
      </c>
      <c r="G78" s="32"/>
      <c r="H78" s="32"/>
      <c r="I78" s="32"/>
      <c r="J78" s="33">
        <v>29.41</v>
      </c>
      <c r="K78" s="33">
        <v>29.41</v>
      </c>
      <c r="L78" s="33">
        <v>29.41</v>
      </c>
      <c r="M78" s="33">
        <v>29.41</v>
      </c>
      <c r="N78" s="33">
        <v>29.41</v>
      </c>
      <c r="O78" s="33">
        <v>29.41</v>
      </c>
      <c r="P78" s="32"/>
      <c r="Q78" s="33">
        <f>29.41+29.41</f>
        <v>58.82</v>
      </c>
      <c r="R78" s="33">
        <v>29.41</v>
      </c>
      <c r="S78" s="33">
        <v>29.41</v>
      </c>
      <c r="T78" s="33">
        <v>29.41</v>
      </c>
      <c r="U78" s="33">
        <v>29.41</v>
      </c>
      <c r="V78" s="33">
        <v>30.54</v>
      </c>
      <c r="W78" s="33">
        <v>31.91</v>
      </c>
      <c r="X78" s="33">
        <v>29.41</v>
      </c>
      <c r="Y78" s="33">
        <v>30.54</v>
      </c>
      <c r="Z78" s="33">
        <v>30.99</v>
      </c>
      <c r="AA78" s="33">
        <v>29.41</v>
      </c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1251</v>
      </c>
      <c r="D79" s="50" t="s">
        <v>42</v>
      </c>
      <c r="E79" s="32" t="s">
        <v>3</v>
      </c>
      <c r="F79" s="32" t="s">
        <v>1317</v>
      </c>
      <c r="G79" s="32"/>
      <c r="H79" s="32"/>
      <c r="I79" s="32"/>
      <c r="J79" s="32"/>
      <c r="K79" s="32"/>
      <c r="L79" s="33">
        <v>0</v>
      </c>
      <c r="M79" s="33">
        <v>32.24</v>
      </c>
      <c r="N79" s="33">
        <v>27.24</v>
      </c>
      <c r="O79" s="33">
        <v>27.24</v>
      </c>
      <c r="P79" s="32"/>
      <c r="Q79" s="33">
        <f>27.24+37.66</f>
        <v>64.89999999999999</v>
      </c>
      <c r="R79" s="33">
        <v>50.96</v>
      </c>
      <c r="S79" s="33">
        <v>46.25</v>
      </c>
      <c r="T79" s="33">
        <v>34.83</v>
      </c>
      <c r="U79" s="33">
        <v>27.97</v>
      </c>
      <c r="V79" s="33">
        <v>27.24</v>
      </c>
      <c r="W79" s="33">
        <v>27.24</v>
      </c>
      <c r="X79" s="33">
        <v>27.24</v>
      </c>
      <c r="Y79" s="33">
        <v>27.24</v>
      </c>
      <c r="Z79" s="32"/>
      <c r="AA79" s="33">
        <v>10.78</v>
      </c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1251</v>
      </c>
      <c r="D80" s="50" t="s">
        <v>42</v>
      </c>
      <c r="E80" s="32" t="s">
        <v>3</v>
      </c>
      <c r="F80" s="32" t="s">
        <v>1318</v>
      </c>
      <c r="G80" s="32"/>
      <c r="H80" s="32"/>
      <c r="I80" s="32"/>
      <c r="J80" s="33">
        <v>73.75</v>
      </c>
      <c r="K80" s="33">
        <v>102.88</v>
      </c>
      <c r="L80" s="33">
        <v>93.12</v>
      </c>
      <c r="M80" s="33">
        <v>43.02</v>
      </c>
      <c r="N80" s="33">
        <v>27.24</v>
      </c>
      <c r="O80" s="33">
        <v>210.56</v>
      </c>
      <c r="P80" s="32"/>
      <c r="Q80" s="33">
        <f>347.80+455.30</f>
        <v>803.1</v>
      </c>
      <c r="R80" s="33">
        <v>379.28</v>
      </c>
      <c r="S80" s="33">
        <v>290.11</v>
      </c>
      <c r="T80" s="33">
        <v>134.12</v>
      </c>
      <c r="U80" s="33">
        <v>51.92</v>
      </c>
      <c r="V80" s="33">
        <v>81.06</v>
      </c>
      <c r="W80" s="33">
        <v>103.88</v>
      </c>
      <c r="X80" s="33">
        <v>81.98</v>
      </c>
      <c r="Y80" s="33">
        <v>67.19</v>
      </c>
      <c r="Z80" s="33">
        <v>27.24</v>
      </c>
      <c r="AA80" s="33">
        <v>27.24</v>
      </c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1251</v>
      </c>
      <c r="D81" s="50" t="s">
        <v>42</v>
      </c>
      <c r="E81" s="32" t="s">
        <v>3</v>
      </c>
      <c r="F81" s="32" t="s">
        <v>1319</v>
      </c>
      <c r="G81" s="32"/>
      <c r="H81" s="32"/>
      <c r="I81" s="32"/>
      <c r="J81" s="33">
        <v>57.72</v>
      </c>
      <c r="K81" s="33">
        <v>77.49</v>
      </c>
      <c r="L81" s="33">
        <v>65.87</v>
      </c>
      <c r="M81" s="33">
        <v>33.85</v>
      </c>
      <c r="N81" s="33">
        <v>27.24</v>
      </c>
      <c r="O81" s="33">
        <v>27.24</v>
      </c>
      <c r="P81" s="32"/>
      <c r="Q81" s="33">
        <f>27.24+100.47</f>
        <v>127.71</v>
      </c>
      <c r="R81" s="33">
        <v>145.18</v>
      </c>
      <c r="S81" s="33">
        <v>29.22</v>
      </c>
      <c r="T81" s="33">
        <v>27.24</v>
      </c>
      <c r="U81" s="33">
        <v>80.07</v>
      </c>
      <c r="V81" s="33">
        <v>243.62</v>
      </c>
      <c r="W81" s="33">
        <v>166.7</v>
      </c>
      <c r="X81" s="33">
        <v>140.67</v>
      </c>
      <c r="Y81" s="33">
        <v>173.47</v>
      </c>
      <c r="Z81" s="33">
        <v>193.29</v>
      </c>
      <c r="AA81" s="33">
        <v>80.79</v>
      </c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1251</v>
      </c>
      <c r="D82" s="50" t="s">
        <v>42</v>
      </c>
      <c r="E82" s="32" t="s">
        <v>3</v>
      </c>
      <c r="F82" s="32" t="s">
        <v>1320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3">
        <f>0.00+0.00+17.18</f>
        <v>17.18</v>
      </c>
      <c r="Y82" s="33">
        <v>27.24</v>
      </c>
      <c r="Z82" s="33">
        <v>27.24</v>
      </c>
      <c r="AA82" s="33">
        <v>28.8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1251</v>
      </c>
      <c r="D83" s="50" t="s">
        <v>42</v>
      </c>
      <c r="E83" s="32" t="s">
        <v>3</v>
      </c>
      <c r="F83" s="32" t="s">
        <v>1321</v>
      </c>
      <c r="G83" s="32"/>
      <c r="H83" s="32"/>
      <c r="I83" s="32"/>
      <c r="J83" s="33">
        <v>90.32</v>
      </c>
      <c r="K83" s="33">
        <v>117.04</v>
      </c>
      <c r="L83" s="33">
        <v>141.22</v>
      </c>
      <c r="M83" s="33">
        <v>83.47</v>
      </c>
      <c r="N83" s="33">
        <v>33.24</v>
      </c>
      <c r="O83" s="33">
        <v>119.07</v>
      </c>
      <c r="P83" s="32"/>
      <c r="Q83" s="33">
        <f>106.42+64.70</f>
        <v>171.12</v>
      </c>
      <c r="R83" s="33">
        <v>27.24</v>
      </c>
      <c r="S83" s="33">
        <v>27.24</v>
      </c>
      <c r="T83" s="33">
        <v>27.24</v>
      </c>
      <c r="U83" s="33">
        <v>27.24</v>
      </c>
      <c r="V83" s="33">
        <v>34.45</v>
      </c>
      <c r="W83" s="33">
        <v>70.25</v>
      </c>
      <c r="X83" s="33">
        <v>87.64</v>
      </c>
      <c r="Y83" s="33">
        <v>48.58</v>
      </c>
      <c r="Z83" s="33">
        <v>37.27</v>
      </c>
      <c r="AA83" s="33">
        <v>134.88</v>
      </c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1251</v>
      </c>
      <c r="D84" s="50" t="s">
        <v>42</v>
      </c>
      <c r="E84" s="32" t="s">
        <v>3</v>
      </c>
      <c r="F84" s="32" t="s">
        <v>1322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3">
        <v>31.32</v>
      </c>
      <c r="R84" s="33">
        <v>14.43</v>
      </c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1251</v>
      </c>
      <c r="D85" s="50" t="s">
        <v>42</v>
      </c>
      <c r="E85" s="32" t="s">
        <v>3</v>
      </c>
      <c r="F85" s="32" t="s">
        <v>1323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3">
        <f>0.00+0.00+17.51</f>
        <v>17.51</v>
      </c>
      <c r="Y85" s="33">
        <v>29.07</v>
      </c>
      <c r="Z85" s="33">
        <v>29.01</v>
      </c>
      <c r="AA85" s="33">
        <v>33.45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1251</v>
      </c>
      <c r="D86" s="50" t="s">
        <v>42</v>
      </c>
      <c r="E86" s="32" t="s">
        <v>3</v>
      </c>
      <c r="F86" s="32" t="s">
        <v>1324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3">
        <v>33.57</v>
      </c>
      <c r="Z86" s="33">
        <v>64.97</v>
      </c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1251</v>
      </c>
      <c r="D87" s="50" t="s">
        <v>42</v>
      </c>
      <c r="E87" s="32" t="s">
        <v>3</v>
      </c>
      <c r="F87" s="32" t="s">
        <v>1325</v>
      </c>
      <c r="G87" s="32"/>
      <c r="H87" s="32"/>
      <c r="I87" s="32"/>
      <c r="J87" s="33">
        <v>135.84</v>
      </c>
      <c r="K87" s="33">
        <v>162.69</v>
      </c>
      <c r="L87" s="33">
        <v>150.26</v>
      </c>
      <c r="M87" s="33">
        <v>148.52</v>
      </c>
      <c r="N87" s="33">
        <v>130.75</v>
      </c>
      <c r="O87" s="33">
        <v>27.93</v>
      </c>
      <c r="P87" s="32"/>
      <c r="Q87" s="33">
        <f>27.24+27.24</f>
        <v>54.48</v>
      </c>
      <c r="R87" s="33">
        <v>27.24</v>
      </c>
      <c r="S87" s="33">
        <v>27.24</v>
      </c>
      <c r="T87" s="33">
        <v>27.24</v>
      </c>
      <c r="U87" s="33">
        <v>27.24</v>
      </c>
      <c r="V87" s="33">
        <v>30.07</v>
      </c>
      <c r="W87" s="33">
        <v>150.4</v>
      </c>
      <c r="X87" s="33">
        <v>179.61</v>
      </c>
      <c r="Y87" s="33">
        <v>228.05</v>
      </c>
      <c r="Z87" s="33">
        <v>337.88</v>
      </c>
      <c r="AA87" s="33">
        <v>464.43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1251</v>
      </c>
      <c r="D88" s="50" t="s">
        <v>42</v>
      </c>
      <c r="E88" s="32" t="s">
        <v>3</v>
      </c>
      <c r="F88" s="32" t="s">
        <v>1326</v>
      </c>
      <c r="G88" s="32"/>
      <c r="H88" s="32"/>
      <c r="I88" s="32"/>
      <c r="J88" s="32"/>
      <c r="K88" s="32"/>
      <c r="L88" s="32"/>
      <c r="M88" s="32"/>
      <c r="N88" s="32"/>
      <c r="O88" s="33">
        <v>0</v>
      </c>
      <c r="P88" s="32"/>
      <c r="Q88" s="33">
        <f>36.54+88.32</f>
        <v>124.85999999999999</v>
      </c>
      <c r="R88" s="33">
        <v>74.37</v>
      </c>
      <c r="S88" s="33">
        <v>71.66</v>
      </c>
      <c r="T88" s="33">
        <v>41.51</v>
      </c>
      <c r="U88" s="33">
        <v>31.37</v>
      </c>
      <c r="V88" s="33">
        <v>31.71</v>
      </c>
      <c r="W88" s="33">
        <v>17.79</v>
      </c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1251</v>
      </c>
      <c r="D89" s="50" t="s">
        <v>42</v>
      </c>
      <c r="E89" s="32" t="s">
        <v>3</v>
      </c>
      <c r="F89" s="32" t="s">
        <v>1327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>
        <v>13.55</v>
      </c>
      <c r="V89" s="33">
        <v>27.24</v>
      </c>
      <c r="W89" s="33">
        <v>27.24</v>
      </c>
      <c r="X89" s="33">
        <v>41.09</v>
      </c>
      <c r="Y89" s="33">
        <v>104.13</v>
      </c>
      <c r="Z89" s="33">
        <v>119.82</v>
      </c>
      <c r="AA89" s="33">
        <v>135.27</v>
      </c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1251</v>
      </c>
      <c r="D90" s="50" t="s">
        <v>42</v>
      </c>
      <c r="E90" s="32" t="s">
        <v>3</v>
      </c>
      <c r="F90" s="32" t="s">
        <v>1328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3">
        <f>0.00+0.00+18.32</f>
        <v>18.32</v>
      </c>
      <c r="Y90" s="33">
        <v>31.6</v>
      </c>
      <c r="Z90" s="33">
        <v>30.47</v>
      </c>
      <c r="AA90" s="33">
        <v>31.83</v>
      </c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1251</v>
      </c>
      <c r="D91" s="50" t="s">
        <v>42</v>
      </c>
      <c r="E91" s="32" t="s">
        <v>3</v>
      </c>
      <c r="F91" s="32" t="s">
        <v>1329</v>
      </c>
      <c r="G91" s="32"/>
      <c r="H91" s="32"/>
      <c r="I91" s="32"/>
      <c r="J91" s="32"/>
      <c r="K91" s="33">
        <v>26.42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1251</v>
      </c>
      <c r="D92" s="50" t="s">
        <v>42</v>
      </c>
      <c r="E92" s="32" t="s">
        <v>3</v>
      </c>
      <c r="F92" s="32" t="s">
        <v>1330</v>
      </c>
      <c r="G92" s="32"/>
      <c r="H92" s="32"/>
      <c r="I92" s="32"/>
      <c r="J92" s="33">
        <v>137.44</v>
      </c>
      <c r="K92" s="33">
        <v>209.77</v>
      </c>
      <c r="L92" s="33">
        <v>81.75</v>
      </c>
      <c r="M92" s="33">
        <v>156.51</v>
      </c>
      <c r="N92" s="33">
        <v>196.7</v>
      </c>
      <c r="O92" s="33">
        <v>240.67</v>
      </c>
      <c r="P92" s="32"/>
      <c r="Q92" s="33">
        <f>122.49+97.78</f>
        <v>220.26999999999998</v>
      </c>
      <c r="R92" s="33">
        <v>140.55</v>
      </c>
      <c r="S92" s="33">
        <v>144.89</v>
      </c>
      <c r="T92" s="33">
        <v>79.72</v>
      </c>
      <c r="U92" s="33">
        <v>51.56</v>
      </c>
      <c r="V92" s="33">
        <v>32.19</v>
      </c>
      <c r="W92" s="33">
        <v>37.04</v>
      </c>
      <c r="X92" s="33">
        <v>121.3</v>
      </c>
      <c r="Y92" s="33">
        <v>95.29</v>
      </c>
      <c r="Z92" s="33">
        <v>161.18</v>
      </c>
      <c r="AA92" s="33">
        <v>285.88</v>
      </c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1251</v>
      </c>
      <c r="D93" s="50" t="s">
        <v>42</v>
      </c>
      <c r="E93" s="32" t="s">
        <v>3</v>
      </c>
      <c r="F93" s="32" t="s">
        <v>1331</v>
      </c>
      <c r="G93" s="32"/>
      <c r="H93" s="32"/>
      <c r="I93" s="32"/>
      <c r="J93" s="33">
        <v>29.41</v>
      </c>
      <c r="K93" s="33">
        <v>29.41</v>
      </c>
      <c r="L93" s="33">
        <v>29.41</v>
      </c>
      <c r="M93" s="33">
        <v>29.41</v>
      </c>
      <c r="N93" s="33">
        <v>29.41</v>
      </c>
      <c r="O93" s="33">
        <v>29.41</v>
      </c>
      <c r="P93" s="32"/>
      <c r="Q93" s="33">
        <f>29.41+29.41</f>
        <v>58.82</v>
      </c>
      <c r="R93" s="33">
        <v>29.41</v>
      </c>
      <c r="S93" s="33">
        <v>29.41</v>
      </c>
      <c r="T93" s="33">
        <v>29.41</v>
      </c>
      <c r="U93" s="33">
        <f>29.41+0.00</f>
        <v>29.41</v>
      </c>
      <c r="V93" s="33">
        <v>29.41</v>
      </c>
      <c r="W93" s="33">
        <v>29.41</v>
      </c>
      <c r="X93" s="33">
        <v>29.41</v>
      </c>
      <c r="Y93" s="33">
        <v>29.41</v>
      </c>
      <c r="Z93" s="33">
        <v>29.41</v>
      </c>
      <c r="AA93" s="33">
        <v>29.41</v>
      </c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1251</v>
      </c>
      <c r="D94" s="50" t="s">
        <v>42</v>
      </c>
      <c r="E94" s="32" t="s">
        <v>3</v>
      </c>
      <c r="F94" s="32" t="s">
        <v>1332</v>
      </c>
      <c r="G94" s="32"/>
      <c r="H94" s="32"/>
      <c r="I94" s="32"/>
      <c r="J94" s="33">
        <v>27.24</v>
      </c>
      <c r="K94" s="33">
        <v>27.24</v>
      </c>
      <c r="L94" s="33">
        <v>27.24</v>
      </c>
      <c r="M94" s="33">
        <v>27.24</v>
      </c>
      <c r="N94" s="33">
        <v>27.24</v>
      </c>
      <c r="O94" s="33">
        <v>27.24</v>
      </c>
      <c r="P94" s="32"/>
      <c r="Q94" s="33">
        <f>27.24+27.24</f>
        <v>54.48</v>
      </c>
      <c r="R94" s="33">
        <v>27.24</v>
      </c>
      <c r="S94" s="33">
        <v>27.24</v>
      </c>
      <c r="T94" s="33">
        <v>27.24</v>
      </c>
      <c r="U94" s="33">
        <v>27.24</v>
      </c>
      <c r="V94" s="33">
        <v>27.24</v>
      </c>
      <c r="W94" s="33">
        <v>27.24</v>
      </c>
      <c r="X94" s="33">
        <v>27.24</v>
      </c>
      <c r="Y94" s="33">
        <v>27.24</v>
      </c>
      <c r="Z94" s="33">
        <v>27.24</v>
      </c>
      <c r="AA94" s="33">
        <v>27.24</v>
      </c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1251</v>
      </c>
      <c r="D95" s="50" t="s">
        <v>42</v>
      </c>
      <c r="E95" s="32" t="s">
        <v>3</v>
      </c>
      <c r="F95" s="32" t="s">
        <v>1333</v>
      </c>
      <c r="G95" s="32"/>
      <c r="H95" s="32"/>
      <c r="I95" s="32"/>
      <c r="J95" s="33">
        <v>13.42</v>
      </c>
      <c r="K95" s="33">
        <v>13.51</v>
      </c>
      <c r="L95" s="33">
        <v>13.51</v>
      </c>
      <c r="M95" s="33">
        <v>12.75</v>
      </c>
      <c r="N95" s="33">
        <v>12.4</v>
      </c>
      <c r="O95" s="33">
        <v>12.4</v>
      </c>
      <c r="P95" s="32"/>
      <c r="Q95" s="33">
        <f>12.40+12.10</f>
        <v>24.5</v>
      </c>
      <c r="R95" s="33">
        <v>12.4</v>
      </c>
      <c r="S95" s="33">
        <v>12.4</v>
      </c>
      <c r="T95" s="33">
        <v>12.4</v>
      </c>
      <c r="U95" s="33">
        <v>12.4</v>
      </c>
      <c r="V95" s="33">
        <v>14.67</v>
      </c>
      <c r="W95" s="33">
        <v>14.73</v>
      </c>
      <c r="X95" s="33">
        <v>14.73</v>
      </c>
      <c r="Y95" s="33">
        <v>14.73</v>
      </c>
      <c r="Z95" s="33">
        <v>14.73</v>
      </c>
      <c r="AA95" s="33">
        <v>14.73</v>
      </c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1251</v>
      </c>
      <c r="D96" s="50" t="s">
        <v>42</v>
      </c>
      <c r="E96" s="32" t="s">
        <v>3</v>
      </c>
      <c r="F96" s="32" t="s">
        <v>1334</v>
      </c>
      <c r="G96" s="32"/>
      <c r="H96" s="32"/>
      <c r="I96" s="32"/>
      <c r="J96" s="33">
        <v>410.25</v>
      </c>
      <c r="K96" s="33">
        <f>413.21+412.86</f>
        <v>826.0699999999999</v>
      </c>
      <c r="L96" s="33">
        <v>412.86</v>
      </c>
      <c r="M96" s="33">
        <v>407.37</v>
      </c>
      <c r="N96" s="33">
        <v>399.51</v>
      </c>
      <c r="O96" s="33">
        <v>399.51</v>
      </c>
      <c r="P96" s="32"/>
      <c r="Q96" s="33">
        <f>399.51+397.48</f>
        <v>796.99</v>
      </c>
      <c r="R96" s="33">
        <v>399.51</v>
      </c>
      <c r="S96" s="33">
        <v>399.51</v>
      </c>
      <c r="T96" s="33">
        <v>399.51</v>
      </c>
      <c r="U96" s="33">
        <v>399.51</v>
      </c>
      <c r="V96" s="33">
        <v>421.26</v>
      </c>
      <c r="W96" s="33">
        <v>423.19</v>
      </c>
      <c r="X96" s="33">
        <v>423.19</v>
      </c>
      <c r="Y96" s="33">
        <v>423.19</v>
      </c>
      <c r="Z96" s="33">
        <v>423.19</v>
      </c>
      <c r="AA96" s="33">
        <v>423.19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1251</v>
      </c>
      <c r="D97" s="50" t="s">
        <v>42</v>
      </c>
      <c r="E97" s="32" t="s">
        <v>3</v>
      </c>
      <c r="F97" s="32" t="s">
        <v>1335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3">
        <f>0.00+39.97</f>
        <v>39.97</v>
      </c>
      <c r="R97" s="33">
        <v>44.47</v>
      </c>
      <c r="S97" s="33">
        <v>56.87</v>
      </c>
      <c r="T97" s="33">
        <f>33.24+0.00</f>
        <v>33.24</v>
      </c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1251</v>
      </c>
      <c r="D98" s="50" t="s">
        <v>42</v>
      </c>
      <c r="E98" s="32" t="s">
        <v>3</v>
      </c>
      <c r="F98" s="32" t="s">
        <v>1336</v>
      </c>
      <c r="G98" s="32"/>
      <c r="H98" s="32"/>
      <c r="I98" s="32"/>
      <c r="J98" s="32"/>
      <c r="K98" s="32"/>
      <c r="L98" s="33">
        <v>0</v>
      </c>
      <c r="M98" s="33">
        <v>32.24</v>
      </c>
      <c r="N98" s="33">
        <v>28.53</v>
      </c>
      <c r="O98" s="33">
        <v>31.17</v>
      </c>
      <c r="P98" s="32"/>
      <c r="Q98" s="33">
        <f>41.13+31.67</f>
        <v>72.80000000000001</v>
      </c>
      <c r="R98" s="33">
        <v>30.29</v>
      </c>
      <c r="S98" s="33">
        <v>56.63</v>
      </c>
      <c r="T98" s="33">
        <v>39.24</v>
      </c>
      <c r="U98" s="33">
        <v>25.7</v>
      </c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1251</v>
      </c>
      <c r="D99" s="50" t="s">
        <v>42</v>
      </c>
      <c r="E99" s="32" t="s">
        <v>3</v>
      </c>
      <c r="F99" s="32" t="s">
        <v>1337</v>
      </c>
      <c r="G99" s="32"/>
      <c r="H99" s="32"/>
      <c r="I99" s="32"/>
      <c r="J99" s="32"/>
      <c r="K99" s="32"/>
      <c r="L99" s="33">
        <v>0</v>
      </c>
      <c r="M99" s="33">
        <v>32.24</v>
      </c>
      <c r="N99" s="33">
        <v>27.24</v>
      </c>
      <c r="O99" s="33">
        <v>27.24</v>
      </c>
      <c r="P99" s="32"/>
      <c r="Q99" s="33">
        <f>33.54+67.03</f>
        <v>100.57</v>
      </c>
      <c r="R99" s="33">
        <v>65.86</v>
      </c>
      <c r="S99" s="33">
        <v>61.25</v>
      </c>
      <c r="T99" s="33">
        <v>32.65</v>
      </c>
      <c r="U99" s="33">
        <v>30.03</v>
      </c>
      <c r="V99" s="33">
        <v>29.74</v>
      </c>
      <c r="W99" s="33">
        <v>29.34</v>
      </c>
      <c r="X99" s="33">
        <v>25.77</v>
      </c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1251</v>
      </c>
      <c r="D100" s="50" t="s">
        <v>42</v>
      </c>
      <c r="E100" s="32" t="s">
        <v>3</v>
      </c>
      <c r="F100" s="32" t="s">
        <v>1338</v>
      </c>
      <c r="G100" s="32"/>
      <c r="H100" s="32"/>
      <c r="I100" s="32"/>
      <c r="J100" s="33">
        <v>148.68</v>
      </c>
      <c r="K100" s="33">
        <v>149.62</v>
      </c>
      <c r="L100" s="33">
        <v>149.62</v>
      </c>
      <c r="M100" s="33">
        <v>147.53</v>
      </c>
      <c r="N100" s="33">
        <v>144.54</v>
      </c>
      <c r="O100" s="33">
        <v>144.54</v>
      </c>
      <c r="P100" s="32"/>
      <c r="Q100" s="33">
        <f>144.54+143.77</f>
        <v>288.31</v>
      </c>
      <c r="R100" s="33">
        <v>144.54</v>
      </c>
      <c r="S100" s="33">
        <v>144.54</v>
      </c>
      <c r="T100" s="33">
        <v>144.54</v>
      </c>
      <c r="U100" s="33">
        <v>144.54</v>
      </c>
      <c r="V100" s="33">
        <v>152.83</v>
      </c>
      <c r="W100" s="33">
        <v>153.52</v>
      </c>
      <c r="X100" s="33">
        <v>153.52</v>
      </c>
      <c r="Y100" s="33">
        <v>153.52</v>
      </c>
      <c r="Z100" s="33">
        <v>153.52</v>
      </c>
      <c r="AA100" s="33">
        <v>153.52</v>
      </c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1251</v>
      </c>
      <c r="D101" s="50" t="s">
        <v>42</v>
      </c>
      <c r="E101" s="32" t="s">
        <v>3</v>
      </c>
      <c r="F101" s="32" t="s">
        <v>1339</v>
      </c>
      <c r="G101" s="32"/>
      <c r="H101" s="32"/>
      <c r="I101" s="32"/>
      <c r="J101" s="33">
        <v>29.41</v>
      </c>
      <c r="K101" s="33">
        <v>29.41</v>
      </c>
      <c r="L101" s="33">
        <v>29.41</v>
      </c>
      <c r="M101" s="33">
        <v>29.41</v>
      </c>
      <c r="N101" s="33">
        <v>29.41</v>
      </c>
      <c r="O101" s="33">
        <v>29.41</v>
      </c>
      <c r="P101" s="32"/>
      <c r="Q101" s="33">
        <f>29.41+29.41</f>
        <v>58.82</v>
      </c>
      <c r="R101" s="33">
        <v>29.41</v>
      </c>
      <c r="S101" s="33">
        <v>29.41</v>
      </c>
      <c r="T101" s="33">
        <v>29.41</v>
      </c>
      <c r="U101" s="33">
        <f>29.41+0.00</f>
        <v>29.41</v>
      </c>
      <c r="V101" s="33">
        <v>29.41</v>
      </c>
      <c r="W101" s="33">
        <v>29.41</v>
      </c>
      <c r="X101" s="33">
        <v>29.41</v>
      </c>
      <c r="Y101" s="33">
        <v>29.41</v>
      </c>
      <c r="Z101" s="33">
        <v>29.41</v>
      </c>
      <c r="AA101" s="33">
        <v>29.41</v>
      </c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1251</v>
      </c>
      <c r="D102" s="50" t="s">
        <v>42</v>
      </c>
      <c r="E102" s="32" t="s">
        <v>3</v>
      </c>
      <c r="F102" s="32" t="s">
        <v>1340</v>
      </c>
      <c r="G102" s="32"/>
      <c r="H102" s="32"/>
      <c r="I102" s="32"/>
      <c r="J102" s="33">
        <v>27.24</v>
      </c>
      <c r="K102" s="33">
        <v>27.24</v>
      </c>
      <c r="L102" s="33">
        <v>27.24</v>
      </c>
      <c r="M102" s="33">
        <v>27.24</v>
      </c>
      <c r="N102" s="33">
        <v>27.24</v>
      </c>
      <c r="O102" s="33">
        <v>27.24</v>
      </c>
      <c r="P102" s="32"/>
      <c r="Q102" s="33">
        <f>27.24+27.24</f>
        <v>54.48</v>
      </c>
      <c r="R102" s="33">
        <v>27.24</v>
      </c>
      <c r="S102" s="33">
        <v>27.24</v>
      </c>
      <c r="T102" s="33">
        <v>27.24</v>
      </c>
      <c r="U102" s="33">
        <v>27.24</v>
      </c>
      <c r="V102" s="33">
        <v>27.24</v>
      </c>
      <c r="W102" s="33">
        <v>27.24</v>
      </c>
      <c r="X102" s="33">
        <v>27.24</v>
      </c>
      <c r="Y102" s="33">
        <v>27.24</v>
      </c>
      <c r="Z102" s="33">
        <v>27.24</v>
      </c>
      <c r="AA102" s="33">
        <v>27.24</v>
      </c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1251</v>
      </c>
      <c r="D103" s="50" t="s">
        <v>42</v>
      </c>
      <c r="E103" s="32" t="s">
        <v>3</v>
      </c>
      <c r="F103" s="32" t="s">
        <v>1341</v>
      </c>
      <c r="G103" s="32"/>
      <c r="H103" s="32"/>
      <c r="I103" s="32"/>
      <c r="J103" s="33">
        <v>43.02</v>
      </c>
      <c r="K103" s="33">
        <v>34.02</v>
      </c>
      <c r="L103" s="33">
        <v>27.24</v>
      </c>
      <c r="M103" s="33">
        <v>27.24</v>
      </c>
      <c r="N103" s="33">
        <v>27.24</v>
      </c>
      <c r="O103" s="33">
        <v>27.24</v>
      </c>
      <c r="P103" s="32"/>
      <c r="Q103" s="33">
        <f>27.24+27.24</f>
        <v>54.48</v>
      </c>
      <c r="R103" s="33">
        <v>27.24</v>
      </c>
      <c r="S103" s="33">
        <v>27.24</v>
      </c>
      <c r="T103" s="33">
        <v>27.24</v>
      </c>
      <c r="U103" s="33">
        <v>27.24</v>
      </c>
      <c r="V103" s="33">
        <v>27.24</v>
      </c>
      <c r="W103" s="33">
        <v>58.22</v>
      </c>
      <c r="X103" s="33">
        <v>108.64</v>
      </c>
      <c r="Y103" s="33">
        <v>113.11</v>
      </c>
      <c r="Z103" s="33">
        <v>57.03</v>
      </c>
      <c r="AA103" s="33">
        <v>73.65</v>
      </c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1251</v>
      </c>
      <c r="D104" s="50" t="s">
        <v>42</v>
      </c>
      <c r="E104" s="32" t="s">
        <v>3</v>
      </c>
      <c r="F104" s="32" t="s">
        <v>1342</v>
      </c>
      <c r="G104" s="32"/>
      <c r="H104" s="32"/>
      <c r="I104" s="32"/>
      <c r="J104" s="33">
        <v>27.24</v>
      </c>
      <c r="K104" s="33">
        <v>27.24</v>
      </c>
      <c r="L104" s="33">
        <v>27.24</v>
      </c>
      <c r="M104" s="33">
        <v>27.24</v>
      </c>
      <c r="N104" s="33">
        <v>27.24</v>
      </c>
      <c r="O104" s="33">
        <v>27.24</v>
      </c>
      <c r="P104" s="32"/>
      <c r="Q104" s="33">
        <f>27.24+27.24</f>
        <v>54.48</v>
      </c>
      <c r="R104" s="33">
        <v>27.24</v>
      </c>
      <c r="S104" s="33">
        <v>27.24</v>
      </c>
      <c r="T104" s="33">
        <v>27.24</v>
      </c>
      <c r="U104" s="33">
        <v>27.24</v>
      </c>
      <c r="V104" s="33">
        <v>27.24</v>
      </c>
      <c r="W104" s="33">
        <v>27.24</v>
      </c>
      <c r="X104" s="33">
        <v>27.24</v>
      </c>
      <c r="Y104" s="33">
        <v>27.24</v>
      </c>
      <c r="Z104" s="33">
        <v>27.24</v>
      </c>
      <c r="AA104" s="33">
        <v>27.24</v>
      </c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1251</v>
      </c>
      <c r="D105" s="50" t="s">
        <v>42</v>
      </c>
      <c r="E105" s="32" t="s">
        <v>3</v>
      </c>
      <c r="F105" s="32" t="s">
        <v>1343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3">
        <v>0</v>
      </c>
      <c r="S105" s="33">
        <v>80.52</v>
      </c>
      <c r="T105" s="33">
        <v>31.07</v>
      </c>
      <c r="U105" s="33">
        <v>31.51</v>
      </c>
      <c r="V105" s="33">
        <v>35.22</v>
      </c>
      <c r="W105" s="33">
        <v>41.47</v>
      </c>
      <c r="X105" s="33">
        <v>35.65</v>
      </c>
      <c r="Y105" s="33">
        <v>49.67</v>
      </c>
      <c r="Z105" s="33">
        <v>71.29</v>
      </c>
      <c r="AA105" s="33">
        <v>104.53</v>
      </c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4">
        <f>SUM(G105:AK105)</f>
      </c>
      <c r="AM105" s="35"/>
    </row>
    <row r="106" ht="13.5" customHeight="1" spans="2:39" x14ac:dyDescent="0.25">
      <c r="B106" s="51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40"/>
    </row>
    <row r="107" ht="13.5" customHeight="1" spans="2:39" x14ac:dyDescent="0.25">
      <c r="B107" s="20"/>
      <c r="C107" s="21"/>
      <c r="D107" s="21" t="s">
        <v>85</v>
      </c>
      <c r="E107" s="21"/>
      <c r="F107" s="21"/>
      <c r="G107" s="22">
        <f>SUM(G14:G105)</f>
      </c>
      <c r="H107" s="22">
        <f>SUM(H14:H105)</f>
      </c>
      <c r="I107" s="22">
        <f>SUM(I14:I105)</f>
      </c>
      <c r="J107" s="22">
        <f>SUM(J14:J105)</f>
      </c>
      <c r="K107" s="22">
        <f>SUM(K14:K105)</f>
      </c>
      <c r="L107" s="22">
        <f>SUM(L14:L105)</f>
      </c>
      <c r="M107" s="22">
        <f>SUM(M14:M105)</f>
      </c>
      <c r="N107" s="22">
        <f>SUM(N14:N105)</f>
      </c>
      <c r="O107" s="22">
        <f>SUM(O14:O105)</f>
      </c>
      <c r="P107" s="22">
        <f>SUM(P14:P105)</f>
      </c>
      <c r="Q107" s="22">
        <f>SUM(Q14:Q105)</f>
      </c>
      <c r="R107" s="22">
        <f>SUM(R14:R105)</f>
      </c>
      <c r="S107" s="22">
        <f>SUM(S14:S105)</f>
      </c>
      <c r="T107" s="22">
        <f>SUM(T14:T105)</f>
      </c>
      <c r="U107" s="22">
        <f>SUM(U14:U105)</f>
      </c>
      <c r="V107" s="22">
        <f>SUM(V14:V105)</f>
      </c>
      <c r="W107" s="22">
        <f>SUM(W14:W105)</f>
      </c>
      <c r="X107" s="22">
        <f>SUM(X14:X105)</f>
      </c>
      <c r="Y107" s="22">
        <f>SUM(Y14:Y105)</f>
      </c>
      <c r="Z107" s="22">
        <f>SUM(Z14:Z105)</f>
      </c>
      <c r="AA107" s="22">
        <f>SUM(AA14:AA105)</f>
      </c>
      <c r="AB107" s="22">
        <f>SUM(AB14:AB105)</f>
      </c>
      <c r="AC107" s="22">
        <f>SUM(AC14:AC105)</f>
      </c>
      <c r="AD107" s="22">
        <f>SUM(AD14:AD105)</f>
      </c>
      <c r="AE107" s="22">
        <f>SUM(AE14:AE105)</f>
      </c>
      <c r="AF107" s="22">
        <f>SUM(AF14:AF105)</f>
      </c>
      <c r="AG107" s="22">
        <f>SUM(AG14:AG105)</f>
      </c>
      <c r="AH107" s="22">
        <f>SUM(AH14:AH105)</f>
      </c>
      <c r="AI107" s="22">
        <f>SUM(AI14:AI105)</f>
      </c>
      <c r="AJ107" s="22">
        <f>SUM(AJ14:AJ105)</f>
      </c>
      <c r="AK107" s="22">
        <f>SUM(AK14:AK105)</f>
      </c>
      <c r="AL107" s="22">
        <f>SUM(AL14:AL105)</f>
      </c>
      <c r="AM107" s="23"/>
    </row>
    <row r="109" ht="13.5" customHeight="1" spans="2:39" x14ac:dyDescent="0.25">
      <c r="B109" s="46"/>
      <c r="C109" s="28"/>
      <c r="D109" s="47" t="s">
        <v>43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9"/>
    </row>
    <row r="110" ht="13.5" customHeight="1" spans="2:39" x14ac:dyDescent="0.25">
      <c r="B110" s="48" t="s">
        <v>3</v>
      </c>
      <c r="C110" s="49" t="s">
        <v>1251</v>
      </c>
      <c r="D110" s="50" t="s">
        <v>43</v>
      </c>
      <c r="E110" s="32" t="s">
        <v>3</v>
      </c>
      <c r="F110" s="32" t="s">
        <v>1344</v>
      </c>
      <c r="G110" s="32"/>
      <c r="H110" s="32"/>
      <c r="I110" s="32"/>
      <c r="J110" s="33">
        <f>11173.11+7342.30</f>
        <v>18515.41</v>
      </c>
      <c r="K110" s="33">
        <f>10906.81+7137.46</f>
        <v>18044.27</v>
      </c>
      <c r="L110" s="33">
        <f>10669.45+6954.87</f>
        <v>17624.32</v>
      </c>
      <c r="M110" s="33">
        <f>14191.08+3349.75</f>
        <v>17540.83</v>
      </c>
      <c r="N110" s="33">
        <f>11548.62+7677.81</f>
        <v>19226.43</v>
      </c>
      <c r="O110" s="33">
        <f>11384.37+8827.01</f>
        <v>20211.38</v>
      </c>
      <c r="P110" s="33">
        <f>10841.62+8277.55</f>
        <v>19119.17</v>
      </c>
      <c r="Q110" s="33">
        <f>11005.10+8443.04</f>
        <v>19448.14</v>
      </c>
      <c r="R110" s="33">
        <f>10978.13+7192.31</f>
        <v>18170.44</v>
      </c>
      <c r="S110" s="33">
        <f>10864.10+7104.60+0.00</f>
        <v>17968.7</v>
      </c>
      <c r="T110" s="33">
        <f>11425.50+6813.20</f>
        <v>18238.7</v>
      </c>
      <c r="U110" s="33">
        <f>10989.15+7200.79</f>
        <v>18189.94</v>
      </c>
      <c r="V110" s="33">
        <f>14499.27+8741.70</f>
        <v>23240.97</v>
      </c>
      <c r="W110" s="33">
        <f>15137.90+9259.90</f>
        <v>24397.8</v>
      </c>
      <c r="X110" s="33">
        <f>13225.42+7783.71</f>
        <v>21009.13</v>
      </c>
      <c r="Y110" s="33">
        <f>13856.78+8222.38</f>
        <v>22079.16</v>
      </c>
      <c r="Z110" s="33">
        <f>14817.94+9000.28</f>
        <v>23818.22</v>
      </c>
      <c r="AA110" s="33">
        <f>14272.86+8557.99</f>
        <v>22830.85</v>
      </c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1251</v>
      </c>
      <c r="D111" s="50" t="s">
        <v>43</v>
      </c>
      <c r="E111" s="32" t="s">
        <v>3</v>
      </c>
      <c r="F111" s="32" t="s">
        <v>1345</v>
      </c>
      <c r="G111" s="32"/>
      <c r="H111" s="32"/>
      <c r="I111" s="32"/>
      <c r="J111" s="33">
        <f>75.17+42.15</f>
        <v>117.32</v>
      </c>
      <c r="K111" s="33">
        <f>75.17+42.15</f>
        <v>117.32</v>
      </c>
      <c r="L111" s="33">
        <f>75.17+42.15</f>
        <v>117.32</v>
      </c>
      <c r="M111" s="33">
        <f>70.92+46.40</f>
        <v>117.32</v>
      </c>
      <c r="N111" s="33">
        <f>75.17+42.15</f>
        <v>117.32</v>
      </c>
      <c r="O111" s="33">
        <f>70.92+46.40</f>
        <v>117.32</v>
      </c>
      <c r="P111" s="33">
        <f>70.92+46.40</f>
        <v>117.32</v>
      </c>
      <c r="Q111" s="33">
        <f>70.92+46.40</f>
        <v>117.32</v>
      </c>
      <c r="R111" s="33">
        <f>75.17+42.15</f>
        <v>117.32</v>
      </c>
      <c r="S111" s="33">
        <f>75.17+0.00+42.15</f>
        <v>117.32</v>
      </c>
      <c r="T111" s="33">
        <f>70.92+46.40</f>
        <v>117.32</v>
      </c>
      <c r="U111" s="33">
        <f>77.56+39.76</f>
        <v>117.32</v>
      </c>
      <c r="V111" s="33">
        <f>95.91+44.52</f>
        <v>140.43</v>
      </c>
      <c r="W111" s="33">
        <f>93.24+47.19</f>
        <v>140.43</v>
      </c>
      <c r="X111" s="33">
        <f>87.96+52.47</f>
        <v>140.43</v>
      </c>
      <c r="Y111" s="33">
        <f>87.96+52.47</f>
        <v>140.43</v>
      </c>
      <c r="Z111" s="33">
        <f>93.24+47.19</f>
        <v>140.43</v>
      </c>
      <c r="AA111" s="33">
        <f>93.24+47.19</f>
        <v>140.43</v>
      </c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4">
        <f>SUM(G111:AK111)</f>
      </c>
      <c r="AM111" s="35"/>
    </row>
    <row r="112" ht="13.5" customHeight="1" spans="2:39" x14ac:dyDescent="0.25">
      <c r="B112" s="51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40"/>
    </row>
    <row r="113" ht="13.5" customHeight="1" spans="2:39" x14ac:dyDescent="0.25">
      <c r="B113" s="20"/>
      <c r="C113" s="21"/>
      <c r="D113" s="21" t="s">
        <v>89</v>
      </c>
      <c r="E113" s="21"/>
      <c r="F113" s="21"/>
      <c r="G113" s="22">
        <f>SUM(G110:G111)</f>
      </c>
      <c r="H113" s="22">
        <f>SUM(H110:H111)</f>
      </c>
      <c r="I113" s="22">
        <f>SUM(I110:I111)</f>
      </c>
      <c r="J113" s="22">
        <f>SUM(J110:J111)</f>
      </c>
      <c r="K113" s="22">
        <f>SUM(K110:K111)</f>
      </c>
      <c r="L113" s="22">
        <f>SUM(L110:L111)</f>
      </c>
      <c r="M113" s="22">
        <f>SUM(M110:M111)</f>
      </c>
      <c r="N113" s="22">
        <f>SUM(N110:N111)</f>
      </c>
      <c r="O113" s="22">
        <f>SUM(O110:O111)</f>
      </c>
      <c r="P113" s="22">
        <f>SUM(P110:P111)</f>
      </c>
      <c r="Q113" s="22">
        <f>SUM(Q110:Q111)</f>
      </c>
      <c r="R113" s="22">
        <f>SUM(R110:R111)</f>
      </c>
      <c r="S113" s="22">
        <f>SUM(S110:S111)</f>
      </c>
      <c r="T113" s="22">
        <f>SUM(T110:T111)</f>
      </c>
      <c r="U113" s="22">
        <f>SUM(U110:U111)</f>
      </c>
      <c r="V113" s="22">
        <f>SUM(V110:V111)</f>
      </c>
      <c r="W113" s="22">
        <f>SUM(W110:W111)</f>
      </c>
      <c r="X113" s="22">
        <f>SUM(X110:X111)</f>
      </c>
      <c r="Y113" s="22">
        <f>SUM(Y110:Y111)</f>
      </c>
      <c r="Z113" s="22">
        <f>SUM(Z110:Z111)</f>
      </c>
      <c r="AA113" s="22">
        <f>SUM(AA110:AA111)</f>
      </c>
      <c r="AB113" s="22">
        <f>SUM(AB110:AB111)</f>
      </c>
      <c r="AC113" s="22">
        <f>SUM(AC110:AC111)</f>
      </c>
      <c r="AD113" s="22">
        <f>SUM(AD110:AD111)</f>
      </c>
      <c r="AE113" s="22">
        <f>SUM(AE110:AE111)</f>
      </c>
      <c r="AF113" s="22">
        <f>SUM(AF110:AF111)</f>
      </c>
      <c r="AG113" s="22">
        <f>SUM(AG110:AG111)</f>
      </c>
      <c r="AH113" s="22">
        <f>SUM(AH110:AH111)</f>
      </c>
      <c r="AI113" s="22">
        <f>SUM(AI110:AI111)</f>
      </c>
      <c r="AJ113" s="22">
        <f>SUM(AJ110:AJ111)</f>
      </c>
      <c r="AK113" s="22">
        <f>SUM(AK110:AK111)</f>
      </c>
      <c r="AL113" s="22">
        <f>SUM(AL110:AL111)</f>
      </c>
      <c r="AM113" s="23"/>
    </row>
    <row r="115" ht="13.5" customHeight="1" spans="2:39" x14ac:dyDescent="0.25">
      <c r="B115" s="46"/>
      <c r="C115" s="28"/>
      <c r="D115" s="47" t="s">
        <v>44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9"/>
    </row>
    <row r="116" ht="13.5" customHeight="1" spans="2:39" x14ac:dyDescent="0.25">
      <c r="B116" s="51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40"/>
    </row>
    <row r="117" ht="13.5" customHeight="1" spans="2:39" x14ac:dyDescent="0.25">
      <c r="B117" s="20"/>
      <c r="C117" s="21"/>
      <c r="D117" s="21" t="s">
        <v>90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3"/>
    </row>
    <row r="120" ht="12.75" customHeight="1" spans="2:39" x14ac:dyDescent="0.25">
      <c r="B120" s="11" t="s">
        <v>40</v>
      </c>
      <c r="C120" s="12"/>
      <c r="D120" s="12"/>
      <c r="E120" s="12"/>
      <c r="F120" s="12"/>
      <c r="G120" s="52" t="s">
        <v>7</v>
      </c>
      <c r="H120" s="52" t="s">
        <v>8</v>
      </c>
      <c r="I120" s="52" t="s">
        <v>9</v>
      </c>
      <c r="J120" s="52" t="s">
        <v>10</v>
      </c>
      <c r="K120" s="52" t="s">
        <v>11</v>
      </c>
      <c r="L120" s="52" t="s">
        <v>12</v>
      </c>
      <c r="M120" s="52" t="s">
        <v>13</v>
      </c>
      <c r="N120" s="52" t="s">
        <v>14</v>
      </c>
      <c r="O120" s="52" t="s">
        <v>15</v>
      </c>
      <c r="P120" s="52" t="s">
        <v>16</v>
      </c>
      <c r="Q120" s="52" t="s">
        <v>17</v>
      </c>
      <c r="R120" s="52" t="s">
        <v>18</v>
      </c>
      <c r="S120" s="52" t="s">
        <v>19</v>
      </c>
      <c r="T120" s="52" t="s">
        <v>20</v>
      </c>
      <c r="U120" s="52" t="s">
        <v>21</v>
      </c>
      <c r="V120" s="52" t="s">
        <v>22</v>
      </c>
      <c r="W120" s="52" t="s">
        <v>23</v>
      </c>
      <c r="X120" s="52" t="s">
        <v>24</v>
      </c>
      <c r="Y120" s="52" t="s">
        <v>25</v>
      </c>
      <c r="Z120" s="52" t="s">
        <v>26</v>
      </c>
      <c r="AA120" s="52" t="s">
        <v>27</v>
      </c>
      <c r="AB120" s="52" t="s">
        <v>28</v>
      </c>
      <c r="AC120" s="52" t="s">
        <v>29</v>
      </c>
      <c r="AD120" s="52" t="s">
        <v>30</v>
      </c>
      <c r="AE120" s="52" t="s">
        <v>31</v>
      </c>
      <c r="AF120" s="52" t="s">
        <v>32</v>
      </c>
      <c r="AG120" s="52" t="s">
        <v>33</v>
      </c>
      <c r="AH120" s="52" t="s">
        <v>34</v>
      </c>
      <c r="AI120" s="52" t="s">
        <v>35</v>
      </c>
      <c r="AJ120" s="52" t="s">
        <v>36</v>
      </c>
      <c r="AK120" s="52" t="s">
        <v>37</v>
      </c>
      <c r="AL120" s="52" t="s">
        <v>38</v>
      </c>
      <c r="AM120" s="15"/>
    </row>
    <row r="121" ht="12.75" customHeight="1" spans="2:39" x14ac:dyDescent="0.25">
      <c r="B121" s="16"/>
      <c r="C121" s="17"/>
      <c r="D121" s="17" t="s">
        <v>41</v>
      </c>
      <c r="E121" s="17"/>
      <c r="F121" s="17"/>
      <c r="G121" s="18">
        <f>G11</f>
      </c>
      <c r="H121" s="18">
        <f>H11</f>
      </c>
      <c r="I121" s="18">
        <f>I11</f>
      </c>
      <c r="J121" s="18">
        <f>J11</f>
      </c>
      <c r="K121" s="18">
        <f>K11</f>
      </c>
      <c r="L121" s="18">
        <f>L11</f>
      </c>
      <c r="M121" s="18">
        <f>M11</f>
      </c>
      <c r="N121" s="18">
        <f>N11</f>
      </c>
      <c r="O121" s="18">
        <f>O11</f>
      </c>
      <c r="P121" s="18">
        <f>P11</f>
      </c>
      <c r="Q121" s="18">
        <f>Q11</f>
      </c>
      <c r="R121" s="18">
        <f>R11</f>
      </c>
      <c r="S121" s="18">
        <f>S11</f>
      </c>
      <c r="T121" s="18">
        <f>T11</f>
      </c>
      <c r="U121" s="18">
        <f>U11</f>
      </c>
      <c r="V121" s="18">
        <f>V11</f>
      </c>
      <c r="W121" s="18">
        <f>W11</f>
      </c>
      <c r="X121" s="18">
        <f>X11</f>
      </c>
      <c r="Y121" s="18">
        <f>Y11</f>
      </c>
      <c r="Z121" s="18">
        <f>Z11</f>
      </c>
      <c r="AA121" s="18">
        <f>AA11</f>
      </c>
      <c r="AB121" s="18">
        <f>AB11</f>
      </c>
      <c r="AC121" s="18">
        <f>AC11</f>
      </c>
      <c r="AD121" s="18">
        <f>AD11</f>
      </c>
      <c r="AE121" s="18">
        <f>AE11</f>
      </c>
      <c r="AF121" s="18">
        <f>AF11</f>
      </c>
      <c r="AG121" s="18">
        <f>AG11</f>
      </c>
      <c r="AH121" s="18">
        <f>AH11</f>
      </c>
      <c r="AI121" s="18">
        <f>AI11</f>
      </c>
      <c r="AJ121" s="18">
        <f>AJ11</f>
      </c>
      <c r="AK121" s="18">
        <f>AK11</f>
      </c>
      <c r="AL121" s="18">
        <f>AL11</f>
      </c>
      <c r="AM121" s="19"/>
    </row>
    <row r="122" ht="12.75" customHeight="1" spans="2:39" x14ac:dyDescent="0.25">
      <c r="B122" s="16"/>
      <c r="C122" s="17"/>
      <c r="D122" s="17" t="s">
        <v>42</v>
      </c>
      <c r="E122" s="17"/>
      <c r="F122" s="17"/>
      <c r="G122" s="18">
        <f>G107</f>
      </c>
      <c r="H122" s="18">
        <f>H107</f>
      </c>
      <c r="I122" s="18">
        <f>I107</f>
      </c>
      <c r="J122" s="18">
        <f>J107</f>
      </c>
      <c r="K122" s="18">
        <f>K107</f>
      </c>
      <c r="L122" s="18">
        <f>L107</f>
      </c>
      <c r="M122" s="18">
        <f>M107</f>
      </c>
      <c r="N122" s="18">
        <f>N107</f>
      </c>
      <c r="O122" s="18">
        <f>O107</f>
      </c>
      <c r="P122" s="18">
        <f>P107</f>
      </c>
      <c r="Q122" s="18">
        <f>Q107</f>
      </c>
      <c r="R122" s="18">
        <f>R107</f>
      </c>
      <c r="S122" s="18">
        <f>S107</f>
      </c>
      <c r="T122" s="18">
        <f>T107</f>
      </c>
      <c r="U122" s="18">
        <f>U107</f>
      </c>
      <c r="V122" s="18">
        <f>V107</f>
      </c>
      <c r="W122" s="18">
        <f>W107</f>
      </c>
      <c r="X122" s="18">
        <f>X107</f>
      </c>
      <c r="Y122" s="18">
        <f>Y107</f>
      </c>
      <c r="Z122" s="18">
        <f>Z107</f>
      </c>
      <c r="AA122" s="18">
        <f>AA107</f>
      </c>
      <c r="AB122" s="18">
        <f>AB107</f>
      </c>
      <c r="AC122" s="18">
        <f>AC107</f>
      </c>
      <c r="AD122" s="18">
        <f>AD107</f>
      </c>
      <c r="AE122" s="18">
        <f>AE107</f>
      </c>
      <c r="AF122" s="18">
        <f>AF107</f>
      </c>
      <c r="AG122" s="18">
        <f>AG107</f>
      </c>
      <c r="AH122" s="18">
        <f>AH107</f>
      </c>
      <c r="AI122" s="18">
        <f>AI107</f>
      </c>
      <c r="AJ122" s="18">
        <f>AJ107</f>
      </c>
      <c r="AK122" s="18">
        <f>AK107</f>
      </c>
      <c r="AL122" s="18">
        <f>AL107</f>
      </c>
      <c r="AM122" s="19"/>
    </row>
    <row r="123" ht="12.75" customHeight="1" spans="2:39" x14ac:dyDescent="0.25">
      <c r="B123" s="16"/>
      <c r="C123" s="17"/>
      <c r="D123" s="17" t="s">
        <v>43</v>
      </c>
      <c r="E123" s="17"/>
      <c r="F123" s="17"/>
      <c r="G123" s="18">
        <f>G113</f>
      </c>
      <c r="H123" s="18">
        <f>H113</f>
      </c>
      <c r="I123" s="18">
        <f>I113</f>
      </c>
      <c r="J123" s="18">
        <f>J113</f>
      </c>
      <c r="K123" s="18">
        <f>K113</f>
      </c>
      <c r="L123" s="18">
        <f>L113</f>
      </c>
      <c r="M123" s="18">
        <f>M113</f>
      </c>
      <c r="N123" s="18">
        <f>N113</f>
      </c>
      <c r="O123" s="18">
        <f>O113</f>
      </c>
      <c r="P123" s="18">
        <f>P113</f>
      </c>
      <c r="Q123" s="18">
        <f>Q113</f>
      </c>
      <c r="R123" s="18">
        <f>R113</f>
      </c>
      <c r="S123" s="18">
        <f>S113</f>
      </c>
      <c r="T123" s="18">
        <f>T113</f>
      </c>
      <c r="U123" s="18">
        <f>U113</f>
      </c>
      <c r="V123" s="18">
        <f>V113</f>
      </c>
      <c r="W123" s="18">
        <f>W113</f>
      </c>
      <c r="X123" s="18">
        <f>X113</f>
      </c>
      <c r="Y123" s="18">
        <f>Y113</f>
      </c>
      <c r="Z123" s="18">
        <f>Z113</f>
      </c>
      <c r="AA123" s="18">
        <f>AA113</f>
      </c>
      <c r="AB123" s="18">
        <f>AB113</f>
      </c>
      <c r="AC123" s="18">
        <f>AC113</f>
      </c>
      <c r="AD123" s="18">
        <f>AD113</f>
      </c>
      <c r="AE123" s="18">
        <f>AE113</f>
      </c>
      <c r="AF123" s="18">
        <f>AF113</f>
      </c>
      <c r="AG123" s="18">
        <f>AG113</f>
      </c>
      <c r="AH123" s="18">
        <f>AH113</f>
      </c>
      <c r="AI123" s="18">
        <f>AI113</f>
      </c>
      <c r="AJ123" s="18">
        <f>AJ113</f>
      </c>
      <c r="AK123" s="18">
        <f>AK113</f>
      </c>
      <c r="AL123" s="18">
        <f>AL113</f>
      </c>
      <c r="AM123" s="19"/>
    </row>
    <row r="124" ht="12.75" customHeight="1" spans="2:39" x14ac:dyDescent="0.25">
      <c r="B124" s="16"/>
      <c r="C124" s="17"/>
      <c r="D124" s="17" t="s">
        <v>44</v>
      </c>
      <c r="E124" s="17"/>
      <c r="F124" s="17"/>
      <c r="G124" s="18">
        <f>G117</f>
      </c>
      <c r="H124" s="18">
        <f>H117</f>
      </c>
      <c r="I124" s="18">
        <f>I117</f>
      </c>
      <c r="J124" s="18">
        <f>J117</f>
      </c>
      <c r="K124" s="18">
        <f>K117</f>
      </c>
      <c r="L124" s="18">
        <f>L117</f>
      </c>
      <c r="M124" s="18">
        <f>M117</f>
      </c>
      <c r="N124" s="18">
        <f>N117</f>
      </c>
      <c r="O124" s="18">
        <f>O117</f>
      </c>
      <c r="P124" s="18">
        <f>P117</f>
      </c>
      <c r="Q124" s="18">
        <f>Q117</f>
      </c>
      <c r="R124" s="18">
        <f>R117</f>
      </c>
      <c r="S124" s="18">
        <f>S117</f>
      </c>
      <c r="T124" s="18">
        <f>T117</f>
      </c>
      <c r="U124" s="18">
        <f>U117</f>
      </c>
      <c r="V124" s="18">
        <f>V117</f>
      </c>
      <c r="W124" s="18">
        <f>W117</f>
      </c>
      <c r="X124" s="18">
        <f>X117</f>
      </c>
      <c r="Y124" s="18">
        <f>Y117</f>
      </c>
      <c r="Z124" s="18">
        <f>Z117</f>
      </c>
      <c r="AA124" s="18">
        <f>AA117</f>
      </c>
      <c r="AB124" s="18">
        <f>AB117</f>
      </c>
      <c r="AC124" s="18">
        <f>AC117</f>
      </c>
      <c r="AD124" s="18">
        <f>AD117</f>
      </c>
      <c r="AE124" s="18">
        <f>AE117</f>
      </c>
      <c r="AF124" s="18">
        <f>AF117</f>
      </c>
      <c r="AG124" s="18">
        <f>AG117</f>
      </c>
      <c r="AH124" s="18">
        <f>AH117</f>
      </c>
      <c r="AI124" s="18">
        <f>AI117</f>
      </c>
      <c r="AJ124" s="18">
        <f>AJ117</f>
      </c>
      <c r="AK124" s="18">
        <f>AK117</f>
      </c>
      <c r="AL124" s="18">
        <f>AL117</f>
      </c>
      <c r="AM124" s="19"/>
    </row>
    <row r="125" ht="12.75" customHeight="1" spans="2:39" x14ac:dyDescent="0.25">
      <c r="B125" s="20"/>
      <c r="C125" s="21"/>
      <c r="D125" s="21" t="s">
        <v>45</v>
      </c>
      <c r="E125" s="21"/>
      <c r="F125" s="21"/>
      <c r="G125" s="22">
        <f>G121+G122+G123+G124</f>
      </c>
      <c r="H125" s="22">
        <f>H121+H122+H123+H124</f>
      </c>
      <c r="I125" s="22">
        <f>I121+I122+I123+I124</f>
      </c>
      <c r="J125" s="22">
        <f>J121+J122+J123+J124</f>
      </c>
      <c r="K125" s="22">
        <f>K121+K122+K123+K124</f>
      </c>
      <c r="L125" s="22">
        <f>L121+L122+L123+L124</f>
      </c>
      <c r="M125" s="22">
        <f>M121+M122+M123+M124</f>
      </c>
      <c r="N125" s="22">
        <f>N121+N122+N123+N124</f>
      </c>
      <c r="O125" s="22">
        <f>O121+O122+O123+O124</f>
      </c>
      <c r="P125" s="22">
        <f>P121+P122+P123+P124</f>
      </c>
      <c r="Q125" s="22">
        <f>Q121+Q122+Q123+Q124</f>
      </c>
      <c r="R125" s="22">
        <f>R121+R122+R123+R124</f>
      </c>
      <c r="S125" s="22">
        <f>S121+S122+S123+S124</f>
      </c>
      <c r="T125" s="22">
        <f>T121+T122+T123+T124</f>
      </c>
      <c r="U125" s="22">
        <f>U121+U122+U123+U124</f>
      </c>
      <c r="V125" s="22">
        <f>V121+V122+V123+V124</f>
      </c>
      <c r="W125" s="22">
        <f>W121+W122+W123+W124</f>
      </c>
      <c r="X125" s="22">
        <f>X121+X122+X123+X124</f>
      </c>
      <c r="Y125" s="22">
        <f>Y121+Y122+Y123+Y124</f>
      </c>
      <c r="Z125" s="22">
        <f>Z121+Z122+Z123+Z124</f>
      </c>
      <c r="AA125" s="22">
        <f>AA121+AA122+AA123+AA124</f>
      </c>
      <c r="AB125" s="22">
        <f>AB121+AB122+AB123+AB124</f>
      </c>
      <c r="AC125" s="22">
        <f>AC121+AC122+AC123+AC124</f>
      </c>
      <c r="AD125" s="22">
        <f>AD121+AD122+AD123+AD124</f>
      </c>
      <c r="AE125" s="22">
        <f>AE121+AE122+AE123+AE124</f>
      </c>
      <c r="AF125" s="22">
        <f>AF121+AF122+AF123+AF124</f>
      </c>
      <c r="AG125" s="22">
        <f>AG121+AG122+AG123+AG124</f>
      </c>
      <c r="AH125" s="22">
        <f>AH121+AH122+AH123+AH124</f>
      </c>
      <c r="AI125" s="22">
        <f>AI121+AI122+AI123+AI124</f>
      </c>
      <c r="AJ125" s="22">
        <f>AJ121+AJ122+AJ123+AJ124</f>
      </c>
      <c r="AK125" s="22">
        <f>AK121+AK122+AK123+AK124</f>
      </c>
      <c r="AL125" s="22">
        <f>AL121+AL122+AL123+AL124</f>
      </c>
      <c r="AM125" s="23"/>
    </row>
    <row r="127" ht="12.75" customHeight="1" spans="2:39" x14ac:dyDescent="0.25">
      <c r="B127" s="11" t="s">
        <v>46</v>
      </c>
      <c r="C127" s="12"/>
      <c r="D127" s="12"/>
      <c r="E127" s="12"/>
      <c r="F127" s="12"/>
      <c r="G127" s="52" t="s">
        <v>7</v>
      </c>
      <c r="H127" s="52" t="s">
        <v>8</v>
      </c>
      <c r="I127" s="52" t="s">
        <v>9</v>
      </c>
      <c r="J127" s="52" t="s">
        <v>10</v>
      </c>
      <c r="K127" s="52" t="s">
        <v>11</v>
      </c>
      <c r="L127" s="52" t="s">
        <v>12</v>
      </c>
      <c r="M127" s="52" t="s">
        <v>13</v>
      </c>
      <c r="N127" s="52" t="s">
        <v>14</v>
      </c>
      <c r="O127" s="52" t="s">
        <v>15</v>
      </c>
      <c r="P127" s="52" t="s">
        <v>16</v>
      </c>
      <c r="Q127" s="52" t="s">
        <v>17</v>
      </c>
      <c r="R127" s="52" t="s">
        <v>18</v>
      </c>
      <c r="S127" s="52" t="s">
        <v>19</v>
      </c>
      <c r="T127" s="52" t="s">
        <v>20</v>
      </c>
      <c r="U127" s="52" t="s">
        <v>21</v>
      </c>
      <c r="V127" s="52" t="s">
        <v>22</v>
      </c>
      <c r="W127" s="52" t="s">
        <v>23</v>
      </c>
      <c r="X127" s="52" t="s">
        <v>24</v>
      </c>
      <c r="Y127" s="52" t="s">
        <v>25</v>
      </c>
      <c r="Z127" s="52" t="s">
        <v>26</v>
      </c>
      <c r="AA127" s="52" t="s">
        <v>27</v>
      </c>
      <c r="AB127" s="52" t="s">
        <v>28</v>
      </c>
      <c r="AC127" s="52" t="s">
        <v>29</v>
      </c>
      <c r="AD127" s="52" t="s">
        <v>30</v>
      </c>
      <c r="AE127" s="52" t="s">
        <v>31</v>
      </c>
      <c r="AF127" s="52" t="s">
        <v>32</v>
      </c>
      <c r="AG127" s="52" t="s">
        <v>33</v>
      </c>
      <c r="AH127" s="52" t="s">
        <v>34</v>
      </c>
      <c r="AI127" s="52" t="s">
        <v>35</v>
      </c>
      <c r="AJ127" s="52" t="s">
        <v>36</v>
      </c>
      <c r="AK127" s="52" t="s">
        <v>37</v>
      </c>
      <c r="AL127" s="52" t="s">
        <v>38</v>
      </c>
      <c r="AM127" s="15"/>
    </row>
    <row r="128" ht="12.75" customHeight="1" spans="2:39" x14ac:dyDescent="0.25">
      <c r="B128" s="16"/>
      <c r="C128" s="17"/>
      <c r="D128" s="17" t="s">
        <v>41</v>
      </c>
      <c r="E128" s="17"/>
      <c r="F128" s="1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9"/>
    </row>
    <row r="129" ht="12.75" customHeight="1" spans="2:39" x14ac:dyDescent="0.25">
      <c r="B129" s="16"/>
      <c r="C129" s="17"/>
      <c r="D129" s="17" t="s">
        <v>42</v>
      </c>
      <c r="E129" s="17"/>
      <c r="F129" s="1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9"/>
    </row>
    <row r="130" ht="12.75" customHeight="1" spans="2:39" x14ac:dyDescent="0.25">
      <c r="B130" s="16"/>
      <c r="C130" s="17"/>
      <c r="D130" s="17" t="s">
        <v>43</v>
      </c>
      <c r="E130" s="17"/>
      <c r="F130" s="1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9"/>
    </row>
    <row r="131" ht="12.75" customHeight="1" spans="2:39" x14ac:dyDescent="0.25">
      <c r="B131" s="16"/>
      <c r="C131" s="17"/>
      <c r="D131" s="17" t="s">
        <v>44</v>
      </c>
      <c r="E131" s="17"/>
      <c r="F131" s="1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9"/>
    </row>
    <row r="132" ht="12.75" customHeight="1" spans="2:39" x14ac:dyDescent="0.25">
      <c r="B132" s="20"/>
      <c r="C132" s="21"/>
      <c r="D132" s="21" t="s">
        <v>45</v>
      </c>
      <c r="E132" s="21"/>
      <c r="F132" s="21"/>
      <c r="G132" s="22">
        <f>G128+G129+G130+G131</f>
      </c>
      <c r="H132" s="22">
        <f>H128+H129+H130+H131</f>
      </c>
      <c r="I132" s="22">
        <f>I128+I129+I130+I131</f>
      </c>
      <c r="J132" s="22">
        <f>J128+J129+J130+J131</f>
      </c>
      <c r="K132" s="22">
        <f>K128+K129+K130+K131</f>
      </c>
      <c r="L132" s="22">
        <f>L128+L129+L130+L131</f>
      </c>
      <c r="M132" s="22">
        <f>M128+M129+M130+M131</f>
      </c>
      <c r="N132" s="22">
        <f>N128+N129+N130+N131</f>
      </c>
      <c r="O132" s="22">
        <f>O128+O129+O130+O131</f>
      </c>
      <c r="P132" s="22">
        <f>P128+P129+P130+P131</f>
      </c>
      <c r="Q132" s="22">
        <f>Q128+Q129+Q130+Q131</f>
      </c>
      <c r="R132" s="22">
        <f>R128+R129+R130+R131</f>
      </c>
      <c r="S132" s="22">
        <f>S128+S129+S130+S131</f>
      </c>
      <c r="T132" s="22">
        <f>T128+T129+T130+T131</f>
      </c>
      <c r="U132" s="22">
        <f>U128+U129+U130+U131</f>
      </c>
      <c r="V132" s="22">
        <f>V128+V129+V130+V131</f>
      </c>
      <c r="W132" s="22">
        <f>W128+W129+W130+W131</f>
      </c>
      <c r="X132" s="22">
        <f>X128+X129+X130+X131</f>
      </c>
      <c r="Y132" s="22">
        <f>Y128+Y129+Y130+Y131</f>
      </c>
      <c r="Z132" s="22">
        <f>Z128+Z129+Z130+Z131</f>
      </c>
      <c r="AA132" s="22">
        <f>AA128+AA129+AA130+AA131</f>
      </c>
      <c r="AB132" s="22">
        <f>AB128+AB129+AB130+AB131</f>
      </c>
      <c r="AC132" s="22">
        <f>AC128+AC129+AC130+AC131</f>
      </c>
      <c r="AD132" s="22">
        <f>AD128+AD129+AD130+AD131</f>
      </c>
      <c r="AE132" s="22">
        <f>AE128+AE129+AE130+AE131</f>
      </c>
      <c r="AF132" s="22">
        <f>AF128+AF129+AF130+AF131</f>
      </c>
      <c r="AG132" s="22">
        <f>AG128+AG129+AG130+AG131</f>
      </c>
      <c r="AH132" s="22">
        <f>AH128+AH129+AH130+AH131</f>
      </c>
      <c r="AI132" s="22">
        <f>AI128+AI129+AI130+AI131</f>
      </c>
      <c r="AJ132" s="22">
        <f>AJ128+AJ129+AJ130+AJ131</f>
      </c>
      <c r="AK132" s="22">
        <f>AK128+AK129+AK130+AK131</f>
      </c>
      <c r="AL132" s="22">
        <f>AL128+AL129+AL130+AL131</f>
      </c>
      <c r="AM132" s="23"/>
    </row>
    <row r="134" ht="12.75" customHeight="1" spans="2:39" x14ac:dyDescent="0.25">
      <c r="B134" s="11" t="s">
        <v>47</v>
      </c>
      <c r="C134" s="12"/>
      <c r="D134" s="12"/>
      <c r="E134" s="12"/>
      <c r="F134" s="12"/>
      <c r="G134" s="52" t="s">
        <v>7</v>
      </c>
      <c r="H134" s="52" t="s">
        <v>8</v>
      </c>
      <c r="I134" s="52" t="s">
        <v>9</v>
      </c>
      <c r="J134" s="52" t="s">
        <v>10</v>
      </c>
      <c r="K134" s="52" t="s">
        <v>11</v>
      </c>
      <c r="L134" s="52" t="s">
        <v>12</v>
      </c>
      <c r="M134" s="52" t="s">
        <v>13</v>
      </c>
      <c r="N134" s="52" t="s">
        <v>14</v>
      </c>
      <c r="O134" s="52" t="s">
        <v>15</v>
      </c>
      <c r="P134" s="52" t="s">
        <v>16</v>
      </c>
      <c r="Q134" s="52" t="s">
        <v>17</v>
      </c>
      <c r="R134" s="52" t="s">
        <v>18</v>
      </c>
      <c r="S134" s="52" t="s">
        <v>19</v>
      </c>
      <c r="T134" s="52" t="s">
        <v>20</v>
      </c>
      <c r="U134" s="52" t="s">
        <v>21</v>
      </c>
      <c r="V134" s="52" t="s">
        <v>22</v>
      </c>
      <c r="W134" s="52" t="s">
        <v>23</v>
      </c>
      <c r="X134" s="52" t="s">
        <v>24</v>
      </c>
      <c r="Y134" s="52" t="s">
        <v>25</v>
      </c>
      <c r="Z134" s="52" t="s">
        <v>26</v>
      </c>
      <c r="AA134" s="52" t="s">
        <v>27</v>
      </c>
      <c r="AB134" s="52" t="s">
        <v>28</v>
      </c>
      <c r="AC134" s="52" t="s">
        <v>29</v>
      </c>
      <c r="AD134" s="52" t="s">
        <v>30</v>
      </c>
      <c r="AE134" s="52" t="s">
        <v>31</v>
      </c>
      <c r="AF134" s="52" t="s">
        <v>32</v>
      </c>
      <c r="AG134" s="52" t="s">
        <v>33</v>
      </c>
      <c r="AH134" s="52" t="s">
        <v>34</v>
      </c>
      <c r="AI134" s="52" t="s">
        <v>35</v>
      </c>
      <c r="AJ134" s="52" t="s">
        <v>36</v>
      </c>
      <c r="AK134" s="52" t="s">
        <v>37</v>
      </c>
      <c r="AL134" s="52" t="s">
        <v>38</v>
      </c>
      <c r="AM134" s="15"/>
    </row>
    <row r="135" ht="12.75" customHeight="1" spans="2:39" x14ac:dyDescent="0.25">
      <c r="B135" s="16"/>
      <c r="C135" s="17"/>
      <c r="D135" s="17" t="s">
        <v>41</v>
      </c>
      <c r="E135" s="17"/>
      <c r="F135" s="17"/>
      <c r="G135" s="24">
        <f>G128-G121</f>
      </c>
      <c r="H135" s="24">
        <f>H128-H121</f>
      </c>
      <c r="I135" s="24">
        <f>I128-I121</f>
      </c>
      <c r="J135" s="24">
        <f>J128-J121</f>
      </c>
      <c r="K135" s="24">
        <f>K128-K121</f>
      </c>
      <c r="L135" s="24">
        <f>L128-L121</f>
      </c>
      <c r="M135" s="24">
        <f>M128-M121</f>
      </c>
      <c r="N135" s="24">
        <f>N128-N121</f>
      </c>
      <c r="O135" s="24">
        <f>O128-O121</f>
      </c>
      <c r="P135" s="24">
        <f>P128-P121</f>
      </c>
      <c r="Q135" s="24">
        <f>Q128-Q121</f>
      </c>
      <c r="R135" s="24">
        <f>R128-R121</f>
      </c>
      <c r="S135" s="24">
        <f>S128-S121</f>
      </c>
      <c r="T135" s="24">
        <f>T128-T121</f>
      </c>
      <c r="U135" s="24">
        <f>U128-U121</f>
      </c>
      <c r="V135" s="24">
        <f>V128-V121</f>
      </c>
      <c r="W135" s="24">
        <f>W128-W121</f>
      </c>
      <c r="X135" s="24">
        <f>X128-X121</f>
      </c>
      <c r="Y135" s="24">
        <f>Y128-Y121</f>
      </c>
      <c r="Z135" s="24">
        <f>Z128-Z121</f>
      </c>
      <c r="AA135" s="24">
        <f>AA128-AA121</f>
      </c>
      <c r="AB135" s="24">
        <f>AB128-AB121</f>
      </c>
      <c r="AC135" s="24">
        <f>AC128-AC121</f>
      </c>
      <c r="AD135" s="24">
        <f>AD128-AD121</f>
      </c>
      <c r="AE135" s="24">
        <f>AE128-AE121</f>
      </c>
      <c r="AF135" s="24">
        <f>AF128-AF121</f>
      </c>
      <c r="AG135" s="24">
        <f>AG128-AG121</f>
      </c>
      <c r="AH135" s="24">
        <f>AH128-AH121</f>
      </c>
      <c r="AI135" s="24">
        <f>AI128-AI121</f>
      </c>
      <c r="AJ135" s="24">
        <f>AJ128-AJ121</f>
      </c>
      <c r="AK135" s="24">
        <f>AK128-AK121</f>
      </c>
      <c r="AL135" s="24">
        <f>AL128-AL121</f>
      </c>
      <c r="AM135" s="19"/>
    </row>
    <row r="136" ht="12.75" customHeight="1" spans="2:39" x14ac:dyDescent="0.25">
      <c r="B136" s="16"/>
      <c r="C136" s="17"/>
      <c r="D136" s="17" t="s">
        <v>42</v>
      </c>
      <c r="E136" s="17"/>
      <c r="F136" s="17"/>
      <c r="G136" s="24">
        <f>G129-G122</f>
      </c>
      <c r="H136" s="24">
        <f>H129-H122</f>
      </c>
      <c r="I136" s="24">
        <f>I129-I122</f>
      </c>
      <c r="J136" s="24">
        <f>J129-J122</f>
      </c>
      <c r="K136" s="24">
        <f>K129-K122</f>
      </c>
      <c r="L136" s="24">
        <f>L129-L122</f>
      </c>
      <c r="M136" s="24">
        <f>M129-M122</f>
      </c>
      <c r="N136" s="24">
        <f>N129-N122</f>
      </c>
      <c r="O136" s="24">
        <f>O129-O122</f>
      </c>
      <c r="P136" s="24">
        <f>P129-P122</f>
      </c>
      <c r="Q136" s="24">
        <f>Q129-Q122</f>
      </c>
      <c r="R136" s="24">
        <f>R129-R122</f>
      </c>
      <c r="S136" s="24">
        <f>S129-S122</f>
      </c>
      <c r="T136" s="24">
        <f>T129-T122</f>
      </c>
      <c r="U136" s="24">
        <f>U129-U122</f>
      </c>
      <c r="V136" s="24">
        <f>V129-V122</f>
      </c>
      <c r="W136" s="24">
        <f>W129-W122</f>
      </c>
      <c r="X136" s="24">
        <f>X129-X122</f>
      </c>
      <c r="Y136" s="24">
        <f>Y129-Y122</f>
      </c>
      <c r="Z136" s="24">
        <f>Z129-Z122</f>
      </c>
      <c r="AA136" s="24">
        <f>AA129-AA122</f>
      </c>
      <c r="AB136" s="24">
        <f>AB129-AB122</f>
      </c>
      <c r="AC136" s="24">
        <f>AC129-AC122</f>
      </c>
      <c r="AD136" s="24">
        <f>AD129-AD122</f>
      </c>
      <c r="AE136" s="24">
        <f>AE129-AE122</f>
      </c>
      <c r="AF136" s="24">
        <f>AF129-AF122</f>
      </c>
      <c r="AG136" s="24">
        <f>AG129-AG122</f>
      </c>
      <c r="AH136" s="24">
        <f>AH129-AH122</f>
      </c>
      <c r="AI136" s="24">
        <f>AI129-AI122</f>
      </c>
      <c r="AJ136" s="24">
        <f>AJ129-AJ122</f>
      </c>
      <c r="AK136" s="24">
        <f>AK129-AK122</f>
      </c>
      <c r="AL136" s="24">
        <f>AL129-AL122</f>
      </c>
      <c r="AM136" s="19"/>
    </row>
    <row r="137" ht="12.75" customHeight="1" spans="2:39" x14ac:dyDescent="0.25">
      <c r="B137" s="16"/>
      <c r="C137" s="17"/>
      <c r="D137" s="17" t="s">
        <v>43</v>
      </c>
      <c r="E137" s="17"/>
      <c r="F137" s="17"/>
      <c r="G137" s="24">
        <f>G130-G123</f>
      </c>
      <c r="H137" s="24">
        <f>H130-H123</f>
      </c>
      <c r="I137" s="24">
        <f>I130-I123</f>
      </c>
      <c r="J137" s="24">
        <f>J130-J123</f>
      </c>
      <c r="K137" s="24">
        <f>K130-K123</f>
      </c>
      <c r="L137" s="24">
        <f>L130-L123</f>
      </c>
      <c r="M137" s="24">
        <f>M130-M123</f>
      </c>
      <c r="N137" s="24">
        <f>N130-N123</f>
      </c>
      <c r="O137" s="24">
        <f>O130-O123</f>
      </c>
      <c r="P137" s="24">
        <f>P130-P123</f>
      </c>
      <c r="Q137" s="24">
        <f>Q130-Q123</f>
      </c>
      <c r="R137" s="24">
        <f>R130-R123</f>
      </c>
      <c r="S137" s="24">
        <f>S130-S123</f>
      </c>
      <c r="T137" s="24">
        <f>T130-T123</f>
      </c>
      <c r="U137" s="24">
        <f>U130-U123</f>
      </c>
      <c r="V137" s="24">
        <f>V130-V123</f>
      </c>
      <c r="W137" s="24">
        <f>W130-W123</f>
      </c>
      <c r="X137" s="24">
        <f>X130-X123</f>
      </c>
      <c r="Y137" s="24">
        <f>Y130-Y123</f>
      </c>
      <c r="Z137" s="24">
        <f>Z130-Z123</f>
      </c>
      <c r="AA137" s="24">
        <f>AA130-AA123</f>
      </c>
      <c r="AB137" s="24">
        <f>AB130-AB123</f>
      </c>
      <c r="AC137" s="24">
        <f>AC130-AC123</f>
      </c>
      <c r="AD137" s="24">
        <f>AD130-AD123</f>
      </c>
      <c r="AE137" s="24">
        <f>AE130-AE123</f>
      </c>
      <c r="AF137" s="24">
        <f>AF130-AF123</f>
      </c>
      <c r="AG137" s="24">
        <f>AG130-AG123</f>
      </c>
      <c r="AH137" s="24">
        <f>AH130-AH123</f>
      </c>
      <c r="AI137" s="24">
        <f>AI130-AI123</f>
      </c>
      <c r="AJ137" s="24">
        <f>AJ130-AJ123</f>
      </c>
      <c r="AK137" s="24">
        <f>AK130-AK123</f>
      </c>
      <c r="AL137" s="24">
        <f>AL130-AL123</f>
      </c>
      <c r="AM137" s="19"/>
    </row>
    <row r="138" ht="12.75" customHeight="1" spans="2:39" x14ac:dyDescent="0.25">
      <c r="B138" s="16"/>
      <c r="C138" s="17"/>
      <c r="D138" s="17" t="s">
        <v>44</v>
      </c>
      <c r="E138" s="17"/>
      <c r="F138" s="17"/>
      <c r="G138" s="24">
        <f>G131-G124</f>
      </c>
      <c r="H138" s="24">
        <f>H131-H124</f>
      </c>
      <c r="I138" s="24">
        <f>I131-I124</f>
      </c>
      <c r="J138" s="24">
        <f>J131-J124</f>
      </c>
      <c r="K138" s="24">
        <f>K131-K124</f>
      </c>
      <c r="L138" s="24">
        <f>L131-L124</f>
      </c>
      <c r="M138" s="24">
        <f>M131-M124</f>
      </c>
      <c r="N138" s="24">
        <f>N131-N124</f>
      </c>
      <c r="O138" s="24">
        <f>O131-O124</f>
      </c>
      <c r="P138" s="24">
        <f>P131-P124</f>
      </c>
      <c r="Q138" s="24">
        <f>Q131-Q124</f>
      </c>
      <c r="R138" s="24">
        <f>R131-R124</f>
      </c>
      <c r="S138" s="24">
        <f>S131-S124</f>
      </c>
      <c r="T138" s="24">
        <f>T131-T124</f>
      </c>
      <c r="U138" s="24">
        <f>U131-U124</f>
      </c>
      <c r="V138" s="24">
        <f>V131-V124</f>
      </c>
      <c r="W138" s="24">
        <f>W131-W124</f>
      </c>
      <c r="X138" s="24">
        <f>X131-X124</f>
      </c>
      <c r="Y138" s="24">
        <f>Y131-Y124</f>
      </c>
      <c r="Z138" s="24">
        <f>Z131-Z124</f>
      </c>
      <c r="AA138" s="24">
        <f>AA131-AA124</f>
      </c>
      <c r="AB138" s="24">
        <f>AB131-AB124</f>
      </c>
      <c r="AC138" s="24">
        <f>AC131-AC124</f>
      </c>
      <c r="AD138" s="24">
        <f>AD131-AD124</f>
      </c>
      <c r="AE138" s="24">
        <f>AE131-AE124</f>
      </c>
      <c r="AF138" s="24">
        <f>AF131-AF124</f>
      </c>
      <c r="AG138" s="24">
        <f>AG131-AG124</f>
      </c>
      <c r="AH138" s="24">
        <f>AH131-AH124</f>
      </c>
      <c r="AI138" s="24">
        <f>AI131-AI124</f>
      </c>
      <c r="AJ138" s="24">
        <f>AJ131-AJ124</f>
      </c>
      <c r="AK138" s="24">
        <f>AK131-AK124</f>
      </c>
      <c r="AL138" s="24">
        <f>AL131-AL124</f>
      </c>
      <c r="AM138" s="19"/>
    </row>
    <row r="139" ht="12.75" customHeight="1" spans="2:39" x14ac:dyDescent="0.25">
      <c r="B139" s="20"/>
      <c r="C139" s="21"/>
      <c r="D139" s="21" t="s">
        <v>45</v>
      </c>
      <c r="E139" s="21"/>
      <c r="F139" s="21"/>
      <c r="G139" s="25">
        <f>G135+G136+G137+G138</f>
      </c>
      <c r="H139" s="25">
        <f>H135+H136+H137+H138</f>
      </c>
      <c r="I139" s="25">
        <f>I135+I136+I137+I138</f>
      </c>
      <c r="J139" s="25">
        <f>J135+J136+J137+J138</f>
      </c>
      <c r="K139" s="25">
        <f>K135+K136+K137+K138</f>
      </c>
      <c r="L139" s="25">
        <f>L135+L136+L137+L138</f>
      </c>
      <c r="M139" s="25">
        <f>M135+M136+M137+M138</f>
      </c>
      <c r="N139" s="25">
        <f>N135+N136+N137+N138</f>
      </c>
      <c r="O139" s="25">
        <f>O135+O136+O137+O138</f>
      </c>
      <c r="P139" s="25">
        <f>P135+P136+P137+P138</f>
      </c>
      <c r="Q139" s="25">
        <f>Q135+Q136+Q137+Q138</f>
      </c>
      <c r="R139" s="25">
        <f>R135+R136+R137+R138</f>
      </c>
      <c r="S139" s="25">
        <f>S135+S136+S137+S138</f>
      </c>
      <c r="T139" s="25">
        <f>T135+T136+T137+T138</f>
      </c>
      <c r="U139" s="25">
        <f>U135+U136+U137+U138</f>
      </c>
      <c r="V139" s="25">
        <f>V135+V136+V137+V138</f>
      </c>
      <c r="W139" s="25">
        <f>W135+W136+W137+W138</f>
      </c>
      <c r="X139" s="25">
        <f>X135+X136+X137+X138</f>
      </c>
      <c r="Y139" s="25">
        <f>Y135+Y136+Y137+Y138</f>
      </c>
      <c r="Z139" s="25">
        <f>Z135+Z136+Z137+Z138</f>
      </c>
      <c r="AA139" s="25">
        <f>AA135+AA136+AA137+AA138</f>
      </c>
      <c r="AB139" s="25">
        <f>AB135+AB136+AB137+AB138</f>
      </c>
      <c r="AC139" s="25">
        <f>AC135+AC136+AC137+AC138</f>
      </c>
      <c r="AD139" s="25">
        <f>AD135+AD136+AD137+AD138</f>
      </c>
      <c r="AE139" s="25">
        <f>AE135+AE136+AE137+AE138</f>
      </c>
      <c r="AF139" s="25">
        <f>AF135+AF136+AF137+AF138</f>
      </c>
      <c r="AG139" s="25">
        <f>AG135+AG136+AG137+AG138</f>
      </c>
      <c r="AH139" s="25">
        <f>AH135+AH136+AH137+AH138</f>
      </c>
      <c r="AI139" s="25">
        <f>AI135+AI136+AI137+AI138</f>
      </c>
      <c r="AJ139" s="25">
        <f>AJ135+AJ136+AJ137+AJ138</f>
      </c>
      <c r="AK139" s="25">
        <f>AK135+AK136+AK137+AK138</f>
      </c>
      <c r="AL139" s="25">
        <f>AL135+AL136+AL137+AL138</f>
      </c>
      <c r="AM13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7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1364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1365</v>
      </c>
      <c r="E13" s="32"/>
      <c r="F13" s="32"/>
      <c r="G13" s="32"/>
      <c r="H13" s="32"/>
      <c r="I13" s="33">
        <v>29.08</v>
      </c>
      <c r="J13" s="33">
        <v>30.73</v>
      </c>
      <c r="K13" s="33">
        <v>32.32</v>
      </c>
      <c r="L13" s="33">
        <v>31.36</v>
      </c>
      <c r="M13" s="33">
        <v>43.11</v>
      </c>
      <c r="N13" s="33">
        <v>57.7</v>
      </c>
      <c r="O13" s="33">
        <v>56.57</v>
      </c>
      <c r="P13" s="33">
        <v>51.72</v>
      </c>
      <c r="Q13" s="33">
        <v>52.01</v>
      </c>
      <c r="R13" s="33">
        <v>76.98</v>
      </c>
      <c r="S13" s="33">
        <v>31.18</v>
      </c>
      <c r="T13" s="33">
        <v>31.44</v>
      </c>
      <c r="U13" s="33">
        <v>29.09</v>
      </c>
      <c r="V13" s="33">
        <v>59.32</v>
      </c>
      <c r="W13" s="33">
        <v>29.52</v>
      </c>
      <c r="X13" s="33">
        <v>33.27</v>
      </c>
      <c r="Y13" s="36">
        <f>0.00+42.93</f>
        <v>42.93</v>
      </c>
      <c r="Z13" s="33">
        <v>66.3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1366</v>
      </c>
      <c r="E14" s="33">
        <v>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>
        <v>0</v>
      </c>
      <c r="R14" s="33">
        <v>34.31</v>
      </c>
      <c r="S14" s="33">
        <v>38.65</v>
      </c>
      <c r="T14" s="33">
        <v>30.49</v>
      </c>
      <c r="U14" s="33">
        <v>28.83</v>
      </c>
      <c r="V14" s="33">
        <v>31.18</v>
      </c>
      <c r="W14" s="33">
        <v>29.83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1367</v>
      </c>
      <c r="E15" s="32"/>
      <c r="F15" s="32"/>
      <c r="G15" s="32"/>
      <c r="H15" s="32"/>
      <c r="I15" s="33">
        <v>31.73</v>
      </c>
      <c r="J15" s="33">
        <v>36.68</v>
      </c>
      <c r="K15" s="33">
        <v>39.57</v>
      </c>
      <c r="L15" s="33">
        <v>35.15</v>
      </c>
      <c r="M15" s="33">
        <v>51.23</v>
      </c>
      <c r="N15" s="33">
        <v>37.86</v>
      </c>
      <c r="O15" s="33">
        <v>41.82</v>
      </c>
      <c r="P15" s="33">
        <v>41.42</v>
      </c>
      <c r="Q15" s="33">
        <v>49.74</v>
      </c>
      <c r="R15" s="33">
        <v>39.71</v>
      </c>
      <c r="S15" s="33">
        <v>46.41</v>
      </c>
      <c r="T15" s="33">
        <v>34.63</v>
      </c>
      <c r="U15" s="33">
        <v>38.31</v>
      </c>
      <c r="V15" s="33">
        <v>38.43</v>
      </c>
      <c r="W15" s="33">
        <v>36.26</v>
      </c>
      <c r="X15" s="33">
        <v>36.5</v>
      </c>
      <c r="Y15" s="33">
        <v>41.99</v>
      </c>
      <c r="Z15" s="36">
        <f>47.89+0.00</f>
        <v>47.89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1368</v>
      </c>
      <c r="E16" s="32"/>
      <c r="F16" s="32"/>
      <c r="G16" s="32"/>
      <c r="H16" s="32"/>
      <c r="I16" s="33">
        <v>144.47</v>
      </c>
      <c r="J16" s="33">
        <v>140.77</v>
      </c>
      <c r="K16" s="33">
        <v>114.68</v>
      </c>
      <c r="L16" s="33">
        <v>35.15</v>
      </c>
      <c r="M16" s="33">
        <v>37.24</v>
      </c>
      <c r="N16" s="33">
        <v>32.28</v>
      </c>
      <c r="O16" s="33">
        <v>35.61</v>
      </c>
      <c r="P16" s="33">
        <v>43.13</v>
      </c>
      <c r="Q16" s="33">
        <v>32.28</v>
      </c>
      <c r="R16" s="33">
        <v>30.2</v>
      </c>
      <c r="S16" s="33">
        <v>29.36</v>
      </c>
      <c r="T16" s="33">
        <v>29.23</v>
      </c>
      <c r="U16" s="33">
        <v>29.84</v>
      </c>
      <c r="V16" s="33">
        <v>31.91</v>
      </c>
      <c r="W16" s="33">
        <v>41.31</v>
      </c>
      <c r="X16" s="33">
        <v>45.16</v>
      </c>
      <c r="Y16" s="33">
        <v>49.79</v>
      </c>
      <c r="Z16" s="36">
        <f>0.00+42.82</f>
        <v>42.82</v>
      </c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1369</v>
      </c>
      <c r="E17" s="32"/>
      <c r="F17" s="32"/>
      <c r="G17" s="32"/>
      <c r="H17" s="32"/>
      <c r="I17" s="33">
        <v>30.03</v>
      </c>
      <c r="J17" s="33">
        <v>29.67</v>
      </c>
      <c r="K17" s="33">
        <v>29.84</v>
      </c>
      <c r="L17" s="33">
        <v>29.53</v>
      </c>
      <c r="M17" s="33">
        <v>32.94</v>
      </c>
      <c r="N17" s="33">
        <v>42.43</v>
      </c>
      <c r="O17" s="33">
        <v>45.11</v>
      </c>
      <c r="P17" s="33">
        <v>48.65</v>
      </c>
      <c r="Q17" s="36">
        <f>50.01+0.00</f>
        <v>50.01</v>
      </c>
      <c r="R17" s="33">
        <v>32.81</v>
      </c>
      <c r="S17" s="33">
        <v>30.72</v>
      </c>
      <c r="T17" s="33">
        <v>9.07</v>
      </c>
      <c r="U17" s="33">
        <v>29.29</v>
      </c>
      <c r="V17" s="33">
        <v>30.53</v>
      </c>
      <c r="W17" s="33">
        <v>29.77</v>
      </c>
      <c r="X17" s="33">
        <v>31.96</v>
      </c>
      <c r="Y17" s="33">
        <v>34.53</v>
      </c>
      <c r="Z17" s="33">
        <v>45.54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1370</v>
      </c>
      <c r="E18" s="32"/>
      <c r="F18" s="32"/>
      <c r="G18" s="32"/>
      <c r="H18" s="32"/>
      <c r="I18" s="33">
        <v>440.88</v>
      </c>
      <c r="J18" s="33">
        <v>620.76</v>
      </c>
      <c r="K18" s="33">
        <v>794.19</v>
      </c>
      <c r="L18" s="33">
        <v>634.1</v>
      </c>
      <c r="M18" s="33">
        <v>597.88</v>
      </c>
      <c r="N18" s="33">
        <v>639.04</v>
      </c>
      <c r="O18" s="33">
        <v>661.02</v>
      </c>
      <c r="P18" s="33">
        <v>662.45</v>
      </c>
      <c r="Q18" s="33">
        <v>712.49</v>
      </c>
      <c r="R18" s="33">
        <v>634.72</v>
      </c>
      <c r="S18" s="33">
        <v>450.18</v>
      </c>
      <c r="T18" s="33">
        <v>551.13</v>
      </c>
      <c r="U18" s="33">
        <v>524.79</v>
      </c>
      <c r="V18" s="33">
        <v>619.18</v>
      </c>
      <c r="W18" s="33">
        <v>726.82</v>
      </c>
      <c r="X18" s="33">
        <v>699.38</v>
      </c>
      <c r="Y18" s="33">
        <v>730.65</v>
      </c>
      <c r="Z18" s="36">
        <f>0.00+529.04</f>
        <v>529.04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1371</v>
      </c>
      <c r="E19" s="32"/>
      <c r="F19" s="32"/>
      <c r="G19" s="32"/>
      <c r="H19" s="32"/>
      <c r="I19" s="33">
        <v>35.4</v>
      </c>
      <c r="J19" s="33">
        <v>33.5</v>
      </c>
      <c r="K19" s="33">
        <v>33.1</v>
      </c>
      <c r="L19" s="33">
        <v>33.14</v>
      </c>
      <c r="M19" s="33">
        <v>31.95</v>
      </c>
      <c r="N19" s="33">
        <v>32.04</v>
      </c>
      <c r="O19" s="33">
        <v>32.01</v>
      </c>
      <c r="P19" s="33">
        <v>31.66</v>
      </c>
      <c r="Q19" s="33">
        <v>32.49</v>
      </c>
      <c r="R19" s="33">
        <v>32.35</v>
      </c>
      <c r="S19" s="33">
        <v>32.19</v>
      </c>
      <c r="T19" s="33">
        <v>33.28</v>
      </c>
      <c r="U19" s="33">
        <v>34.7</v>
      </c>
      <c r="V19" s="33">
        <v>35.14</v>
      </c>
      <c r="W19" s="33">
        <v>33.63</v>
      </c>
      <c r="X19" s="33">
        <v>33.37</v>
      </c>
      <c r="Y19" s="33">
        <v>33.45</v>
      </c>
      <c r="Z19" s="36">
        <f>0.00+33.70</f>
        <v>33.7</v>
      </c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1372</v>
      </c>
      <c r="E20" s="36">
        <f>0.00+0.00</f>
        <v>0</v>
      </c>
      <c r="F20" s="32"/>
      <c r="G20" s="32"/>
      <c r="H20" s="32"/>
      <c r="I20" s="32"/>
      <c r="J20" s="33">
        <v>0</v>
      </c>
      <c r="K20" s="33">
        <v>31.06</v>
      </c>
      <c r="L20" s="33">
        <v>30.08</v>
      </c>
      <c r="M20" s="33">
        <v>33.4</v>
      </c>
      <c r="N20" s="33">
        <v>41.11</v>
      </c>
      <c r="O20" s="33">
        <v>41.9</v>
      </c>
      <c r="P20" s="33">
        <v>41.07</v>
      </c>
      <c r="Q20" s="33">
        <v>43.22</v>
      </c>
      <c r="R20" s="33">
        <v>34.75</v>
      </c>
      <c r="S20" s="33">
        <v>32.18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1373</v>
      </c>
      <c r="E21" s="32"/>
      <c r="F21" s="32"/>
      <c r="G21" s="32"/>
      <c r="H21" s="32"/>
      <c r="I21" s="33">
        <v>764.12</v>
      </c>
      <c r="J21" s="33">
        <v>818.35</v>
      </c>
      <c r="K21" s="33">
        <v>729.88</v>
      </c>
      <c r="L21" s="33">
        <v>579.3</v>
      </c>
      <c r="M21" s="33">
        <v>346.9</v>
      </c>
      <c r="N21" s="33">
        <v>258.61</v>
      </c>
      <c r="O21" s="33">
        <v>258.1</v>
      </c>
      <c r="P21" s="33">
        <v>248.73</v>
      </c>
      <c r="Q21" s="33">
        <v>307.82</v>
      </c>
      <c r="R21" s="33">
        <v>309.32</v>
      </c>
      <c r="S21" s="33">
        <v>417.83</v>
      </c>
      <c r="T21" s="33">
        <v>707.39</v>
      </c>
      <c r="U21" s="33">
        <v>760.28</v>
      </c>
      <c r="V21" s="33">
        <v>744.73</v>
      </c>
      <c r="W21" s="33">
        <v>593.64</v>
      </c>
      <c r="X21" s="33">
        <v>490.9</v>
      </c>
      <c r="Y21" s="33">
        <v>437.9</v>
      </c>
      <c r="Z21" s="36">
        <f>0.00+364.27</f>
        <v>364.27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1374</v>
      </c>
      <c r="E22" s="32"/>
      <c r="F22" s="32"/>
      <c r="G22" s="32"/>
      <c r="H22" s="32"/>
      <c r="I22" s="33">
        <v>21.7</v>
      </c>
      <c r="J22" s="33">
        <v>21.77</v>
      </c>
      <c r="K22" s="33">
        <v>21.77</v>
      </c>
      <c r="L22" s="33">
        <v>20.13</v>
      </c>
      <c r="M22" s="33">
        <v>19.38</v>
      </c>
      <c r="N22" s="33">
        <v>19.38</v>
      </c>
      <c r="O22" s="33">
        <v>19.38</v>
      </c>
      <c r="P22" s="33">
        <v>18.74</v>
      </c>
      <c r="Q22" s="33">
        <v>19.38</v>
      </c>
      <c r="R22" s="33">
        <v>19.38</v>
      </c>
      <c r="S22" s="33">
        <v>19.38</v>
      </c>
      <c r="T22" s="33">
        <v>19.38</v>
      </c>
      <c r="U22" s="33">
        <v>24.36</v>
      </c>
      <c r="V22" s="33">
        <v>24.43</v>
      </c>
      <c r="W22" s="33">
        <v>24.43</v>
      </c>
      <c r="X22" s="33">
        <v>24.43</v>
      </c>
      <c r="Y22" s="33">
        <v>24.43</v>
      </c>
      <c r="Z22" s="36">
        <f>24.43+0.00</f>
        <v>24.43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1375</v>
      </c>
      <c r="E23" s="32"/>
      <c r="F23" s="32"/>
      <c r="G23" s="32"/>
      <c r="H23" s="32"/>
      <c r="I23" s="33">
        <v>48.86</v>
      </c>
      <c r="J23" s="33">
        <v>72.63</v>
      </c>
      <c r="K23" s="33">
        <v>31.48</v>
      </c>
      <c r="L23" s="33">
        <v>30.82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1376</v>
      </c>
      <c r="E24" s="32"/>
      <c r="F24" s="32"/>
      <c r="G24" s="32"/>
      <c r="H24" s="32"/>
      <c r="I24" s="33">
        <v>33.23</v>
      </c>
      <c r="J24" s="33">
        <v>33.09</v>
      </c>
      <c r="K24" s="33">
        <v>33.21</v>
      </c>
      <c r="L24" s="33">
        <v>34.86</v>
      </c>
      <c r="M24" s="33">
        <v>43.16</v>
      </c>
      <c r="N24" s="33">
        <v>49.45</v>
      </c>
      <c r="O24" s="33">
        <v>52.01</v>
      </c>
      <c r="P24" s="33">
        <v>49.25</v>
      </c>
      <c r="Q24" s="36">
        <f>50.92+0.00</f>
        <v>50.92</v>
      </c>
      <c r="R24" s="36">
        <f>40.22+34.46</f>
        <v>74.68</v>
      </c>
      <c r="S24" s="32"/>
      <c r="T24" s="33">
        <v>32.67</v>
      </c>
      <c r="U24" s="33">
        <v>33.12</v>
      </c>
      <c r="V24" s="33">
        <v>33.81</v>
      </c>
      <c r="W24" s="33">
        <v>33.26</v>
      </c>
      <c r="X24" s="33">
        <v>35.86</v>
      </c>
      <c r="Y24" s="33">
        <v>43.15</v>
      </c>
      <c r="Z24" s="33">
        <v>63.51</v>
      </c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1377</v>
      </c>
      <c r="E25" s="32"/>
      <c r="F25" s="32"/>
      <c r="G25" s="32"/>
      <c r="H25" s="32"/>
      <c r="I25" s="33">
        <v>30.18</v>
      </c>
      <c r="J25" s="33">
        <v>29.57</v>
      </c>
      <c r="K25" s="33">
        <v>29.62</v>
      </c>
      <c r="L25" s="33">
        <v>29.25</v>
      </c>
      <c r="M25" s="33">
        <v>31.3</v>
      </c>
      <c r="N25" s="33">
        <v>34.31</v>
      </c>
      <c r="O25" s="33">
        <v>32.71</v>
      </c>
      <c r="P25" s="33">
        <v>32.34</v>
      </c>
      <c r="Q25" s="33">
        <v>38.54</v>
      </c>
      <c r="R25" s="33">
        <v>39.32</v>
      </c>
      <c r="S25" s="33">
        <v>33.41</v>
      </c>
      <c r="T25" s="33">
        <v>25.66</v>
      </c>
      <c r="U25" s="33">
        <v>26.68</v>
      </c>
      <c r="V25" s="33">
        <v>27.99</v>
      </c>
      <c r="W25" s="33">
        <v>27.44</v>
      </c>
      <c r="X25" s="33">
        <v>28.46</v>
      </c>
      <c r="Y25" s="33">
        <v>38.93</v>
      </c>
      <c r="Z25" s="33">
        <v>51.12</v>
      </c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1378</v>
      </c>
      <c r="E26" s="32"/>
      <c r="F26" s="32"/>
      <c r="G26" s="32"/>
      <c r="H26" s="32"/>
      <c r="I26" s="33">
        <v>30.93</v>
      </c>
      <c r="J26" s="33">
        <v>30.04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1379</v>
      </c>
      <c r="E27" s="32"/>
      <c r="F27" s="32"/>
      <c r="G27" s="32"/>
      <c r="H27" s="32"/>
      <c r="I27" s="33">
        <v>140.71</v>
      </c>
      <c r="J27" s="33">
        <v>128.99</v>
      </c>
      <c r="K27" s="33">
        <v>131.88</v>
      </c>
      <c r="L27" s="33">
        <v>122.54</v>
      </c>
      <c r="M27" s="33">
        <v>115.1</v>
      </c>
      <c r="N27" s="33">
        <v>118.33</v>
      </c>
      <c r="O27" s="33">
        <v>109.16</v>
      </c>
      <c r="P27" s="33">
        <v>100.68</v>
      </c>
      <c r="Q27" s="33">
        <v>126.4</v>
      </c>
      <c r="R27" s="33">
        <v>114</v>
      </c>
      <c r="S27" s="33">
        <v>110.27</v>
      </c>
      <c r="T27" s="33">
        <v>120.56</v>
      </c>
      <c r="U27" s="33">
        <v>126.65</v>
      </c>
      <c r="V27" s="33">
        <v>96.79</v>
      </c>
      <c r="W27" s="33">
        <v>81.2</v>
      </c>
      <c r="X27" s="33">
        <v>122.74</v>
      </c>
      <c r="Y27" s="33">
        <v>134.61</v>
      </c>
      <c r="Z27" s="36">
        <f>130.78+0.00</f>
        <v>130.78</v>
      </c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1380</v>
      </c>
      <c r="E28" s="32"/>
      <c r="F28" s="32"/>
      <c r="G28" s="32"/>
      <c r="H28" s="32"/>
      <c r="I28" s="33">
        <v>58.58</v>
      </c>
      <c r="J28" s="33">
        <v>49.7</v>
      </c>
      <c r="K28" s="33">
        <v>49.41</v>
      </c>
      <c r="L28" s="33">
        <v>43.94</v>
      </c>
      <c r="M28" s="33">
        <v>40.82</v>
      </c>
      <c r="N28" s="33">
        <v>33.23</v>
      </c>
      <c r="O28" s="33">
        <v>31.34</v>
      </c>
      <c r="P28" s="33">
        <v>30.68</v>
      </c>
      <c r="Q28" s="33">
        <v>30.55</v>
      </c>
      <c r="R28" s="33">
        <v>30.6</v>
      </c>
      <c r="S28" s="33">
        <v>31.77</v>
      </c>
      <c r="T28" s="33">
        <v>31.88</v>
      </c>
      <c r="U28" s="33">
        <v>31.58</v>
      </c>
      <c r="V28" s="33">
        <v>32.06</v>
      </c>
      <c r="W28" s="33">
        <v>30.71</v>
      </c>
      <c r="X28" s="33">
        <v>30.38</v>
      </c>
      <c r="Y28" s="33">
        <v>30.22</v>
      </c>
      <c r="Z28" s="36">
        <f>0.00+30.27</f>
        <v>30.27</v>
      </c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1381</v>
      </c>
      <c r="E29" s="32"/>
      <c r="F29" s="32"/>
      <c r="G29" s="32"/>
      <c r="H29" s="32"/>
      <c r="I29" s="33">
        <v>29.22</v>
      </c>
      <c r="J29" s="33">
        <v>30.09</v>
      </c>
      <c r="K29" s="33">
        <v>33.51</v>
      </c>
      <c r="L29" s="33">
        <v>33.2</v>
      </c>
      <c r="M29" s="33">
        <v>46.57</v>
      </c>
      <c r="N29" s="33">
        <v>62.15</v>
      </c>
      <c r="O29" s="33">
        <v>63.82</v>
      </c>
      <c r="P29" s="33">
        <v>61.05</v>
      </c>
      <c r="Q29" s="33">
        <v>64.72</v>
      </c>
      <c r="R29" s="33">
        <v>45.89</v>
      </c>
      <c r="S29" s="33">
        <v>32.97</v>
      </c>
      <c r="T29" s="33">
        <v>28.97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1382</v>
      </c>
      <c r="E30" s="32"/>
      <c r="F30" s="32"/>
      <c r="G30" s="32"/>
      <c r="H30" s="32"/>
      <c r="I30" s="33">
        <v>29.22</v>
      </c>
      <c r="J30" s="33">
        <v>29.09</v>
      </c>
      <c r="K30" s="33">
        <v>31.24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1383</v>
      </c>
      <c r="E31" s="32"/>
      <c r="F31" s="32"/>
      <c r="G31" s="32"/>
      <c r="H31" s="32"/>
      <c r="I31" s="33">
        <v>29.7</v>
      </c>
      <c r="J31" s="33">
        <v>29.36</v>
      </c>
      <c r="K31" s="33">
        <v>32.19</v>
      </c>
      <c r="L31" s="33">
        <v>32.79</v>
      </c>
      <c r="M31" s="33">
        <v>39.75</v>
      </c>
      <c r="N31" s="33">
        <v>49.13</v>
      </c>
      <c r="O31" s="33">
        <v>49.79</v>
      </c>
      <c r="P31" s="33">
        <v>48.09</v>
      </c>
      <c r="Q31" s="33">
        <v>50.13</v>
      </c>
      <c r="R31" s="33">
        <v>35.97</v>
      </c>
      <c r="S31" s="33">
        <v>30.27</v>
      </c>
      <c r="T31" s="33">
        <v>28.69</v>
      </c>
      <c r="U31" s="33">
        <v>29.23</v>
      </c>
      <c r="V31" s="33">
        <v>32.55</v>
      </c>
      <c r="W31" s="33">
        <v>31.75</v>
      </c>
      <c r="X31" s="33">
        <v>31.96</v>
      </c>
      <c r="Y31" s="36">
        <f>0.00+37.69</f>
        <v>37.69</v>
      </c>
      <c r="Z31" s="33">
        <v>54.5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1384</v>
      </c>
      <c r="E32" s="32"/>
      <c r="F32" s="32"/>
      <c r="G32" s="32"/>
      <c r="H32" s="32"/>
      <c r="I32" s="33">
        <v>30.3</v>
      </c>
      <c r="J32" s="33">
        <v>31.57</v>
      </c>
      <c r="K32" s="33">
        <v>29.78</v>
      </c>
      <c r="L32" s="33">
        <v>29.07</v>
      </c>
      <c r="M32" s="33">
        <v>28.65</v>
      </c>
      <c r="N32" s="33">
        <v>28.99</v>
      </c>
      <c r="O32" s="33">
        <v>29.04</v>
      </c>
      <c r="P32" s="33">
        <v>28.67</v>
      </c>
      <c r="Q32" s="36">
        <f>29.14+0.00</f>
        <v>29.14</v>
      </c>
      <c r="R32" s="33">
        <v>44.23</v>
      </c>
      <c r="S32" s="33">
        <v>32.94</v>
      </c>
      <c r="T32" s="33">
        <v>29.33</v>
      </c>
      <c r="U32" s="33">
        <v>29.87</v>
      </c>
      <c r="V32" s="33">
        <v>34.49</v>
      </c>
      <c r="W32" s="33">
        <v>32.67</v>
      </c>
      <c r="X32" s="33">
        <v>33.94</v>
      </c>
      <c r="Y32" s="33">
        <v>39.57</v>
      </c>
      <c r="Z32" s="33">
        <v>56.83</v>
      </c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1385</v>
      </c>
      <c r="E33" s="32"/>
      <c r="F33" s="32"/>
      <c r="G33" s="32"/>
      <c r="H33" s="32"/>
      <c r="I33" s="33">
        <v>100.06</v>
      </c>
      <c r="J33" s="33">
        <v>52.91</v>
      </c>
      <c r="K33" s="33">
        <v>37.03</v>
      </c>
      <c r="L33" s="33">
        <v>37.2</v>
      </c>
      <c r="M33" s="33">
        <v>33.63</v>
      </c>
      <c r="N33" s="33">
        <v>34.23</v>
      </c>
      <c r="O33" s="33">
        <v>34.72</v>
      </c>
      <c r="P33" s="33">
        <v>35.79</v>
      </c>
      <c r="Q33" s="33">
        <v>52.23</v>
      </c>
      <c r="R33" s="33">
        <v>34.9</v>
      </c>
      <c r="S33" s="33">
        <v>97.89</v>
      </c>
      <c r="T33" s="33">
        <v>272.47</v>
      </c>
      <c r="U33" s="33">
        <v>169.22</v>
      </c>
      <c r="V33" s="33">
        <v>187.5</v>
      </c>
      <c r="W33" s="33">
        <v>70.28</v>
      </c>
      <c r="X33" s="33">
        <v>33.85</v>
      </c>
      <c r="Y33" s="33">
        <v>35.26</v>
      </c>
      <c r="Z33" s="36">
        <f>35.43+0.00</f>
        <v>35.43</v>
      </c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1386</v>
      </c>
      <c r="E34" s="32"/>
      <c r="F34" s="32"/>
      <c r="G34" s="32"/>
      <c r="H34" s="32"/>
      <c r="I34" s="32"/>
      <c r="J34" s="32"/>
      <c r="K34" s="33">
        <v>0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1387</v>
      </c>
      <c r="E35" s="32"/>
      <c r="F35" s="32"/>
      <c r="G35" s="32"/>
      <c r="H35" s="32"/>
      <c r="I35" s="32"/>
      <c r="J35" s="32"/>
      <c r="K35" s="36">
        <f>0.00+4.99</f>
        <v>4.99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1388</v>
      </c>
      <c r="E36" s="32"/>
      <c r="F36" s="32"/>
      <c r="G36" s="32"/>
      <c r="H36" s="32"/>
      <c r="I36" s="33">
        <v>31.26</v>
      </c>
      <c r="J36" s="33">
        <v>29.31</v>
      </c>
      <c r="K36" s="33">
        <v>30.94</v>
      </c>
      <c r="L36" s="33">
        <v>30.79</v>
      </c>
      <c r="M36" s="33">
        <v>41.21</v>
      </c>
      <c r="N36" s="33">
        <v>58.82</v>
      </c>
      <c r="O36" s="33">
        <v>59.71</v>
      </c>
      <c r="P36" s="33">
        <v>56.53</v>
      </c>
      <c r="Q36" s="33">
        <v>57.37</v>
      </c>
      <c r="R36" s="33">
        <v>46</v>
      </c>
      <c r="S36" s="33">
        <v>32.46</v>
      </c>
      <c r="T36" s="33">
        <v>28.8</v>
      </c>
      <c r="U36" s="33">
        <v>29.29</v>
      </c>
      <c r="V36" s="33">
        <v>29.36</v>
      </c>
      <c r="W36" s="33">
        <v>28.15</v>
      </c>
      <c r="X36" s="33">
        <v>28.46</v>
      </c>
      <c r="Y36" s="36">
        <f>34.61+0.00</f>
        <v>34.61</v>
      </c>
      <c r="Z36" s="33">
        <v>50.01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1389</v>
      </c>
      <c r="E37" s="32"/>
      <c r="F37" s="32"/>
      <c r="G37" s="32"/>
      <c r="H37" s="32"/>
      <c r="I37" s="33">
        <v>161.64</v>
      </c>
      <c r="J37" s="33">
        <v>156.33</v>
      </c>
      <c r="K37" s="33">
        <v>164.25</v>
      </c>
      <c r="L37" s="33">
        <v>173.62</v>
      </c>
      <c r="M37" s="33">
        <v>206.62</v>
      </c>
      <c r="N37" s="33">
        <v>245.58</v>
      </c>
      <c r="O37" s="33">
        <v>281.4</v>
      </c>
      <c r="P37" s="33">
        <v>298.09</v>
      </c>
      <c r="Q37" s="33">
        <v>331.89</v>
      </c>
      <c r="R37" s="33">
        <v>238.76</v>
      </c>
      <c r="S37" s="33">
        <v>157.16</v>
      </c>
      <c r="T37" s="33">
        <v>128.27</v>
      </c>
      <c r="U37" s="33">
        <v>127.59</v>
      </c>
      <c r="V37" s="33">
        <v>146.64</v>
      </c>
      <c r="W37" s="33">
        <v>125.07</v>
      </c>
      <c r="X37" s="33">
        <v>159.34</v>
      </c>
      <c r="Y37" s="33">
        <v>204.28</v>
      </c>
      <c r="Z37" s="36">
        <f>262.62+0.00</f>
        <v>262.62</v>
      </c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1390</v>
      </c>
      <c r="E38" s="32"/>
      <c r="F38" s="32"/>
      <c r="G38" s="32"/>
      <c r="H38" s="32"/>
      <c r="I38" s="33">
        <v>29.46</v>
      </c>
      <c r="J38" s="33">
        <v>29.43</v>
      </c>
      <c r="K38" s="33">
        <v>31.35</v>
      </c>
      <c r="L38" s="33">
        <v>32.02</v>
      </c>
      <c r="M38" s="33">
        <v>41.78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1391</v>
      </c>
      <c r="E39" s="32"/>
      <c r="F39" s="32"/>
      <c r="G39" s="32"/>
      <c r="H39" s="32"/>
      <c r="I39" s="32"/>
      <c r="J39" s="32"/>
      <c r="K39" s="36">
        <f>0.00+4.99</f>
        <v>4.99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40"/>
    </row>
    <row r="41" ht="12.75" customHeight="1" spans="2:37" x14ac:dyDescent="0.25">
      <c r="B41" s="20" t="s">
        <v>85</v>
      </c>
      <c r="C41" s="21"/>
      <c r="D41" s="21"/>
      <c r="E41" s="22">
        <f>SUM(E13:E39)</f>
      </c>
      <c r="F41" s="22">
        <f>SUM(F13:F39)</f>
      </c>
      <c r="G41" s="22">
        <f>SUM(G13:G39)</f>
      </c>
      <c r="H41" s="22">
        <f>SUM(H13:H39)</f>
      </c>
      <c r="I41" s="22">
        <f>SUM(I13:I39)</f>
      </c>
      <c r="J41" s="22">
        <f>SUM(J13:J39)</f>
      </c>
      <c r="K41" s="22">
        <f>SUM(K13:K39)</f>
      </c>
      <c r="L41" s="22">
        <f>SUM(L13:L39)</f>
      </c>
      <c r="M41" s="22">
        <f>SUM(M13:M39)</f>
      </c>
      <c r="N41" s="22">
        <f>SUM(N13:N39)</f>
      </c>
      <c r="O41" s="22">
        <f>SUM(O13:O39)</f>
      </c>
      <c r="P41" s="22">
        <f>SUM(P13:P39)</f>
      </c>
      <c r="Q41" s="22">
        <f>SUM(Q13:Q39)</f>
      </c>
      <c r="R41" s="22">
        <f>SUM(R13:R39)</f>
      </c>
      <c r="S41" s="22">
        <f>SUM(S13:S39)</f>
      </c>
      <c r="T41" s="22">
        <f>SUM(T13:T39)</f>
      </c>
      <c r="U41" s="22">
        <f>SUM(U13:U39)</f>
      </c>
      <c r="V41" s="22">
        <f>SUM(V13:V39)</f>
      </c>
      <c r="W41" s="22">
        <f>SUM(W13:W39)</f>
      </c>
      <c r="X41" s="22">
        <f>SUM(X13:X39)</f>
      </c>
      <c r="Y41" s="22">
        <f>SUM(Y13:Y39)</f>
      </c>
      <c r="Z41" s="22">
        <f>SUM(Z13:Z39)</f>
      </c>
      <c r="AA41" s="22">
        <f>SUM(AA13:AA39)</f>
      </c>
      <c r="AB41" s="22">
        <f>SUM(AB13:AB39)</f>
      </c>
      <c r="AC41" s="22">
        <f>SUM(AC13:AC39)</f>
      </c>
      <c r="AD41" s="22">
        <f>SUM(AD13:AD39)</f>
      </c>
      <c r="AE41" s="22">
        <f>SUM(AE13:AE39)</f>
      </c>
      <c r="AF41" s="22">
        <f>SUM(AF13:AF39)</f>
      </c>
      <c r="AG41" s="22">
        <f>SUM(AG13:AG39)</f>
      </c>
      <c r="AH41" s="22">
        <f>SUM(AH13:AH39)</f>
      </c>
      <c r="AI41" s="22">
        <f>SUM(AI13:AI39)</f>
      </c>
      <c r="AJ41" s="22">
        <f>SUM(AJ13:AJ39)</f>
      </c>
      <c r="AK41" s="23"/>
    </row>
    <row r="43" ht="12.75" customHeight="1" spans="2:37" x14ac:dyDescent="0.25">
      <c r="B43" s="26" t="s">
        <v>43</v>
      </c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9"/>
    </row>
    <row r="44" ht="12.75" customHeight="1" spans="2:37" x14ac:dyDescent="0.25">
      <c r="B44" s="37"/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40"/>
    </row>
    <row r="45" ht="12.75" customHeight="1" spans="2:37" x14ac:dyDescent="0.25">
      <c r="B45" s="20" t="s">
        <v>89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3"/>
    </row>
    <row r="47" ht="12.75" customHeight="1" spans="2:37" x14ac:dyDescent="0.25">
      <c r="B47" s="26" t="s">
        <v>44</v>
      </c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9"/>
    </row>
    <row r="48" ht="12.75" customHeight="1" spans="2:37" x14ac:dyDescent="0.25">
      <c r="B48" s="37"/>
      <c r="C48" s="38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40"/>
    </row>
    <row r="49" ht="12.75" customHeight="1" spans="2:37" x14ac:dyDescent="0.25">
      <c r="B49" s="20" t="s">
        <v>90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3"/>
    </row>
    <row r="52" ht="12.75" customHeight="1" spans="2:37" x14ac:dyDescent="0.25">
      <c r="B52" s="11" t="s">
        <v>40</v>
      </c>
      <c r="C52" s="12"/>
      <c r="D52" s="13"/>
      <c r="E52" s="14" t="s">
        <v>7</v>
      </c>
      <c r="F52" s="14" t="s">
        <v>8</v>
      </c>
      <c r="G52" s="14" t="s">
        <v>9</v>
      </c>
      <c r="H52" s="14" t="s">
        <v>10</v>
      </c>
      <c r="I52" s="14" t="s">
        <v>11</v>
      </c>
      <c r="J52" s="14" t="s">
        <v>12</v>
      </c>
      <c r="K52" s="14" t="s">
        <v>13</v>
      </c>
      <c r="L52" s="14" t="s">
        <v>14</v>
      </c>
      <c r="M52" s="14" t="s">
        <v>15</v>
      </c>
      <c r="N52" s="14" t="s">
        <v>16</v>
      </c>
      <c r="O52" s="14" t="s">
        <v>17</v>
      </c>
      <c r="P52" s="14" t="s">
        <v>18</v>
      </c>
      <c r="Q52" s="14" t="s">
        <v>19</v>
      </c>
      <c r="R52" s="14" t="s">
        <v>20</v>
      </c>
      <c r="S52" s="14" t="s">
        <v>21</v>
      </c>
      <c r="T52" s="14" t="s">
        <v>22</v>
      </c>
      <c r="U52" s="14" t="s">
        <v>23</v>
      </c>
      <c r="V52" s="14" t="s">
        <v>24</v>
      </c>
      <c r="W52" s="14" t="s">
        <v>25</v>
      </c>
      <c r="X52" s="14" t="s">
        <v>26</v>
      </c>
      <c r="Y52" s="14" t="s">
        <v>27</v>
      </c>
      <c r="Z52" s="14" t="s">
        <v>28</v>
      </c>
      <c r="AA52" s="14" t="s">
        <v>29</v>
      </c>
      <c r="AB52" s="14" t="s">
        <v>30</v>
      </c>
      <c r="AC52" s="14" t="s">
        <v>31</v>
      </c>
      <c r="AD52" s="14" t="s">
        <v>32</v>
      </c>
      <c r="AE52" s="14" t="s">
        <v>33</v>
      </c>
      <c r="AF52" s="14" t="s">
        <v>34</v>
      </c>
      <c r="AG52" s="14" t="s">
        <v>35</v>
      </c>
      <c r="AH52" s="14" t="s">
        <v>36</v>
      </c>
      <c r="AI52" s="14" t="s">
        <v>37</v>
      </c>
      <c r="AJ52" s="14" t="s">
        <v>38</v>
      </c>
      <c r="AK52" s="15"/>
    </row>
    <row r="53" ht="12.75" customHeight="1" spans="2:37" x14ac:dyDescent="0.25">
      <c r="B53" s="16" t="s">
        <v>41</v>
      </c>
      <c r="C53" s="17"/>
      <c r="D53" s="17"/>
      <c r="E53" s="18">
        <f>E10</f>
      </c>
      <c r="F53" s="18">
        <f>F10</f>
      </c>
      <c r="G53" s="18">
        <f>G10</f>
      </c>
      <c r="H53" s="18">
        <f>H10</f>
      </c>
      <c r="I53" s="18">
        <f>I10</f>
      </c>
      <c r="J53" s="18">
        <f>J10</f>
      </c>
      <c r="K53" s="18">
        <f>K10</f>
      </c>
      <c r="L53" s="18">
        <f>L10</f>
      </c>
      <c r="M53" s="18">
        <f>M10</f>
      </c>
      <c r="N53" s="18">
        <f>N10</f>
      </c>
      <c r="O53" s="18">
        <f>O10</f>
      </c>
      <c r="P53" s="18">
        <f>P10</f>
      </c>
      <c r="Q53" s="18">
        <f>Q10</f>
      </c>
      <c r="R53" s="18">
        <f>R10</f>
      </c>
      <c r="S53" s="18">
        <f>S10</f>
      </c>
      <c r="T53" s="18">
        <f>T10</f>
      </c>
      <c r="U53" s="18">
        <f>U10</f>
      </c>
      <c r="V53" s="18">
        <f>V10</f>
      </c>
      <c r="W53" s="18">
        <f>W10</f>
      </c>
      <c r="X53" s="18">
        <f>X10</f>
      </c>
      <c r="Y53" s="18">
        <f>Y10</f>
      </c>
      <c r="Z53" s="18">
        <f>Z10</f>
      </c>
      <c r="AA53" s="18">
        <f>AA10</f>
      </c>
      <c r="AB53" s="18">
        <f>AB10</f>
      </c>
      <c r="AC53" s="18">
        <f>AC10</f>
      </c>
      <c r="AD53" s="18">
        <f>AD10</f>
      </c>
      <c r="AE53" s="18">
        <f>AE10</f>
      </c>
      <c r="AF53" s="18">
        <f>AF10</f>
      </c>
      <c r="AG53" s="18">
        <f>AG10</f>
      </c>
      <c r="AH53" s="18">
        <f>AH10</f>
      </c>
      <c r="AI53" s="18">
        <f>AI10</f>
      </c>
      <c r="AJ53" s="18">
        <f>AJ10</f>
      </c>
      <c r="AK53" s="19"/>
    </row>
    <row r="54" ht="12.75" customHeight="1" spans="2:37" x14ac:dyDescent="0.25">
      <c r="B54" s="16" t="s">
        <v>42</v>
      </c>
      <c r="C54" s="17"/>
      <c r="D54" s="17"/>
      <c r="E54" s="18">
        <f>E41</f>
      </c>
      <c r="F54" s="18">
        <f>F41</f>
      </c>
      <c r="G54" s="18">
        <f>G41</f>
      </c>
      <c r="H54" s="18">
        <f>H41</f>
      </c>
      <c r="I54" s="18">
        <f>I41</f>
      </c>
      <c r="J54" s="18">
        <f>J41</f>
      </c>
      <c r="K54" s="18">
        <f>K41</f>
      </c>
      <c r="L54" s="18">
        <f>L41</f>
      </c>
      <c r="M54" s="18">
        <f>M41</f>
      </c>
      <c r="N54" s="18">
        <f>N41</f>
      </c>
      <c r="O54" s="18">
        <f>O41</f>
      </c>
      <c r="P54" s="18">
        <f>P41</f>
      </c>
      <c r="Q54" s="18">
        <f>Q41</f>
      </c>
      <c r="R54" s="18">
        <f>R41</f>
      </c>
      <c r="S54" s="18">
        <f>S41</f>
      </c>
      <c r="T54" s="18">
        <f>T41</f>
      </c>
      <c r="U54" s="18">
        <f>U41</f>
      </c>
      <c r="V54" s="18">
        <f>V41</f>
      </c>
      <c r="W54" s="18">
        <f>W41</f>
      </c>
      <c r="X54" s="18">
        <f>X41</f>
      </c>
      <c r="Y54" s="18">
        <f>Y41</f>
      </c>
      <c r="Z54" s="18">
        <f>Z41</f>
      </c>
      <c r="AA54" s="18">
        <f>AA41</f>
      </c>
      <c r="AB54" s="18">
        <f>AB41</f>
      </c>
      <c r="AC54" s="18">
        <f>AC41</f>
      </c>
      <c r="AD54" s="18">
        <f>AD41</f>
      </c>
      <c r="AE54" s="18">
        <f>AE41</f>
      </c>
      <c r="AF54" s="18">
        <f>AF41</f>
      </c>
      <c r="AG54" s="18">
        <f>AG41</f>
      </c>
      <c r="AH54" s="18">
        <f>AH41</f>
      </c>
      <c r="AI54" s="18">
        <f>AI41</f>
      </c>
      <c r="AJ54" s="18">
        <f>AJ41</f>
      </c>
      <c r="AK54" s="19"/>
    </row>
    <row r="55" ht="12.75" customHeight="1" spans="2:37" x14ac:dyDescent="0.25">
      <c r="B55" s="16" t="s">
        <v>43</v>
      </c>
      <c r="C55" s="17"/>
      <c r="D55" s="17"/>
      <c r="E55" s="18">
        <f>E45</f>
      </c>
      <c r="F55" s="18">
        <f>F45</f>
      </c>
      <c r="G55" s="18">
        <f>G45</f>
      </c>
      <c r="H55" s="18">
        <f>H45</f>
      </c>
      <c r="I55" s="18">
        <f>I45</f>
      </c>
      <c r="J55" s="18">
        <f>J45</f>
      </c>
      <c r="K55" s="18">
        <f>K45</f>
      </c>
      <c r="L55" s="18">
        <f>L45</f>
      </c>
      <c r="M55" s="18">
        <f>M45</f>
      </c>
      <c r="N55" s="18">
        <f>N45</f>
      </c>
      <c r="O55" s="18">
        <f>O45</f>
      </c>
      <c r="P55" s="18">
        <f>P45</f>
      </c>
      <c r="Q55" s="18">
        <f>Q45</f>
      </c>
      <c r="R55" s="18">
        <f>R45</f>
      </c>
      <c r="S55" s="18">
        <f>S45</f>
      </c>
      <c r="T55" s="18">
        <f>T45</f>
      </c>
      <c r="U55" s="18">
        <f>U45</f>
      </c>
      <c r="V55" s="18">
        <f>V45</f>
      </c>
      <c r="W55" s="18">
        <f>W45</f>
      </c>
      <c r="X55" s="18">
        <f>X45</f>
      </c>
      <c r="Y55" s="18">
        <f>Y45</f>
      </c>
      <c r="Z55" s="18">
        <f>Z45</f>
      </c>
      <c r="AA55" s="18">
        <f>AA45</f>
      </c>
      <c r="AB55" s="18">
        <f>AB45</f>
      </c>
      <c r="AC55" s="18">
        <f>AC45</f>
      </c>
      <c r="AD55" s="18">
        <f>AD45</f>
      </c>
      <c r="AE55" s="18">
        <f>AE45</f>
      </c>
      <c r="AF55" s="18">
        <f>AF45</f>
      </c>
      <c r="AG55" s="18">
        <f>AG45</f>
      </c>
      <c r="AH55" s="18">
        <f>AH45</f>
      </c>
      <c r="AI55" s="18">
        <f>AI45</f>
      </c>
      <c r="AJ55" s="18">
        <f>AJ45</f>
      </c>
      <c r="AK55" s="19"/>
    </row>
    <row r="56" ht="12.75" customHeight="1" spans="2:37" x14ac:dyDescent="0.25">
      <c r="B56" s="16" t="s">
        <v>44</v>
      </c>
      <c r="C56" s="17"/>
      <c r="D56" s="17"/>
      <c r="E56" s="18">
        <f>E49</f>
      </c>
      <c r="F56" s="18">
        <f>F49</f>
      </c>
      <c r="G56" s="18">
        <f>G49</f>
      </c>
      <c r="H56" s="18">
        <f>H49</f>
      </c>
      <c r="I56" s="18">
        <f>I49</f>
      </c>
      <c r="J56" s="18">
        <f>J49</f>
      </c>
      <c r="K56" s="18">
        <f>K49</f>
      </c>
      <c r="L56" s="18">
        <f>L49</f>
      </c>
      <c r="M56" s="18">
        <f>M49</f>
      </c>
      <c r="N56" s="18">
        <f>N49</f>
      </c>
      <c r="O56" s="18">
        <f>O49</f>
      </c>
      <c r="P56" s="18">
        <f>P49</f>
      </c>
      <c r="Q56" s="18">
        <f>Q49</f>
      </c>
      <c r="R56" s="18">
        <f>R49</f>
      </c>
      <c r="S56" s="18">
        <f>S49</f>
      </c>
      <c r="T56" s="18">
        <f>T49</f>
      </c>
      <c r="U56" s="18">
        <f>U49</f>
      </c>
      <c r="V56" s="18">
        <f>V49</f>
      </c>
      <c r="W56" s="18">
        <f>W49</f>
      </c>
      <c r="X56" s="18">
        <f>X49</f>
      </c>
      <c r="Y56" s="18">
        <f>Y49</f>
      </c>
      <c r="Z56" s="18">
        <f>Z49</f>
      </c>
      <c r="AA56" s="18">
        <f>AA49</f>
      </c>
      <c r="AB56" s="18">
        <f>AB49</f>
      </c>
      <c r="AC56" s="18">
        <f>AC49</f>
      </c>
      <c r="AD56" s="18">
        <f>AD49</f>
      </c>
      <c r="AE56" s="18">
        <f>AE49</f>
      </c>
      <c r="AF56" s="18">
        <f>AF49</f>
      </c>
      <c r="AG56" s="18">
        <f>AG49</f>
      </c>
      <c r="AH56" s="18">
        <f>AH49</f>
      </c>
      <c r="AI56" s="18">
        <f>AI49</f>
      </c>
      <c r="AJ56" s="18">
        <f>AJ49</f>
      </c>
      <c r="AK56" s="19"/>
    </row>
    <row r="57" ht="12.75" customHeight="1" spans="2:37" x14ac:dyDescent="0.25">
      <c r="B57" s="20" t="s">
        <v>45</v>
      </c>
      <c r="C57" s="21"/>
      <c r="D57" s="21"/>
      <c r="E57" s="22">
        <f>E53+E54+E55+E56</f>
      </c>
      <c r="F57" s="22">
        <f>F53+F54+F55+F56</f>
      </c>
      <c r="G57" s="22">
        <f>G53+G54+G55+G56</f>
      </c>
      <c r="H57" s="22">
        <f>H53+H54+H55+H56</f>
      </c>
      <c r="I57" s="22">
        <f>I53+I54+I55+I56</f>
      </c>
      <c r="J57" s="22">
        <f>J53+J54+J55+J56</f>
      </c>
      <c r="K57" s="22">
        <f>K53+K54+K55+K56</f>
      </c>
      <c r="L57" s="22">
        <f>L53+L54+L55+L56</f>
      </c>
      <c r="M57" s="22">
        <f>M53+M54+M55+M56</f>
      </c>
      <c r="N57" s="22">
        <f>N53+N54+N55+N56</f>
      </c>
      <c r="O57" s="22">
        <f>O53+O54+O55+O56</f>
      </c>
      <c r="P57" s="22">
        <f>P53+P54+P55+P56</f>
      </c>
      <c r="Q57" s="22">
        <f>Q53+Q54+Q55+Q56</f>
      </c>
      <c r="R57" s="22">
        <f>R53+R54+R55+R56</f>
      </c>
      <c r="S57" s="22">
        <f>S53+S54+S55+S56</f>
      </c>
      <c r="T57" s="22">
        <f>T53+T54+T55+T56</f>
      </c>
      <c r="U57" s="22">
        <f>U53+U54+U55+U56</f>
      </c>
      <c r="V57" s="22">
        <f>V53+V54+V55+V56</f>
      </c>
      <c r="W57" s="22">
        <f>W53+W54+W55+W56</f>
      </c>
      <c r="X57" s="22">
        <f>X53+X54+X55+X56</f>
      </c>
      <c r="Y57" s="22">
        <f>Y53+Y54+Y55+Y56</f>
      </c>
      <c r="Z57" s="22">
        <f>Z53+Z54+Z55+Z56</f>
      </c>
      <c r="AA57" s="22">
        <f>AA53+AA54+AA55+AA56</f>
      </c>
      <c r="AB57" s="22">
        <f>AB53+AB54+AB55+AB56</f>
      </c>
      <c r="AC57" s="22">
        <f>AC53+AC54+AC55+AC56</f>
      </c>
      <c r="AD57" s="22">
        <f>AD53+AD54+AD55+AD56</f>
      </c>
      <c r="AE57" s="22">
        <f>AE53+AE54+AE55+AE56</f>
      </c>
      <c r="AF57" s="22">
        <f>AF53+AF54+AF55+AF56</f>
      </c>
      <c r="AG57" s="22">
        <f>AG53+AG54+AG55+AG56</f>
      </c>
      <c r="AH57" s="22">
        <f>AH53+AH54+AH55+AH56</f>
      </c>
      <c r="AI57" s="22">
        <f>AI53+AI54+AI55+AI56</f>
      </c>
      <c r="AJ57" s="22">
        <f>AJ53+AJ54+AJ55+AJ56</f>
      </c>
      <c r="AK57" s="23"/>
    </row>
    <row r="59" ht="12.75" customHeight="1" spans="2:37" x14ac:dyDescent="0.25">
      <c r="B59" s="11" t="s">
        <v>46</v>
      </c>
      <c r="C59" s="12"/>
      <c r="D59" s="13"/>
      <c r="E59" s="14" t="s">
        <v>7</v>
      </c>
      <c r="F59" s="14" t="s">
        <v>8</v>
      </c>
      <c r="G59" s="14" t="s">
        <v>9</v>
      </c>
      <c r="H59" s="14" t="s">
        <v>10</v>
      </c>
      <c r="I59" s="14" t="s">
        <v>11</v>
      </c>
      <c r="J59" s="14" t="s">
        <v>12</v>
      </c>
      <c r="K59" s="14" t="s">
        <v>13</v>
      </c>
      <c r="L59" s="14" t="s">
        <v>14</v>
      </c>
      <c r="M59" s="14" t="s">
        <v>15</v>
      </c>
      <c r="N59" s="14" t="s">
        <v>16</v>
      </c>
      <c r="O59" s="14" t="s">
        <v>17</v>
      </c>
      <c r="P59" s="14" t="s">
        <v>18</v>
      </c>
      <c r="Q59" s="14" t="s">
        <v>19</v>
      </c>
      <c r="R59" s="14" t="s">
        <v>20</v>
      </c>
      <c r="S59" s="14" t="s">
        <v>21</v>
      </c>
      <c r="T59" s="14" t="s">
        <v>22</v>
      </c>
      <c r="U59" s="14" t="s">
        <v>23</v>
      </c>
      <c r="V59" s="14" t="s">
        <v>24</v>
      </c>
      <c r="W59" s="14" t="s">
        <v>25</v>
      </c>
      <c r="X59" s="14" t="s">
        <v>26</v>
      </c>
      <c r="Y59" s="14" t="s">
        <v>27</v>
      </c>
      <c r="Z59" s="14" t="s">
        <v>28</v>
      </c>
      <c r="AA59" s="14" t="s">
        <v>29</v>
      </c>
      <c r="AB59" s="14" t="s">
        <v>30</v>
      </c>
      <c r="AC59" s="14" t="s">
        <v>31</v>
      </c>
      <c r="AD59" s="14" t="s">
        <v>32</v>
      </c>
      <c r="AE59" s="14" t="s">
        <v>33</v>
      </c>
      <c r="AF59" s="14" t="s">
        <v>34</v>
      </c>
      <c r="AG59" s="14" t="s">
        <v>35</v>
      </c>
      <c r="AH59" s="14" t="s">
        <v>36</v>
      </c>
      <c r="AI59" s="14" t="s">
        <v>37</v>
      </c>
      <c r="AJ59" s="14" t="s">
        <v>38</v>
      </c>
      <c r="AK59" s="15"/>
    </row>
    <row r="60" ht="12.75" customHeight="1" spans="2:37" x14ac:dyDescent="0.25">
      <c r="B60" s="16" t="s">
        <v>41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</row>
    <row r="61" ht="12.75" customHeight="1" spans="2:37" x14ac:dyDescent="0.25">
      <c r="B61" s="16" t="s">
        <v>42</v>
      </c>
      <c r="C61" s="17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9"/>
    </row>
    <row r="62" ht="12.75" customHeight="1" spans="2:37" x14ac:dyDescent="0.25">
      <c r="B62" s="16" t="s">
        <v>43</v>
      </c>
      <c r="C62" s="17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9"/>
    </row>
    <row r="63" ht="12.75" customHeight="1" spans="2:37" x14ac:dyDescent="0.25">
      <c r="B63" s="16" t="s">
        <v>44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9"/>
    </row>
    <row r="64" ht="12.75" customHeight="1" spans="2:37" x14ac:dyDescent="0.25">
      <c r="B64" s="20" t="s">
        <v>45</v>
      </c>
      <c r="C64" s="21"/>
      <c r="D64" s="21"/>
      <c r="E64" s="22">
        <f>E60+E61+E62+E63</f>
      </c>
      <c r="F64" s="22">
        <f>F60+F61+F62+F63</f>
      </c>
      <c r="G64" s="22">
        <f>G60+G61+G62+G63</f>
      </c>
      <c r="H64" s="22">
        <f>H60+H61+H62+H63</f>
      </c>
      <c r="I64" s="22">
        <f>I60+I61+I62+I63</f>
      </c>
      <c r="J64" s="22">
        <f>J60+J61+J62+J63</f>
      </c>
      <c r="K64" s="22">
        <f>K60+K61+K62+K63</f>
      </c>
      <c r="L64" s="22">
        <f>L60+L61+L62+L63</f>
      </c>
      <c r="M64" s="22">
        <f>M60+M61+M62+M63</f>
      </c>
      <c r="N64" s="22">
        <f>N60+N61+N62+N63</f>
      </c>
      <c r="O64" s="22">
        <f>O60+O61+O62+O63</f>
      </c>
      <c r="P64" s="22">
        <f>P60+P61+P62+P63</f>
      </c>
      <c r="Q64" s="22">
        <f>Q60+Q61+Q62+Q63</f>
      </c>
      <c r="R64" s="22">
        <f>R60+R61+R62+R63</f>
      </c>
      <c r="S64" s="22">
        <f>S60+S61+S62+S63</f>
      </c>
      <c r="T64" s="22">
        <f>T60+T61+T62+T63</f>
      </c>
      <c r="U64" s="22">
        <f>U60+U61+U62+U63</f>
      </c>
      <c r="V64" s="22">
        <f>V60+V61+V62+V63</f>
      </c>
      <c r="W64" s="22">
        <f>W60+W61+W62+W63</f>
      </c>
      <c r="X64" s="22">
        <f>X60+X61+X62+X63</f>
      </c>
      <c r="Y64" s="22">
        <f>Y60+Y61+Y62+Y63</f>
      </c>
      <c r="Z64" s="22">
        <f>Z60+Z61+Z62+Z63</f>
      </c>
      <c r="AA64" s="22">
        <f>AA60+AA61+AA62+AA63</f>
      </c>
      <c r="AB64" s="22">
        <f>AB60+AB61+AB62+AB63</f>
      </c>
      <c r="AC64" s="22">
        <f>AC60+AC61+AC62+AC63</f>
      </c>
      <c r="AD64" s="22">
        <f>AD60+AD61+AD62+AD63</f>
      </c>
      <c r="AE64" s="22">
        <f>AE60+AE61+AE62+AE63</f>
      </c>
      <c r="AF64" s="22">
        <f>AF60+AF61+AF62+AF63</f>
      </c>
      <c r="AG64" s="22">
        <f>AG60+AG61+AG62+AG63</f>
      </c>
      <c r="AH64" s="22">
        <f>AH60+AH61+AH62+AH63</f>
      </c>
      <c r="AI64" s="22">
        <f>AI60+AI61+AI62+AI63</f>
      </c>
      <c r="AJ64" s="22">
        <f>AJ60+AJ61+AJ62+AJ63</f>
      </c>
      <c r="AK64" s="23"/>
    </row>
    <row r="66" ht="12.75" customHeight="1" spans="2:37" x14ac:dyDescent="0.25">
      <c r="B66" s="11" t="s">
        <v>47</v>
      </c>
      <c r="C66" s="12"/>
      <c r="D66" s="13"/>
      <c r="E66" s="14" t="s">
        <v>7</v>
      </c>
      <c r="F66" s="14" t="s">
        <v>8</v>
      </c>
      <c r="G66" s="14" t="s">
        <v>9</v>
      </c>
      <c r="H66" s="14" t="s">
        <v>10</v>
      </c>
      <c r="I66" s="14" t="s">
        <v>11</v>
      </c>
      <c r="J66" s="14" t="s">
        <v>12</v>
      </c>
      <c r="K66" s="14" t="s">
        <v>13</v>
      </c>
      <c r="L66" s="14" t="s">
        <v>14</v>
      </c>
      <c r="M66" s="14" t="s">
        <v>15</v>
      </c>
      <c r="N66" s="14" t="s">
        <v>16</v>
      </c>
      <c r="O66" s="14" t="s">
        <v>17</v>
      </c>
      <c r="P66" s="14" t="s">
        <v>18</v>
      </c>
      <c r="Q66" s="14" t="s">
        <v>19</v>
      </c>
      <c r="R66" s="14" t="s">
        <v>20</v>
      </c>
      <c r="S66" s="14" t="s">
        <v>21</v>
      </c>
      <c r="T66" s="14" t="s">
        <v>22</v>
      </c>
      <c r="U66" s="14" t="s">
        <v>23</v>
      </c>
      <c r="V66" s="14" t="s">
        <v>24</v>
      </c>
      <c r="W66" s="14" t="s">
        <v>25</v>
      </c>
      <c r="X66" s="14" t="s">
        <v>26</v>
      </c>
      <c r="Y66" s="14" t="s">
        <v>27</v>
      </c>
      <c r="Z66" s="14" t="s">
        <v>28</v>
      </c>
      <c r="AA66" s="14" t="s">
        <v>29</v>
      </c>
      <c r="AB66" s="14" t="s">
        <v>30</v>
      </c>
      <c r="AC66" s="14" t="s">
        <v>31</v>
      </c>
      <c r="AD66" s="14" t="s">
        <v>32</v>
      </c>
      <c r="AE66" s="14" t="s">
        <v>33</v>
      </c>
      <c r="AF66" s="14" t="s">
        <v>34</v>
      </c>
      <c r="AG66" s="14" t="s">
        <v>35</v>
      </c>
      <c r="AH66" s="14" t="s">
        <v>36</v>
      </c>
      <c r="AI66" s="14" t="s">
        <v>37</v>
      </c>
      <c r="AJ66" s="14" t="s">
        <v>38</v>
      </c>
      <c r="AK66" s="15"/>
    </row>
    <row r="67" ht="12.75" customHeight="1" spans="2:37" x14ac:dyDescent="0.25">
      <c r="B67" s="16" t="s">
        <v>41</v>
      </c>
      <c r="C67" s="17"/>
      <c r="D67" s="17"/>
      <c r="E67" s="24">
        <f>E60-E53</f>
      </c>
      <c r="F67" s="24">
        <f>F60-F53</f>
      </c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19"/>
    </row>
    <row r="68" ht="12.75" customHeight="1" spans="2:37" x14ac:dyDescent="0.25">
      <c r="B68" s="16" t="s">
        <v>42</v>
      </c>
      <c r="C68" s="17"/>
      <c r="D68" s="17"/>
      <c r="E68" s="24">
        <f>E61-E54</f>
      </c>
      <c r="F68" s="24">
        <f>F61-F54</f>
      </c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19"/>
    </row>
    <row r="69" ht="12.75" customHeight="1" spans="2:37" x14ac:dyDescent="0.25">
      <c r="B69" s="16" t="s">
        <v>43</v>
      </c>
      <c r="C69" s="17"/>
      <c r="D69" s="17"/>
      <c r="E69" s="24">
        <f>E62-E55</f>
      </c>
      <c r="F69" s="24">
        <f>F62-F55</f>
      </c>
      <c r="G69" s="24">
        <f>G62-G55</f>
      </c>
      <c r="H69" s="24">
        <f>H62-H55</f>
      </c>
      <c r="I69" s="24">
        <f>I62-I55</f>
      </c>
      <c r="J69" s="24">
        <f>J62-J55</f>
      </c>
      <c r="K69" s="24">
        <f>K62-K55</f>
      </c>
      <c r="L69" s="24">
        <f>L62-L55</f>
      </c>
      <c r="M69" s="24">
        <f>M62-M55</f>
      </c>
      <c r="N69" s="24">
        <f>N62-N55</f>
      </c>
      <c r="O69" s="24">
        <f>O62-O55</f>
      </c>
      <c r="P69" s="24">
        <f>P62-P55</f>
      </c>
      <c r="Q69" s="24">
        <f>Q62-Q55</f>
      </c>
      <c r="R69" s="24">
        <f>R62-R55</f>
      </c>
      <c r="S69" s="24">
        <f>S62-S55</f>
      </c>
      <c r="T69" s="24">
        <f>T62-T55</f>
      </c>
      <c r="U69" s="24">
        <f>U62-U55</f>
      </c>
      <c r="V69" s="24">
        <f>V62-V55</f>
      </c>
      <c r="W69" s="24">
        <f>W62-W55</f>
      </c>
      <c r="X69" s="24">
        <f>X62-X55</f>
      </c>
      <c r="Y69" s="24">
        <f>Y62-Y55</f>
      </c>
      <c r="Z69" s="24">
        <f>Z62-Z55</f>
      </c>
      <c r="AA69" s="24">
        <f>AA62-AA55</f>
      </c>
      <c r="AB69" s="24">
        <f>AB62-AB55</f>
      </c>
      <c r="AC69" s="24">
        <f>AC62-AC55</f>
      </c>
      <c r="AD69" s="24">
        <f>AD62-AD55</f>
      </c>
      <c r="AE69" s="24">
        <f>AE62-AE55</f>
      </c>
      <c r="AF69" s="24">
        <f>AF62-AF55</f>
      </c>
      <c r="AG69" s="24">
        <f>AG62-AG55</f>
      </c>
      <c r="AH69" s="24">
        <f>AH62-AH55</f>
      </c>
      <c r="AI69" s="24">
        <f>AI62-AI55</f>
      </c>
      <c r="AJ69" s="24">
        <f>AJ62-AJ55</f>
      </c>
      <c r="AK69" s="19"/>
    </row>
    <row r="70" ht="12.75" customHeight="1" spans="2:37" x14ac:dyDescent="0.25">
      <c r="B70" s="16" t="s">
        <v>44</v>
      </c>
      <c r="C70" s="17"/>
      <c r="D70" s="17"/>
      <c r="E70" s="24">
        <f>E63-E56</f>
      </c>
      <c r="F70" s="24">
        <f>F63-F56</f>
      </c>
      <c r="G70" s="24">
        <f>G63-G56</f>
      </c>
      <c r="H70" s="24">
        <f>H63-H56</f>
      </c>
      <c r="I70" s="24">
        <f>I63-I56</f>
      </c>
      <c r="J70" s="24">
        <f>J63-J56</f>
      </c>
      <c r="K70" s="24">
        <f>K63-K56</f>
      </c>
      <c r="L70" s="24">
        <f>L63-L56</f>
      </c>
      <c r="M70" s="24">
        <f>M63-M56</f>
      </c>
      <c r="N70" s="24">
        <f>N63-N56</f>
      </c>
      <c r="O70" s="24">
        <f>O63-O56</f>
      </c>
      <c r="P70" s="24">
        <f>P63-P56</f>
      </c>
      <c r="Q70" s="24">
        <f>Q63-Q56</f>
      </c>
      <c r="R70" s="24">
        <f>R63-R56</f>
      </c>
      <c r="S70" s="24">
        <f>S63-S56</f>
      </c>
      <c r="T70" s="24">
        <f>T63-T56</f>
      </c>
      <c r="U70" s="24">
        <f>U63-U56</f>
      </c>
      <c r="V70" s="24">
        <f>V63-V56</f>
      </c>
      <c r="W70" s="24">
        <f>W63-W56</f>
      </c>
      <c r="X70" s="24">
        <f>X63-X56</f>
      </c>
      <c r="Y70" s="24">
        <f>Y63-Y56</f>
      </c>
      <c r="Z70" s="24">
        <f>Z63-Z56</f>
      </c>
      <c r="AA70" s="24">
        <f>AA63-AA56</f>
      </c>
      <c r="AB70" s="24">
        <f>AB63-AB56</f>
      </c>
      <c r="AC70" s="24">
        <f>AC63-AC56</f>
      </c>
      <c r="AD70" s="24">
        <f>AD63-AD56</f>
      </c>
      <c r="AE70" s="24">
        <f>AE63-AE56</f>
      </c>
      <c r="AF70" s="24">
        <f>AF63-AF56</f>
      </c>
      <c r="AG70" s="24">
        <f>AG63-AG56</f>
      </c>
      <c r="AH70" s="24">
        <f>AH63-AH56</f>
      </c>
      <c r="AI70" s="24">
        <f>AI63-AI56</f>
      </c>
      <c r="AJ70" s="24">
        <f>AJ63-AJ56</f>
      </c>
      <c r="AK70" s="19"/>
    </row>
    <row r="71" ht="12.75" customHeight="1" spans="2:37" x14ac:dyDescent="0.25">
      <c r="B71" s="20" t="s">
        <v>45</v>
      </c>
      <c r="C71" s="21"/>
      <c r="D71" s="21"/>
      <c r="E71" s="25">
        <f>E67+E68+E69+E70</f>
      </c>
      <c r="F71" s="25">
        <f>F67+F68+F69+F70</f>
      </c>
      <c r="G71" s="25">
        <f>G67+G68+G69+G70</f>
      </c>
      <c r="H71" s="25">
        <f>H67+H68+H69+H70</f>
      </c>
      <c r="I71" s="25">
        <f>I67+I68+I69+I70</f>
      </c>
      <c r="J71" s="25">
        <f>J67+J68+J69+J70</f>
      </c>
      <c r="K71" s="25">
        <f>K67+K68+K69+K70</f>
      </c>
      <c r="L71" s="25">
        <f>L67+L68+L69+L70</f>
      </c>
      <c r="M71" s="25">
        <f>M67+M68+M69+M70</f>
      </c>
      <c r="N71" s="25">
        <f>N67+N68+N69+N70</f>
      </c>
      <c r="O71" s="25">
        <f>O67+O68+O69+O70</f>
      </c>
      <c r="P71" s="25">
        <f>P67+P68+P69+P70</f>
      </c>
      <c r="Q71" s="25">
        <f>Q67+Q68+Q69+Q70</f>
      </c>
      <c r="R71" s="25">
        <f>R67+R68+R69+R70</f>
      </c>
      <c r="S71" s="25">
        <f>S67+S68+S69+S70</f>
      </c>
      <c r="T71" s="25">
        <f>T67+T68+T69+T70</f>
      </c>
      <c r="U71" s="25">
        <f>U67+U68+U69+U70</f>
      </c>
      <c r="V71" s="25">
        <f>V67+V68+V69+V70</f>
      </c>
      <c r="W71" s="25">
        <f>W67+W68+W69+W70</f>
      </c>
      <c r="X71" s="25">
        <f>X67+X68+X69+X70</f>
      </c>
      <c r="Y71" s="25">
        <f>Y67+Y68+Y69+Y70</f>
      </c>
      <c r="Z71" s="25">
        <f>Z67+Z68+Z69+Z70</f>
      </c>
      <c r="AA71" s="25">
        <f>AA67+AA68+AA69+AA70</f>
      </c>
      <c r="AB71" s="25">
        <f>AB67+AB68+AB69+AB70</f>
      </c>
      <c r="AC71" s="25">
        <f>AC67+AC68+AC69+AC70</f>
      </c>
      <c r="AD71" s="25">
        <f>AD67+AD68+AD69+AD70</f>
      </c>
      <c r="AE71" s="25">
        <f>AE67+AE68+AE69+AE70</f>
      </c>
      <c r="AF71" s="25">
        <f>AF67+AF68+AF69+AF70</f>
      </c>
      <c r="AG71" s="25">
        <f>AG67+AG68+AG69+AG70</f>
      </c>
      <c r="AH71" s="25">
        <f>AH67+AH68+AH69+AH70</f>
      </c>
      <c r="AI71" s="25">
        <f>AI67+AI68+AI69+AI70</f>
      </c>
      <c r="AJ71" s="25">
        <f>AJ67+AJ68+AJ69+AJ70</f>
      </c>
      <c r="AK7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7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1364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3</v>
      </c>
      <c r="K8" s="44" t="s">
        <v>1392</v>
      </c>
      <c r="L8" s="44" t="s">
        <v>1393</v>
      </c>
      <c r="M8" s="44" t="s">
        <v>1394</v>
      </c>
      <c r="N8" s="44" t="s">
        <v>1395</v>
      </c>
      <c r="O8" s="44" t="s">
        <v>1396</v>
      </c>
      <c r="P8" s="44" t="s">
        <v>1397</v>
      </c>
      <c r="Q8" s="44" t="s">
        <v>1398</v>
      </c>
      <c r="R8" s="44" t="s">
        <v>1399</v>
      </c>
      <c r="S8" s="44" t="s">
        <v>1400</v>
      </c>
      <c r="T8" s="44" t="s">
        <v>1401</v>
      </c>
      <c r="U8" s="44" t="s">
        <v>225</v>
      </c>
      <c r="V8" s="44" t="s">
        <v>1402</v>
      </c>
      <c r="W8" s="44" t="s">
        <v>1403</v>
      </c>
      <c r="X8" s="44" t="s">
        <v>1404</v>
      </c>
      <c r="Y8" s="44" t="s">
        <v>1405</v>
      </c>
      <c r="Z8" s="44" t="s">
        <v>1406</v>
      </c>
      <c r="AA8" s="44" t="s">
        <v>1407</v>
      </c>
      <c r="AB8" s="44" t="s">
        <v>1408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1364</v>
      </c>
      <c r="D14" s="50" t="s">
        <v>42</v>
      </c>
      <c r="E14" s="32" t="s">
        <v>3</v>
      </c>
      <c r="F14" s="32" t="s">
        <v>1365</v>
      </c>
      <c r="G14" s="32"/>
      <c r="H14" s="32"/>
      <c r="I14" s="32"/>
      <c r="J14" s="32"/>
      <c r="K14" s="33">
        <v>29.08</v>
      </c>
      <c r="L14" s="33">
        <v>30.73</v>
      </c>
      <c r="M14" s="33">
        <v>32.32</v>
      </c>
      <c r="N14" s="33">
        <v>31.36</v>
      </c>
      <c r="O14" s="33">
        <v>43.11</v>
      </c>
      <c r="P14" s="33">
        <v>57.7</v>
      </c>
      <c r="Q14" s="33">
        <v>56.57</v>
      </c>
      <c r="R14" s="33">
        <v>51.72</v>
      </c>
      <c r="S14" s="33">
        <v>52.01</v>
      </c>
      <c r="T14" s="33">
        <v>76.98</v>
      </c>
      <c r="U14" s="33">
        <v>31.18</v>
      </c>
      <c r="V14" s="33">
        <v>31.44</v>
      </c>
      <c r="W14" s="33">
        <v>29.09</v>
      </c>
      <c r="X14" s="33">
        <v>59.32</v>
      </c>
      <c r="Y14" s="33">
        <v>29.52</v>
      </c>
      <c r="Z14" s="33">
        <v>33.27</v>
      </c>
      <c r="AA14" s="33">
        <f>0.00+42.93</f>
        <v>42.93</v>
      </c>
      <c r="AB14" s="33">
        <v>66.3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1364</v>
      </c>
      <c r="D15" s="50" t="s">
        <v>42</v>
      </c>
      <c r="E15" s="32" t="s">
        <v>3</v>
      </c>
      <c r="F15" s="32" t="s">
        <v>1366</v>
      </c>
      <c r="G15" s="33">
        <v>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3">
        <v>0</v>
      </c>
      <c r="T15" s="33">
        <v>34.31</v>
      </c>
      <c r="U15" s="33">
        <v>38.65</v>
      </c>
      <c r="V15" s="33">
        <v>30.49</v>
      </c>
      <c r="W15" s="33">
        <v>28.83</v>
      </c>
      <c r="X15" s="33">
        <v>31.18</v>
      </c>
      <c r="Y15" s="33">
        <v>29.83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1364</v>
      </c>
      <c r="D16" s="50" t="s">
        <v>42</v>
      </c>
      <c r="E16" s="32" t="s">
        <v>3</v>
      </c>
      <c r="F16" s="32" t="s">
        <v>1367</v>
      </c>
      <c r="G16" s="32"/>
      <c r="H16" s="32"/>
      <c r="I16" s="32"/>
      <c r="J16" s="32"/>
      <c r="K16" s="33">
        <v>31.73</v>
      </c>
      <c r="L16" s="33">
        <v>36.68</v>
      </c>
      <c r="M16" s="33">
        <v>39.57</v>
      </c>
      <c r="N16" s="33">
        <v>35.15</v>
      </c>
      <c r="O16" s="33">
        <v>51.23</v>
      </c>
      <c r="P16" s="33">
        <v>37.86</v>
      </c>
      <c r="Q16" s="33">
        <v>41.82</v>
      </c>
      <c r="R16" s="33">
        <v>41.42</v>
      </c>
      <c r="S16" s="33">
        <v>49.74</v>
      </c>
      <c r="T16" s="33">
        <v>39.71</v>
      </c>
      <c r="U16" s="33">
        <v>46.41</v>
      </c>
      <c r="V16" s="33">
        <v>34.63</v>
      </c>
      <c r="W16" s="33">
        <v>38.31</v>
      </c>
      <c r="X16" s="33">
        <v>38.43</v>
      </c>
      <c r="Y16" s="33">
        <v>36.26</v>
      </c>
      <c r="Z16" s="33">
        <v>36.5</v>
      </c>
      <c r="AA16" s="33">
        <v>41.99</v>
      </c>
      <c r="AB16" s="33">
        <f>47.89+0.00</f>
        <v>47.89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1364</v>
      </c>
      <c r="D17" s="50" t="s">
        <v>42</v>
      </c>
      <c r="E17" s="32" t="s">
        <v>3</v>
      </c>
      <c r="F17" s="32" t="s">
        <v>1368</v>
      </c>
      <c r="G17" s="32"/>
      <c r="H17" s="32"/>
      <c r="I17" s="32"/>
      <c r="J17" s="32"/>
      <c r="K17" s="33">
        <v>144.47</v>
      </c>
      <c r="L17" s="33">
        <v>140.77</v>
      </c>
      <c r="M17" s="33">
        <v>114.68</v>
      </c>
      <c r="N17" s="33">
        <v>35.15</v>
      </c>
      <c r="O17" s="33">
        <v>37.24</v>
      </c>
      <c r="P17" s="33">
        <v>32.28</v>
      </c>
      <c r="Q17" s="33">
        <v>35.61</v>
      </c>
      <c r="R17" s="33">
        <v>43.13</v>
      </c>
      <c r="S17" s="33">
        <v>32.28</v>
      </c>
      <c r="T17" s="33">
        <v>30.2</v>
      </c>
      <c r="U17" s="33">
        <v>29.36</v>
      </c>
      <c r="V17" s="33">
        <v>29.23</v>
      </c>
      <c r="W17" s="33">
        <v>29.84</v>
      </c>
      <c r="X17" s="33">
        <v>31.91</v>
      </c>
      <c r="Y17" s="33">
        <v>41.31</v>
      </c>
      <c r="Z17" s="33">
        <v>45.16</v>
      </c>
      <c r="AA17" s="33">
        <v>49.79</v>
      </c>
      <c r="AB17" s="33">
        <f>0.00+42.82</f>
        <v>42.82</v>
      </c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1364</v>
      </c>
      <c r="D18" s="50" t="s">
        <v>42</v>
      </c>
      <c r="E18" s="32" t="s">
        <v>3</v>
      </c>
      <c r="F18" s="32" t="s">
        <v>1369</v>
      </c>
      <c r="G18" s="32"/>
      <c r="H18" s="32"/>
      <c r="I18" s="32"/>
      <c r="J18" s="32"/>
      <c r="K18" s="33">
        <v>30.03</v>
      </c>
      <c r="L18" s="33">
        <v>29.67</v>
      </c>
      <c r="M18" s="33">
        <v>29.84</v>
      </c>
      <c r="N18" s="33">
        <v>29.53</v>
      </c>
      <c r="O18" s="33">
        <v>32.94</v>
      </c>
      <c r="P18" s="33">
        <v>42.43</v>
      </c>
      <c r="Q18" s="33">
        <v>45.11</v>
      </c>
      <c r="R18" s="33">
        <v>48.65</v>
      </c>
      <c r="S18" s="33">
        <f>50.01+0.00</f>
        <v>50.01</v>
      </c>
      <c r="T18" s="33">
        <v>32.81</v>
      </c>
      <c r="U18" s="33">
        <v>30.72</v>
      </c>
      <c r="V18" s="33">
        <v>9.07</v>
      </c>
      <c r="W18" s="33">
        <v>29.29</v>
      </c>
      <c r="X18" s="33">
        <v>30.53</v>
      </c>
      <c r="Y18" s="33">
        <v>29.77</v>
      </c>
      <c r="Z18" s="33">
        <v>31.96</v>
      </c>
      <c r="AA18" s="33">
        <v>34.53</v>
      </c>
      <c r="AB18" s="33">
        <v>45.54</v>
      </c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1364</v>
      </c>
      <c r="D19" s="50" t="s">
        <v>42</v>
      </c>
      <c r="E19" s="32" t="s">
        <v>3</v>
      </c>
      <c r="F19" s="32" t="s">
        <v>1370</v>
      </c>
      <c r="G19" s="32"/>
      <c r="H19" s="32"/>
      <c r="I19" s="32"/>
      <c r="J19" s="32"/>
      <c r="K19" s="33">
        <v>440.88</v>
      </c>
      <c r="L19" s="33">
        <v>620.76</v>
      </c>
      <c r="M19" s="33">
        <v>794.19</v>
      </c>
      <c r="N19" s="33">
        <v>634.1</v>
      </c>
      <c r="O19" s="33">
        <v>597.88</v>
      </c>
      <c r="P19" s="33">
        <v>639.04</v>
      </c>
      <c r="Q19" s="33">
        <v>661.02</v>
      </c>
      <c r="R19" s="33">
        <v>662.45</v>
      </c>
      <c r="S19" s="33">
        <v>712.49</v>
      </c>
      <c r="T19" s="33">
        <v>634.72</v>
      </c>
      <c r="U19" s="33">
        <v>450.18</v>
      </c>
      <c r="V19" s="33">
        <v>551.13</v>
      </c>
      <c r="W19" s="33">
        <v>524.79</v>
      </c>
      <c r="X19" s="33">
        <v>619.18</v>
      </c>
      <c r="Y19" s="33">
        <v>726.82</v>
      </c>
      <c r="Z19" s="33">
        <v>699.38</v>
      </c>
      <c r="AA19" s="33">
        <v>730.65</v>
      </c>
      <c r="AB19" s="33">
        <f>0.00+529.04</f>
        <v>529.04</v>
      </c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1364</v>
      </c>
      <c r="D20" s="50" t="s">
        <v>42</v>
      </c>
      <c r="E20" s="32" t="s">
        <v>3</v>
      </c>
      <c r="F20" s="32" t="s">
        <v>1371</v>
      </c>
      <c r="G20" s="32"/>
      <c r="H20" s="32"/>
      <c r="I20" s="32"/>
      <c r="J20" s="32"/>
      <c r="K20" s="33">
        <v>35.4</v>
      </c>
      <c r="L20" s="33">
        <v>33.5</v>
      </c>
      <c r="M20" s="33">
        <v>33.1</v>
      </c>
      <c r="N20" s="33">
        <v>33.14</v>
      </c>
      <c r="O20" s="33">
        <v>31.95</v>
      </c>
      <c r="P20" s="33">
        <v>32.04</v>
      </c>
      <c r="Q20" s="33">
        <v>32.01</v>
      </c>
      <c r="R20" s="33">
        <v>31.66</v>
      </c>
      <c r="S20" s="33">
        <v>32.49</v>
      </c>
      <c r="T20" s="33">
        <v>32.35</v>
      </c>
      <c r="U20" s="33">
        <v>32.19</v>
      </c>
      <c r="V20" s="33">
        <v>33.28</v>
      </c>
      <c r="W20" s="33">
        <v>34.7</v>
      </c>
      <c r="X20" s="33">
        <v>35.14</v>
      </c>
      <c r="Y20" s="33">
        <v>33.63</v>
      </c>
      <c r="Z20" s="33">
        <v>33.37</v>
      </c>
      <c r="AA20" s="33">
        <v>33.45</v>
      </c>
      <c r="AB20" s="33">
        <f>0.00+33.70</f>
        <v>33.7</v>
      </c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1364</v>
      </c>
      <c r="D21" s="50" t="s">
        <v>42</v>
      </c>
      <c r="E21" s="32" t="s">
        <v>3</v>
      </c>
      <c r="F21" s="32" t="s">
        <v>1372</v>
      </c>
      <c r="G21" s="33">
        <f>0.00+0.00</f>
        <v>0</v>
      </c>
      <c r="H21" s="32"/>
      <c r="I21" s="32"/>
      <c r="J21" s="32"/>
      <c r="K21" s="32"/>
      <c r="L21" s="33">
        <v>0</v>
      </c>
      <c r="M21" s="33">
        <v>31.06</v>
      </c>
      <c r="N21" s="33">
        <v>30.08</v>
      </c>
      <c r="O21" s="33">
        <v>33.4</v>
      </c>
      <c r="P21" s="33">
        <v>41.11</v>
      </c>
      <c r="Q21" s="33">
        <v>41.9</v>
      </c>
      <c r="R21" s="33">
        <v>41.07</v>
      </c>
      <c r="S21" s="33">
        <v>43.22</v>
      </c>
      <c r="T21" s="33">
        <v>34.75</v>
      </c>
      <c r="U21" s="33">
        <v>32.18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1364</v>
      </c>
      <c r="D22" s="50" t="s">
        <v>42</v>
      </c>
      <c r="E22" s="32" t="s">
        <v>3</v>
      </c>
      <c r="F22" s="32" t="s">
        <v>1373</v>
      </c>
      <c r="G22" s="32"/>
      <c r="H22" s="32"/>
      <c r="I22" s="32"/>
      <c r="J22" s="32"/>
      <c r="K22" s="33">
        <v>764.12</v>
      </c>
      <c r="L22" s="33">
        <v>818.35</v>
      </c>
      <c r="M22" s="33">
        <v>729.88</v>
      </c>
      <c r="N22" s="33">
        <v>579.3</v>
      </c>
      <c r="O22" s="33">
        <v>346.9</v>
      </c>
      <c r="P22" s="33">
        <v>258.61</v>
      </c>
      <c r="Q22" s="33">
        <v>258.1</v>
      </c>
      <c r="R22" s="33">
        <v>248.73</v>
      </c>
      <c r="S22" s="33">
        <v>307.82</v>
      </c>
      <c r="T22" s="33">
        <v>309.32</v>
      </c>
      <c r="U22" s="33">
        <v>417.83</v>
      </c>
      <c r="V22" s="33">
        <v>707.39</v>
      </c>
      <c r="W22" s="33">
        <v>760.28</v>
      </c>
      <c r="X22" s="33">
        <v>744.73</v>
      </c>
      <c r="Y22" s="33">
        <v>593.64</v>
      </c>
      <c r="Z22" s="33">
        <v>490.9</v>
      </c>
      <c r="AA22" s="33">
        <v>437.9</v>
      </c>
      <c r="AB22" s="33">
        <f>0.00+364.27</f>
        <v>364.27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1364</v>
      </c>
      <c r="D23" s="50" t="s">
        <v>42</v>
      </c>
      <c r="E23" s="32" t="s">
        <v>3</v>
      </c>
      <c r="F23" s="32" t="s">
        <v>1374</v>
      </c>
      <c r="G23" s="32"/>
      <c r="H23" s="32"/>
      <c r="I23" s="32"/>
      <c r="J23" s="32"/>
      <c r="K23" s="33">
        <v>21.7</v>
      </c>
      <c r="L23" s="33">
        <v>21.77</v>
      </c>
      <c r="M23" s="33">
        <v>21.77</v>
      </c>
      <c r="N23" s="33">
        <v>20.13</v>
      </c>
      <c r="O23" s="33">
        <v>19.38</v>
      </c>
      <c r="P23" s="33">
        <v>19.38</v>
      </c>
      <c r="Q23" s="33">
        <v>19.38</v>
      </c>
      <c r="R23" s="33">
        <v>18.74</v>
      </c>
      <c r="S23" s="33">
        <v>19.38</v>
      </c>
      <c r="T23" s="33">
        <v>19.38</v>
      </c>
      <c r="U23" s="33">
        <v>19.38</v>
      </c>
      <c r="V23" s="33">
        <v>19.38</v>
      </c>
      <c r="W23" s="33">
        <v>24.36</v>
      </c>
      <c r="X23" s="33">
        <v>24.43</v>
      </c>
      <c r="Y23" s="33">
        <v>24.43</v>
      </c>
      <c r="Z23" s="33">
        <v>24.43</v>
      </c>
      <c r="AA23" s="33">
        <v>24.43</v>
      </c>
      <c r="AB23" s="33">
        <f>24.43+0.00</f>
        <v>24.43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1364</v>
      </c>
      <c r="D24" s="50" t="s">
        <v>42</v>
      </c>
      <c r="E24" s="32" t="s">
        <v>3</v>
      </c>
      <c r="F24" s="32" t="s">
        <v>1375</v>
      </c>
      <c r="G24" s="32"/>
      <c r="H24" s="32"/>
      <c r="I24" s="32"/>
      <c r="J24" s="32"/>
      <c r="K24" s="33">
        <v>48.86</v>
      </c>
      <c r="L24" s="33">
        <v>72.63</v>
      </c>
      <c r="M24" s="33">
        <v>31.48</v>
      </c>
      <c r="N24" s="33">
        <v>30.82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1364</v>
      </c>
      <c r="D25" s="50" t="s">
        <v>42</v>
      </c>
      <c r="E25" s="32" t="s">
        <v>3</v>
      </c>
      <c r="F25" s="32" t="s">
        <v>1376</v>
      </c>
      <c r="G25" s="32"/>
      <c r="H25" s="32"/>
      <c r="I25" s="32"/>
      <c r="J25" s="32"/>
      <c r="K25" s="33">
        <v>33.23</v>
      </c>
      <c r="L25" s="33">
        <v>33.09</v>
      </c>
      <c r="M25" s="33">
        <v>33.21</v>
      </c>
      <c r="N25" s="33">
        <v>34.86</v>
      </c>
      <c r="O25" s="33">
        <v>43.16</v>
      </c>
      <c r="P25" s="33">
        <v>49.45</v>
      </c>
      <c r="Q25" s="33">
        <v>52.01</v>
      </c>
      <c r="R25" s="33">
        <v>49.25</v>
      </c>
      <c r="S25" s="33">
        <f>50.92+0.00</f>
        <v>50.92</v>
      </c>
      <c r="T25" s="33">
        <f>40.22+34.46</f>
        <v>74.68</v>
      </c>
      <c r="U25" s="32"/>
      <c r="V25" s="33">
        <v>32.67</v>
      </c>
      <c r="W25" s="33">
        <v>33.12</v>
      </c>
      <c r="X25" s="33">
        <v>33.81</v>
      </c>
      <c r="Y25" s="33">
        <v>33.26</v>
      </c>
      <c r="Z25" s="33">
        <v>35.86</v>
      </c>
      <c r="AA25" s="33">
        <v>43.15</v>
      </c>
      <c r="AB25" s="33">
        <v>63.51</v>
      </c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1364</v>
      </c>
      <c r="D26" s="50" t="s">
        <v>42</v>
      </c>
      <c r="E26" s="32" t="s">
        <v>3</v>
      </c>
      <c r="F26" s="32" t="s">
        <v>1377</v>
      </c>
      <c r="G26" s="32"/>
      <c r="H26" s="32"/>
      <c r="I26" s="32"/>
      <c r="J26" s="32"/>
      <c r="K26" s="33">
        <v>30.18</v>
      </c>
      <c r="L26" s="33">
        <v>29.57</v>
      </c>
      <c r="M26" s="33">
        <v>29.62</v>
      </c>
      <c r="N26" s="33">
        <v>29.25</v>
      </c>
      <c r="O26" s="33">
        <v>31.3</v>
      </c>
      <c r="P26" s="33">
        <v>34.31</v>
      </c>
      <c r="Q26" s="33">
        <v>32.71</v>
      </c>
      <c r="R26" s="33">
        <v>32.34</v>
      </c>
      <c r="S26" s="33">
        <v>38.54</v>
      </c>
      <c r="T26" s="33">
        <v>39.32</v>
      </c>
      <c r="U26" s="33">
        <v>33.41</v>
      </c>
      <c r="V26" s="33">
        <v>25.66</v>
      </c>
      <c r="W26" s="33">
        <v>26.68</v>
      </c>
      <c r="X26" s="33">
        <v>27.99</v>
      </c>
      <c r="Y26" s="33">
        <v>27.44</v>
      </c>
      <c r="Z26" s="33">
        <v>28.46</v>
      </c>
      <c r="AA26" s="33">
        <v>38.93</v>
      </c>
      <c r="AB26" s="33">
        <v>51.12</v>
      </c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1364</v>
      </c>
      <c r="D27" s="50" t="s">
        <v>42</v>
      </c>
      <c r="E27" s="32" t="s">
        <v>3</v>
      </c>
      <c r="F27" s="32" t="s">
        <v>1378</v>
      </c>
      <c r="G27" s="32"/>
      <c r="H27" s="32"/>
      <c r="I27" s="32"/>
      <c r="J27" s="32"/>
      <c r="K27" s="33">
        <v>30.93</v>
      </c>
      <c r="L27" s="33">
        <v>30.04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1364</v>
      </c>
      <c r="D28" s="50" t="s">
        <v>42</v>
      </c>
      <c r="E28" s="32" t="s">
        <v>3</v>
      </c>
      <c r="F28" s="32" t="s">
        <v>1379</v>
      </c>
      <c r="G28" s="32"/>
      <c r="H28" s="32"/>
      <c r="I28" s="32"/>
      <c r="J28" s="32"/>
      <c r="K28" s="33">
        <v>140.71</v>
      </c>
      <c r="L28" s="33">
        <v>128.99</v>
      </c>
      <c r="M28" s="33">
        <v>131.88</v>
      </c>
      <c r="N28" s="33">
        <v>122.54</v>
      </c>
      <c r="O28" s="33">
        <v>115.1</v>
      </c>
      <c r="P28" s="33">
        <v>118.33</v>
      </c>
      <c r="Q28" s="33">
        <v>109.16</v>
      </c>
      <c r="R28" s="33">
        <v>100.68</v>
      </c>
      <c r="S28" s="33">
        <v>126.4</v>
      </c>
      <c r="T28" s="33">
        <v>114</v>
      </c>
      <c r="U28" s="33">
        <v>110.27</v>
      </c>
      <c r="V28" s="33">
        <v>120.56</v>
      </c>
      <c r="W28" s="33">
        <v>126.65</v>
      </c>
      <c r="X28" s="33">
        <v>96.79</v>
      </c>
      <c r="Y28" s="33">
        <v>81.2</v>
      </c>
      <c r="Z28" s="33">
        <v>122.74</v>
      </c>
      <c r="AA28" s="33">
        <v>134.61</v>
      </c>
      <c r="AB28" s="33">
        <f>130.78+0.00</f>
        <v>130.78</v>
      </c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1364</v>
      </c>
      <c r="D29" s="50" t="s">
        <v>42</v>
      </c>
      <c r="E29" s="32" t="s">
        <v>3</v>
      </c>
      <c r="F29" s="32" t="s">
        <v>1380</v>
      </c>
      <c r="G29" s="32"/>
      <c r="H29" s="32"/>
      <c r="I29" s="32"/>
      <c r="J29" s="32"/>
      <c r="K29" s="33">
        <v>58.58</v>
      </c>
      <c r="L29" s="33">
        <v>49.7</v>
      </c>
      <c r="M29" s="33">
        <v>49.41</v>
      </c>
      <c r="N29" s="33">
        <v>43.94</v>
      </c>
      <c r="O29" s="33">
        <v>40.82</v>
      </c>
      <c r="P29" s="33">
        <v>33.23</v>
      </c>
      <c r="Q29" s="33">
        <v>31.34</v>
      </c>
      <c r="R29" s="33">
        <v>30.68</v>
      </c>
      <c r="S29" s="33">
        <v>30.55</v>
      </c>
      <c r="T29" s="33">
        <v>30.6</v>
      </c>
      <c r="U29" s="33">
        <v>31.77</v>
      </c>
      <c r="V29" s="33">
        <v>31.88</v>
      </c>
      <c r="W29" s="33">
        <v>31.58</v>
      </c>
      <c r="X29" s="33">
        <v>32.06</v>
      </c>
      <c r="Y29" s="33">
        <v>30.71</v>
      </c>
      <c r="Z29" s="33">
        <v>30.38</v>
      </c>
      <c r="AA29" s="33">
        <v>30.22</v>
      </c>
      <c r="AB29" s="33">
        <f>0.00+30.27</f>
        <v>30.27</v>
      </c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1364</v>
      </c>
      <c r="D30" s="50" t="s">
        <v>42</v>
      </c>
      <c r="E30" s="32" t="s">
        <v>3</v>
      </c>
      <c r="F30" s="32" t="s">
        <v>1381</v>
      </c>
      <c r="G30" s="32"/>
      <c r="H30" s="32"/>
      <c r="I30" s="32"/>
      <c r="J30" s="32"/>
      <c r="K30" s="33">
        <v>29.22</v>
      </c>
      <c r="L30" s="33">
        <v>30.09</v>
      </c>
      <c r="M30" s="33">
        <v>33.51</v>
      </c>
      <c r="N30" s="33">
        <v>33.2</v>
      </c>
      <c r="O30" s="33">
        <v>46.57</v>
      </c>
      <c r="P30" s="33">
        <v>62.15</v>
      </c>
      <c r="Q30" s="33">
        <v>63.82</v>
      </c>
      <c r="R30" s="33">
        <v>61.05</v>
      </c>
      <c r="S30" s="33">
        <v>64.72</v>
      </c>
      <c r="T30" s="33">
        <v>45.89</v>
      </c>
      <c r="U30" s="33">
        <v>32.97</v>
      </c>
      <c r="V30" s="33">
        <v>28.97</v>
      </c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1364</v>
      </c>
      <c r="D31" s="50" t="s">
        <v>42</v>
      </c>
      <c r="E31" s="32" t="s">
        <v>3</v>
      </c>
      <c r="F31" s="32" t="s">
        <v>1382</v>
      </c>
      <c r="G31" s="32"/>
      <c r="H31" s="32"/>
      <c r="I31" s="32"/>
      <c r="J31" s="32"/>
      <c r="K31" s="33">
        <v>29.22</v>
      </c>
      <c r="L31" s="33">
        <v>29.09</v>
      </c>
      <c r="M31" s="33">
        <v>31.24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1364</v>
      </c>
      <c r="D32" s="50" t="s">
        <v>42</v>
      </c>
      <c r="E32" s="32" t="s">
        <v>3</v>
      </c>
      <c r="F32" s="32" t="s">
        <v>1383</v>
      </c>
      <c r="G32" s="32"/>
      <c r="H32" s="32"/>
      <c r="I32" s="32"/>
      <c r="J32" s="32"/>
      <c r="K32" s="33">
        <v>29.7</v>
      </c>
      <c r="L32" s="33">
        <v>29.36</v>
      </c>
      <c r="M32" s="33">
        <v>32.19</v>
      </c>
      <c r="N32" s="33">
        <v>32.79</v>
      </c>
      <c r="O32" s="33">
        <v>39.75</v>
      </c>
      <c r="P32" s="33">
        <v>49.13</v>
      </c>
      <c r="Q32" s="33">
        <v>49.79</v>
      </c>
      <c r="R32" s="33">
        <v>48.09</v>
      </c>
      <c r="S32" s="33">
        <v>50.13</v>
      </c>
      <c r="T32" s="33">
        <v>35.97</v>
      </c>
      <c r="U32" s="33">
        <v>30.27</v>
      </c>
      <c r="V32" s="33">
        <v>28.69</v>
      </c>
      <c r="W32" s="33">
        <v>29.23</v>
      </c>
      <c r="X32" s="33">
        <v>32.55</v>
      </c>
      <c r="Y32" s="33">
        <v>31.75</v>
      </c>
      <c r="Z32" s="33">
        <v>31.96</v>
      </c>
      <c r="AA32" s="33">
        <f>0.00+37.69</f>
        <v>37.69</v>
      </c>
      <c r="AB32" s="33">
        <v>54.5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1364</v>
      </c>
      <c r="D33" s="50" t="s">
        <v>42</v>
      </c>
      <c r="E33" s="32" t="s">
        <v>3</v>
      </c>
      <c r="F33" s="32" t="s">
        <v>1384</v>
      </c>
      <c r="G33" s="32"/>
      <c r="H33" s="32"/>
      <c r="I33" s="32"/>
      <c r="J33" s="32"/>
      <c r="K33" s="33">
        <v>30.3</v>
      </c>
      <c r="L33" s="33">
        <v>31.57</v>
      </c>
      <c r="M33" s="33">
        <v>29.78</v>
      </c>
      <c r="N33" s="33">
        <v>29.07</v>
      </c>
      <c r="O33" s="33">
        <v>28.65</v>
      </c>
      <c r="P33" s="33">
        <v>28.99</v>
      </c>
      <c r="Q33" s="33">
        <v>29.04</v>
      </c>
      <c r="R33" s="33">
        <v>28.67</v>
      </c>
      <c r="S33" s="33">
        <f>29.14+0.00</f>
        <v>29.14</v>
      </c>
      <c r="T33" s="33">
        <v>44.23</v>
      </c>
      <c r="U33" s="33">
        <v>32.94</v>
      </c>
      <c r="V33" s="33">
        <v>29.33</v>
      </c>
      <c r="W33" s="33">
        <v>29.87</v>
      </c>
      <c r="X33" s="33">
        <v>34.49</v>
      </c>
      <c r="Y33" s="33">
        <v>32.67</v>
      </c>
      <c r="Z33" s="33">
        <v>33.94</v>
      </c>
      <c r="AA33" s="33">
        <v>39.57</v>
      </c>
      <c r="AB33" s="33">
        <v>56.83</v>
      </c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1364</v>
      </c>
      <c r="D34" s="50" t="s">
        <v>42</v>
      </c>
      <c r="E34" s="32" t="s">
        <v>3</v>
      </c>
      <c r="F34" s="32" t="s">
        <v>1385</v>
      </c>
      <c r="G34" s="32"/>
      <c r="H34" s="32"/>
      <c r="I34" s="32"/>
      <c r="J34" s="32"/>
      <c r="K34" s="33">
        <v>100.06</v>
      </c>
      <c r="L34" s="33">
        <v>52.91</v>
      </c>
      <c r="M34" s="33">
        <v>37.03</v>
      </c>
      <c r="N34" s="33">
        <v>37.2</v>
      </c>
      <c r="O34" s="33">
        <v>33.63</v>
      </c>
      <c r="P34" s="33">
        <v>34.23</v>
      </c>
      <c r="Q34" s="33">
        <v>34.72</v>
      </c>
      <c r="R34" s="33">
        <v>35.79</v>
      </c>
      <c r="S34" s="33">
        <v>52.23</v>
      </c>
      <c r="T34" s="33">
        <v>34.9</v>
      </c>
      <c r="U34" s="33">
        <v>97.89</v>
      </c>
      <c r="V34" s="33">
        <v>272.47</v>
      </c>
      <c r="W34" s="33">
        <v>169.22</v>
      </c>
      <c r="X34" s="33">
        <v>187.5</v>
  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1364</v>
      </c>
      <c r="D35" s="50" t="s">
        <v>42</v>
      </c>
      <c r="E35" s="32" t="s">
        <v>3</v>
      </c>
      <c r="F35" s="32" t="s">
        <v>1386</v>
      </c>
      <c r="G35" s="32"/>
      <c r="H35" s="32"/>
      <c r="I35" s="32"/>
      <c r="J35" s="32"/>
      <c r="K35" s="32"/>
      <c r="L35" s="32"/>
      <c r="M35" s="33">
        <v>0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1364</v>
      </c>
      <c r="D36" s="50" t="s">
        <v>42</v>
      </c>
      <c r="E36" s="32" t="s">
        <v>3</v>
      </c>
      <c r="F36" s="32" t="s">
        <v>1387</v>
      </c>
      <c r="G36" s="32"/>
      <c r="H36" s="32"/>
      <c r="I36" s="32"/>
      <c r="J36" s="32"/>
      <c r="K36" s="32"/>
      <c r="L36" s="32"/>
      <c r="M36" s="33">
        <f>0.00+4.99</f>
        <v>4.99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1364</v>
      </c>
      <c r="D37" s="50" t="s">
        <v>42</v>
      </c>
      <c r="E37" s="32" t="s">
        <v>3</v>
      </c>
      <c r="F37" s="32" t="s">
        <v>1388</v>
      </c>
      <c r="G37" s="32"/>
      <c r="H37" s="32"/>
      <c r="I37" s="32"/>
      <c r="J37" s="32"/>
      <c r="K37" s="33">
        <v>31.26</v>
      </c>
      <c r="L37" s="33">
        <v>29.31</v>
      </c>
      <c r="M37" s="33">
        <v>30.94</v>
      </c>
      <c r="N37" s="33">
        <v>30.79</v>
      </c>
      <c r="O37" s="33">
        <v>41.21</v>
      </c>
      <c r="P37" s="33">
        <v>58.82</v>
      </c>
      <c r="Q37" s="33">
        <v>59.71</v>
      </c>
      <c r="R37" s="33">
        <v>56.53</v>
      </c>
      <c r="S37" s="33">
        <v>57.37</v>
      </c>
      <c r="T37" s="33">
        <v>46</v>
      </c>
      <c r="U37" s="33">
        <v>32.46</v>
      </c>
      <c r="V37" s="33">
        <v>28.8</v>
      </c>
      <c r="W37" s="33">
        <v>29.29</v>
      </c>
      <c r="X37" s="33">
        <v>29.36</v>
      </c>
      <c r="Y37" s="33">
        <v>28.15</v>
      </c>
      <c r="Z37" s="33">
        <v>28.46</v>
      </c>
      <c r="AA37" s="33">
        <f>34.61+0.00</f>
        <v>34.61</v>
      </c>
      <c r="AB37" s="33">
        <v>50.01</v>
      </c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1364</v>
      </c>
      <c r="D38" s="50" t="s">
        <v>42</v>
      </c>
      <c r="E38" s="32" t="s">
        <v>3</v>
      </c>
      <c r="F38" s="32" t="s">
        <v>1389</v>
      </c>
      <c r="G38" s="32"/>
      <c r="H38" s="32"/>
      <c r="I38" s="32"/>
      <c r="J38" s="32"/>
      <c r="K38" s="33">
        <v>161.64</v>
      </c>
      <c r="L38" s="33">
        <v>156.33</v>
      </c>
      <c r="M38" s="33">
        <v>164.25</v>
      </c>
      <c r="N38" s="33">
        <v>173.62</v>
      </c>
      <c r="O38" s="33">
        <v>206.62</v>
      </c>
      <c r="P38" s="33">
        <v>245.58</v>
      </c>
      <c r="Q38" s="33">
        <v>281.4</v>
      </c>
      <c r="R38" s="33">
        <v>298.09</v>
      </c>
      <c r="S38" s="33">
        <v>331.89</v>
      </c>
      <c r="T38" s="33">
        <v>238.76</v>
      </c>
      <c r="U38" s="33">
        <v>157.16</v>
      </c>
      <c r="V38" s="33">
        <v>128.27</v>
      </c>
      <c r="W38" s="33">
        <v>127.59</v>
      </c>
      <c r="X38" s="33">
        <v>146.64</v>
      </c>
      <c r="Y38" s="33">
        <v>125.07</v>
      </c>
      <c r="Z38" s="33">
        <v>159.34</v>
      </c>
      <c r="AA38" s="33">
        <v>204.28</v>
      </c>
      <c r="AB38" s="33">
        <f>262.62+0.00</f>
        <v>262.62</v>
      </c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1364</v>
      </c>
      <c r="D39" s="50" t="s">
        <v>42</v>
      </c>
      <c r="E39" s="32" t="s">
        <v>3</v>
      </c>
      <c r="F39" s="32" t="s">
        <v>1390</v>
      </c>
      <c r="G39" s="32"/>
      <c r="H39" s="32"/>
      <c r="I39" s="32"/>
      <c r="J39" s="32"/>
      <c r="K39" s="33">
        <v>29.46</v>
      </c>
      <c r="L39" s="33">
        <v>29.43</v>
      </c>
      <c r="M39" s="33">
        <v>31.35</v>
      </c>
      <c r="N39" s="33">
        <v>32.02</v>
      </c>
      <c r="O39" s="33">
        <v>41.78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1364</v>
      </c>
      <c r="D40" s="50" t="s">
        <v>42</v>
      </c>
      <c r="E40" s="32" t="s">
        <v>3</v>
      </c>
      <c r="F40" s="32" t="s">
        <v>1391</v>
      </c>
      <c r="G40" s="32"/>
      <c r="H40" s="32"/>
      <c r="I40" s="32"/>
      <c r="J40" s="32"/>
      <c r="K40" s="32"/>
      <c r="L40" s="32"/>
      <c r="M40" s="33">
        <f>0.00+4.99</f>
        <v>4.99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5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40"/>
    </row>
    <row r="42" ht="13.5" customHeight="1" spans="2:39" x14ac:dyDescent="0.25">
      <c r="B42" s="20"/>
      <c r="C42" s="21"/>
      <c r="D42" s="21" t="s">
        <v>85</v>
      </c>
      <c r="E42" s="21"/>
      <c r="F42" s="21"/>
      <c r="G42" s="22">
        <f>SUM(G14:G40)</f>
      </c>
      <c r="H42" s="22">
        <f>SUM(H14:H40)</f>
      </c>
      <c r="I42" s="22">
        <f>SUM(I14:I40)</f>
      </c>
      <c r="J42" s="22">
        <f>SUM(J14:J40)</f>
      </c>
      <c r="K42" s="22">
        <f>SUM(K14:K40)</f>
      </c>
      <c r="L42" s="22">
        <f>SUM(L14:L40)</f>
      </c>
      <c r="M42" s="22">
        <f>SUM(M14:M40)</f>
      </c>
      <c r="N42" s="22">
        <f>SUM(N14:N40)</f>
      </c>
      <c r="O42" s="22">
        <f>SUM(O14:O40)</f>
      </c>
      <c r="P42" s="22">
        <f>SUM(P14:P40)</f>
      </c>
      <c r="Q42" s="22">
        <f>SUM(Q14:Q40)</f>
      </c>
      <c r="R42" s="22">
        <f>SUM(R14:R40)</f>
      </c>
      <c r="S42" s="22">
        <f>SUM(S14:S40)</f>
      </c>
      <c r="T42" s="22">
        <f>SUM(T14:T40)</f>
      </c>
      <c r="U42" s="22">
        <f>SUM(U14:U40)</f>
      </c>
      <c r="V42" s="22">
        <f>SUM(V14:V40)</f>
      </c>
      <c r="W42" s="22">
        <f>SUM(W14:W40)</f>
      </c>
      <c r="X42" s="22">
        <f>SUM(X14:X40)</f>
      </c>
      <c r="Y42" s="22">
        <f>SUM(Y14:Y40)</f>
      </c>
      <c r="Z42" s="22">
        <f>SUM(Z14:Z40)</f>
      </c>
      <c r="AA42" s="22">
        <f>SUM(AA14:AA40)</f>
      </c>
      <c r="AB42" s="22">
        <f>SUM(AB14:AB40)</f>
      </c>
      <c r="AC42" s="22">
        <f>SUM(AC14:AC40)</f>
      </c>
      <c r="AD42" s="22">
        <f>SUM(AD14:AD40)</f>
      </c>
      <c r="AE42" s="22">
        <f>SUM(AE14:AE40)</f>
      </c>
      <c r="AF42" s="22">
        <f>SUM(AF14:AF40)</f>
      </c>
      <c r="AG42" s="22">
        <f>SUM(AG14:AG40)</f>
      </c>
      <c r="AH42" s="22">
        <f>SUM(AH14:AH40)</f>
      </c>
      <c r="AI42" s="22">
        <f>SUM(AI14:AI40)</f>
      </c>
      <c r="AJ42" s="22">
        <f>SUM(AJ14:AJ40)</f>
      </c>
      <c r="AK42" s="22">
        <f>SUM(AK14:AK40)</f>
      </c>
      <c r="AL42" s="22">
        <f>SUM(AL14:AL40)</f>
      </c>
      <c r="AM42" s="23"/>
    </row>
    <row r="44" ht="13.5" customHeight="1" spans="2:39" x14ac:dyDescent="0.25">
      <c r="B44" s="46"/>
      <c r="C44" s="28"/>
      <c r="D44" s="47" t="s">
        <v>43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9"/>
    </row>
    <row r="45" ht="13.5" customHeight="1" spans="2:39" x14ac:dyDescent="0.25">
      <c r="B45" s="51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40"/>
    </row>
    <row r="46" ht="13.5" customHeight="1" spans="2:39" x14ac:dyDescent="0.25">
      <c r="B46" s="20"/>
      <c r="C46" s="21"/>
      <c r="D46" s="21" t="s">
        <v>89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3"/>
    </row>
    <row r="48" ht="13.5" customHeight="1" spans="2:39" x14ac:dyDescent="0.25">
      <c r="B48" s="46"/>
      <c r="C48" s="28"/>
      <c r="D48" s="47" t="s">
        <v>44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9"/>
    </row>
    <row r="49" ht="13.5" customHeight="1" spans="2:39" x14ac:dyDescent="0.25">
      <c r="B49" s="51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40"/>
    </row>
    <row r="50" ht="13.5" customHeight="1" spans="2:39" x14ac:dyDescent="0.25">
      <c r="B50" s="20"/>
      <c r="C50" s="21"/>
      <c r="D50" s="21" t="s">
        <v>90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3"/>
    </row>
    <row r="53" ht="12.75" customHeight="1" spans="2:39" x14ac:dyDescent="0.25">
      <c r="B53" s="11" t="s">
        <v>40</v>
      </c>
      <c r="C53" s="12"/>
      <c r="D53" s="12"/>
      <c r="E53" s="12"/>
      <c r="F53" s="12"/>
      <c r="G53" s="52" t="s">
        <v>7</v>
      </c>
      <c r="H53" s="52" t="s">
        <v>8</v>
      </c>
      <c r="I53" s="52" t="s">
        <v>9</v>
      </c>
      <c r="J53" s="52" t="s">
        <v>10</v>
      </c>
      <c r="K53" s="52" t="s">
        <v>11</v>
      </c>
      <c r="L53" s="52" t="s">
        <v>12</v>
      </c>
      <c r="M53" s="52" t="s">
        <v>13</v>
      </c>
      <c r="N53" s="52" t="s">
        <v>14</v>
      </c>
      <c r="O53" s="52" t="s">
        <v>15</v>
      </c>
      <c r="P53" s="52" t="s">
        <v>16</v>
      </c>
      <c r="Q53" s="52" t="s">
        <v>17</v>
      </c>
      <c r="R53" s="52" t="s">
        <v>18</v>
      </c>
      <c r="S53" s="52" t="s">
        <v>19</v>
      </c>
      <c r="T53" s="52" t="s">
        <v>20</v>
      </c>
      <c r="U53" s="52" t="s">
        <v>21</v>
      </c>
      <c r="V53" s="52" t="s">
        <v>22</v>
      </c>
      <c r="W53" s="52" t="s">
        <v>23</v>
      </c>
      <c r="X53" s="52" t="s">
        <v>24</v>
      </c>
      <c r="Y53" s="52" t="s">
        <v>25</v>
      </c>
      <c r="Z53" s="52" t="s">
        <v>26</v>
      </c>
      <c r="AA53" s="52" t="s">
        <v>27</v>
      </c>
      <c r="AB53" s="52" t="s">
        <v>28</v>
      </c>
      <c r="AC53" s="52" t="s">
        <v>29</v>
      </c>
      <c r="AD53" s="52" t="s">
        <v>30</v>
      </c>
      <c r="AE53" s="52" t="s">
        <v>31</v>
      </c>
      <c r="AF53" s="52" t="s">
        <v>32</v>
      </c>
      <c r="AG53" s="52" t="s">
        <v>33</v>
      </c>
      <c r="AH53" s="52" t="s">
        <v>34</v>
      </c>
      <c r="AI53" s="52" t="s">
        <v>35</v>
      </c>
      <c r="AJ53" s="52" t="s">
        <v>36</v>
      </c>
      <c r="AK53" s="52" t="s">
        <v>37</v>
      </c>
      <c r="AL53" s="52" t="s">
        <v>38</v>
      </c>
      <c r="AM53" s="15"/>
    </row>
    <row r="54" ht="12.75" customHeight="1" spans="2:39" x14ac:dyDescent="0.25">
      <c r="B54" s="16"/>
      <c r="C54" s="17"/>
      <c r="D54" s="17" t="s">
        <v>41</v>
      </c>
      <c r="E54" s="17"/>
      <c r="F54" s="17"/>
      <c r="G54" s="18">
        <f>G11</f>
      </c>
      <c r="H54" s="18">
        <f>H11</f>
      </c>
      <c r="I54" s="18">
        <f>I11</f>
      </c>
      <c r="J54" s="18">
        <f>J11</f>
      </c>
      <c r="K54" s="18">
        <f>K11</f>
      </c>
      <c r="L54" s="18">
        <f>L11</f>
      </c>
      <c r="M54" s="18">
        <f>M11</f>
      </c>
      <c r="N54" s="18">
        <f>N11</f>
      </c>
      <c r="O54" s="18">
        <f>O11</f>
      </c>
      <c r="P54" s="18">
        <f>P11</f>
      </c>
      <c r="Q54" s="18">
        <f>Q11</f>
      </c>
      <c r="R54" s="18">
        <f>R11</f>
      </c>
      <c r="S54" s="18">
        <f>S11</f>
      </c>
      <c r="T54" s="18">
        <f>T11</f>
      </c>
      <c r="U54" s="18">
        <f>U11</f>
      </c>
      <c r="V54" s="18">
        <f>V11</f>
      </c>
      <c r="W54" s="18">
        <f>W11</f>
      </c>
      <c r="X54" s="18">
        <f>X11</f>
      </c>
      <c r="Y54" s="18">
        <f>Y11</f>
      </c>
      <c r="Z54" s="18">
        <f>Z11</f>
      </c>
      <c r="AA54" s="18">
        <f>AA11</f>
      </c>
      <c r="AB54" s="18">
        <f>AB11</f>
      </c>
      <c r="AC54" s="18">
        <f>AC11</f>
      </c>
      <c r="AD54" s="18">
        <f>AD11</f>
      </c>
      <c r="AE54" s="18">
        <f>AE11</f>
      </c>
      <c r="AF54" s="18">
        <f>AF11</f>
      </c>
      <c r="AG54" s="18">
        <f>AG11</f>
      </c>
      <c r="AH54" s="18">
        <f>AH11</f>
      </c>
      <c r="AI54" s="18">
        <f>AI11</f>
      </c>
      <c r="AJ54" s="18">
        <f>AJ11</f>
      </c>
      <c r="AK54" s="18">
        <f>AK11</f>
      </c>
      <c r="AL54" s="18">
        <f>AL11</f>
      </c>
      <c r="AM54" s="19"/>
    </row>
    <row r="55" ht="12.75" customHeight="1" spans="2:39" x14ac:dyDescent="0.25">
      <c r="B55" s="16"/>
      <c r="C55" s="17"/>
      <c r="D55" s="17" t="s">
        <v>42</v>
      </c>
      <c r="E55" s="17"/>
      <c r="F55" s="17"/>
      <c r="G55" s="18">
        <f>G42</f>
      </c>
      <c r="H55" s="18">
        <f>H42</f>
      </c>
      <c r="I55" s="18">
        <f>I42</f>
      </c>
      <c r="J55" s="18">
        <f>J42</f>
      </c>
      <c r="K55" s="18">
        <f>K42</f>
      </c>
      <c r="L55" s="18">
        <f>L42</f>
      </c>
      <c r="M55" s="18">
        <f>M42</f>
      </c>
      <c r="N55" s="18">
        <f>N42</f>
      </c>
      <c r="O55" s="18">
        <f>O42</f>
      </c>
      <c r="P55" s="18">
        <f>P42</f>
      </c>
      <c r="Q55" s="18">
        <f>Q42</f>
      </c>
      <c r="R55" s="18">
        <f>R42</f>
      </c>
      <c r="S55" s="18">
        <f>S42</f>
      </c>
      <c r="T55" s="18">
        <f>T42</f>
      </c>
      <c r="U55" s="18">
        <f>U42</f>
      </c>
      <c r="V55" s="18">
        <f>V42</f>
      </c>
      <c r="W55" s="18">
        <f>W42</f>
      </c>
      <c r="X55" s="18">
        <f>X42</f>
      </c>
      <c r="Y55" s="18">
        <f>Y42</f>
      </c>
      <c r="Z55" s="18">
        <f>Z42</f>
      </c>
      <c r="AA55" s="18">
        <f>AA42</f>
      </c>
      <c r="AB55" s="18">
        <f>AB42</f>
      </c>
      <c r="AC55" s="18">
        <f>AC42</f>
      </c>
      <c r="AD55" s="18">
        <f>AD42</f>
      </c>
      <c r="AE55" s="18">
        <f>AE42</f>
      </c>
      <c r="AF55" s="18">
        <f>AF42</f>
      </c>
      <c r="AG55" s="18">
        <f>AG42</f>
      </c>
      <c r="AH55" s="18">
        <f>AH42</f>
      </c>
      <c r="AI55" s="18">
        <f>AI42</f>
      </c>
      <c r="AJ55" s="18">
        <f>AJ42</f>
      </c>
      <c r="AK55" s="18">
        <f>AK42</f>
      </c>
      <c r="AL55" s="18">
        <f>AL42</f>
      </c>
      <c r="AM55" s="19"/>
    </row>
    <row r="56" ht="12.75" customHeight="1" spans="2:39" x14ac:dyDescent="0.25">
      <c r="B56" s="16"/>
      <c r="C56" s="17"/>
      <c r="D56" s="17" t="s">
        <v>43</v>
      </c>
      <c r="E56" s="17"/>
      <c r="F56" s="17"/>
      <c r="G56" s="18">
        <f>G46</f>
      </c>
      <c r="H56" s="18">
        <f>H46</f>
      </c>
      <c r="I56" s="18">
        <f>I46</f>
      </c>
      <c r="J56" s="18">
        <f>J46</f>
      </c>
      <c r="K56" s="18">
        <f>K46</f>
      </c>
      <c r="L56" s="18">
        <f>L46</f>
      </c>
      <c r="M56" s="18">
        <f>M46</f>
      </c>
      <c r="N56" s="18">
        <f>N46</f>
      </c>
      <c r="O56" s="18">
        <f>O46</f>
      </c>
      <c r="P56" s="18">
        <f>P46</f>
      </c>
      <c r="Q56" s="18">
        <f>Q46</f>
      </c>
      <c r="R56" s="18">
        <f>R46</f>
      </c>
      <c r="S56" s="18">
        <f>S46</f>
      </c>
      <c r="T56" s="18">
        <f>T46</f>
      </c>
      <c r="U56" s="18">
        <f>U46</f>
      </c>
      <c r="V56" s="18">
        <f>V46</f>
      </c>
      <c r="W56" s="18">
        <f>W46</f>
      </c>
      <c r="X56" s="18">
        <f>X46</f>
      </c>
      <c r="Y56" s="18">
        <f>Y46</f>
      </c>
      <c r="Z56" s="18">
        <f>Z46</f>
      </c>
      <c r="AA56" s="18">
        <f>AA46</f>
      </c>
      <c r="AB56" s="18">
        <f>AB46</f>
      </c>
      <c r="AC56" s="18">
        <f>AC46</f>
      </c>
      <c r="AD56" s="18">
        <f>AD46</f>
      </c>
      <c r="AE56" s="18">
        <f>AE46</f>
      </c>
      <c r="AF56" s="18">
        <f>AF46</f>
      </c>
      <c r="AG56" s="18">
        <f>AG46</f>
      </c>
      <c r="AH56" s="18">
        <f>AH46</f>
      </c>
      <c r="AI56" s="18">
        <f>AI46</f>
      </c>
      <c r="AJ56" s="18">
        <f>AJ46</f>
      </c>
      <c r="AK56" s="18">
        <f>AK46</f>
      </c>
      <c r="AL56" s="18">
        <f>AL46</f>
      </c>
      <c r="AM56" s="19"/>
    </row>
    <row r="57" ht="12.75" customHeight="1" spans="2:39" x14ac:dyDescent="0.25">
      <c r="B57" s="16"/>
      <c r="C57" s="17"/>
      <c r="D57" s="17" t="s">
        <v>44</v>
      </c>
      <c r="E57" s="17"/>
      <c r="F57" s="17"/>
      <c r="G57" s="18">
        <f>G50</f>
      </c>
      <c r="H57" s="18">
        <f>H50</f>
      </c>
      <c r="I57" s="18">
        <f>I50</f>
      </c>
      <c r="J57" s="18">
        <f>J50</f>
      </c>
      <c r="K57" s="18">
        <f>K50</f>
      </c>
      <c r="L57" s="18">
        <f>L50</f>
      </c>
      <c r="M57" s="18">
        <f>M50</f>
      </c>
      <c r="N57" s="18">
        <f>N50</f>
      </c>
      <c r="O57" s="18">
        <f>O50</f>
      </c>
      <c r="P57" s="18">
        <f>P50</f>
      </c>
      <c r="Q57" s="18">
        <f>Q50</f>
      </c>
      <c r="R57" s="18">
        <f>R50</f>
      </c>
      <c r="S57" s="18">
        <f>S50</f>
      </c>
      <c r="T57" s="18">
        <f>T50</f>
      </c>
      <c r="U57" s="18">
        <f>U50</f>
      </c>
      <c r="V57" s="18">
        <f>V50</f>
      </c>
      <c r="W57" s="18">
        <f>W50</f>
      </c>
      <c r="X57" s="18">
        <f>X50</f>
      </c>
      <c r="Y57" s="18">
        <f>Y50</f>
      </c>
      <c r="Z57" s="18">
        <f>Z50</f>
      </c>
      <c r="AA57" s="18">
        <f>AA50</f>
      </c>
      <c r="AB57" s="18">
        <f>AB50</f>
      </c>
      <c r="AC57" s="18">
        <f>AC50</f>
      </c>
      <c r="AD57" s="18">
        <f>AD50</f>
      </c>
      <c r="AE57" s="18">
        <f>AE50</f>
      </c>
      <c r="AF57" s="18">
        <f>AF50</f>
      </c>
      <c r="AG57" s="18">
        <f>AG50</f>
      </c>
      <c r="AH57" s="18">
        <f>AH50</f>
      </c>
      <c r="AI57" s="18">
        <f>AI50</f>
      </c>
      <c r="AJ57" s="18">
        <f>AJ50</f>
      </c>
      <c r="AK57" s="18">
        <f>AK50</f>
      </c>
      <c r="AL57" s="18">
        <f>AL50</f>
      </c>
      <c r="AM57" s="19"/>
    </row>
    <row r="58" ht="12.75" customHeight="1" spans="2:39" x14ac:dyDescent="0.25">
      <c r="B58" s="20"/>
      <c r="C58" s="21"/>
      <c r="D58" s="21" t="s">
        <v>45</v>
      </c>
      <c r="E58" s="21"/>
      <c r="F58" s="21"/>
      <c r="G58" s="22">
        <f>G54+G55+G56+G57</f>
      </c>
      <c r="H58" s="22">
        <f>H54+H55+H56+H57</f>
      </c>
      <c r="I58" s="22">
        <f>I54+I55+I56+I57</f>
      </c>
      <c r="J58" s="22">
        <f>J54+J55+J56+J57</f>
      </c>
      <c r="K58" s="22">
        <f>K54+K55+K56+K57</f>
      </c>
      <c r="L58" s="22">
        <f>L54+L55+L56+L57</f>
      </c>
      <c r="M58" s="22">
        <f>M54+M55+M56+M57</f>
      </c>
      <c r="N58" s="22">
        <f>N54+N55+N56+N57</f>
      </c>
      <c r="O58" s="22">
        <f>O54+O55+O56+O57</f>
      </c>
      <c r="P58" s="22">
        <f>P54+P55+P56+P57</f>
      </c>
      <c r="Q58" s="22">
        <f>Q54+Q55+Q56+Q57</f>
      </c>
      <c r="R58" s="22">
        <f>R54+R55+R56+R57</f>
      </c>
      <c r="S58" s="22">
        <f>S54+S55+S56+S57</f>
      </c>
      <c r="T58" s="22">
        <f>T54+T55+T56+T57</f>
      </c>
      <c r="U58" s="22">
        <f>U54+U55+U56+U57</f>
      </c>
      <c r="V58" s="22">
        <f>V54+V55+V56+V57</f>
      </c>
      <c r="W58" s="22">
        <f>W54+W55+W56+W57</f>
      </c>
      <c r="X58" s="22">
        <f>X54+X55+X56+X57</f>
      </c>
      <c r="Y58" s="22">
        <f>Y54+Y55+Y56+Y57</f>
      </c>
      <c r="Z58" s="22">
        <f>Z54+Z55+Z56+Z57</f>
      </c>
      <c r="AA58" s="22">
        <f>AA54+AA55+AA56+AA57</f>
      </c>
      <c r="AB58" s="22">
        <f>AB54+AB55+AB56+AB57</f>
      </c>
      <c r="AC58" s="22">
        <f>AC54+AC55+AC56+AC57</f>
      </c>
      <c r="AD58" s="22">
        <f>AD54+AD55+AD56+AD57</f>
      </c>
      <c r="AE58" s="22">
        <f>AE54+AE55+AE56+AE57</f>
      </c>
      <c r="AF58" s="22">
        <f>AF54+AF55+AF56+AF57</f>
      </c>
      <c r="AG58" s="22">
        <f>AG54+AG55+AG56+AG57</f>
      </c>
      <c r="AH58" s="22">
        <f>AH54+AH55+AH56+AH57</f>
      </c>
      <c r="AI58" s="22">
        <f>AI54+AI55+AI56+AI57</f>
      </c>
      <c r="AJ58" s="22">
        <f>AJ54+AJ55+AJ56+AJ57</f>
      </c>
      <c r="AK58" s="22">
        <f>AK54+AK55+AK56+AK57</f>
      </c>
      <c r="AL58" s="22">
        <f>AL54+AL55+AL56+AL57</f>
      </c>
      <c r="AM58" s="23"/>
    </row>
    <row r="60" ht="12.75" customHeight="1" spans="2:39" x14ac:dyDescent="0.25">
      <c r="B60" s="11" t="s">
        <v>46</v>
      </c>
      <c r="C60" s="12"/>
      <c r="D60" s="12"/>
      <c r="E60" s="12"/>
      <c r="F60" s="12"/>
      <c r="G60" s="52" t="s">
        <v>7</v>
      </c>
      <c r="H60" s="52" t="s">
        <v>8</v>
      </c>
      <c r="I60" s="52" t="s">
        <v>9</v>
      </c>
      <c r="J60" s="52" t="s">
        <v>10</v>
      </c>
      <c r="K60" s="52" t="s">
        <v>11</v>
      </c>
      <c r="L60" s="52" t="s">
        <v>12</v>
      </c>
      <c r="M60" s="52" t="s">
        <v>13</v>
      </c>
      <c r="N60" s="52" t="s">
        <v>14</v>
      </c>
      <c r="O60" s="52" t="s">
        <v>15</v>
      </c>
      <c r="P60" s="52" t="s">
        <v>16</v>
      </c>
      <c r="Q60" s="52" t="s">
        <v>17</v>
      </c>
      <c r="R60" s="52" t="s">
        <v>18</v>
      </c>
      <c r="S60" s="52" t="s">
        <v>19</v>
      </c>
      <c r="T60" s="52" t="s">
        <v>20</v>
      </c>
      <c r="U60" s="52" t="s">
        <v>21</v>
      </c>
      <c r="V60" s="52" t="s">
        <v>22</v>
      </c>
      <c r="W60" s="52" t="s">
        <v>23</v>
      </c>
      <c r="X60" s="52" t="s">
        <v>24</v>
      </c>
      <c r="Y60" s="52" t="s">
        <v>25</v>
      </c>
      <c r="Z60" s="52" t="s">
        <v>26</v>
      </c>
      <c r="AA60" s="52" t="s">
        <v>27</v>
      </c>
      <c r="AB60" s="52" t="s">
        <v>28</v>
      </c>
      <c r="AC60" s="52" t="s">
        <v>29</v>
      </c>
      <c r="AD60" s="52" t="s">
        <v>30</v>
      </c>
      <c r="AE60" s="52" t="s">
        <v>31</v>
      </c>
      <c r="AF60" s="52" t="s">
        <v>32</v>
      </c>
      <c r="AG60" s="52" t="s">
        <v>33</v>
      </c>
      <c r="AH60" s="52" t="s">
        <v>34</v>
      </c>
      <c r="AI60" s="52" t="s">
        <v>35</v>
      </c>
      <c r="AJ60" s="52" t="s">
        <v>36</v>
      </c>
      <c r="AK60" s="52" t="s">
        <v>37</v>
      </c>
      <c r="AL60" s="52" t="s">
        <v>38</v>
      </c>
      <c r="AM60" s="15"/>
    </row>
    <row r="61" ht="12.75" customHeight="1" spans="2:39" x14ac:dyDescent="0.25">
      <c r="B61" s="16"/>
      <c r="C61" s="17"/>
      <c r="D61" s="17" t="s">
        <v>41</v>
      </c>
      <c r="E61" s="17"/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9"/>
    </row>
    <row r="62" ht="12.75" customHeight="1" spans="2:39" x14ac:dyDescent="0.25">
      <c r="B62" s="16"/>
      <c r="C62" s="17"/>
      <c r="D62" s="17" t="s">
        <v>42</v>
      </c>
      <c r="E62" s="17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9"/>
    </row>
    <row r="63" ht="12.75" customHeight="1" spans="2:39" x14ac:dyDescent="0.25">
      <c r="B63" s="16"/>
      <c r="C63" s="17"/>
      <c r="D63" s="17" t="s">
        <v>43</v>
      </c>
      <c r="E63" s="17"/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9"/>
    </row>
    <row r="64" ht="12.75" customHeight="1" spans="2:39" x14ac:dyDescent="0.25">
      <c r="B64" s="16"/>
      <c r="C64" s="17"/>
      <c r="D64" s="17" t="s">
        <v>44</v>
      </c>
      <c r="E64" s="17"/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/>
    </row>
    <row r="65" ht="12.75" customHeight="1" spans="2:39" x14ac:dyDescent="0.25">
      <c r="B65" s="20"/>
      <c r="C65" s="21"/>
      <c r="D65" s="21" t="s">
        <v>45</v>
      </c>
      <c r="E65" s="21"/>
      <c r="F65" s="21"/>
      <c r="G65" s="22">
        <f>G61+G62+G63+G64</f>
      </c>
      <c r="H65" s="22">
        <f>H61+H62+H63+H64</f>
      </c>
      <c r="I65" s="22">
        <f>I61+I62+I63+I64</f>
      </c>
      <c r="J65" s="22">
        <f>J61+J62+J63+J64</f>
      </c>
      <c r="K65" s="22">
        <f>K61+K62+K63+K64</f>
      </c>
      <c r="L65" s="22">
        <f>L61+L62+L63+L64</f>
      </c>
      <c r="M65" s="22">
        <f>M61+M62+M63+M64</f>
      </c>
      <c r="N65" s="22">
        <f>N61+N62+N63+N64</f>
      </c>
      <c r="O65" s="22">
        <f>O61+O62+O63+O64</f>
      </c>
      <c r="P65" s="22">
        <f>P61+P62+P63+P64</f>
      </c>
      <c r="Q65" s="22">
        <f>Q61+Q62+Q63+Q64</f>
      </c>
      <c r="R65" s="22">
        <f>R61+R62+R63+R64</f>
      </c>
      <c r="S65" s="22">
        <f>S61+S62+S63+S64</f>
      </c>
      <c r="T65" s="22">
        <f>T61+T62+T63+T64</f>
      </c>
      <c r="U65" s="22">
        <f>U61+U62+U63+U64</f>
      </c>
      <c r="V65" s="22">
        <f>V61+V62+V63+V64</f>
      </c>
      <c r="W65" s="22">
        <f>W61+W62+W63+W64</f>
      </c>
      <c r="X65" s="22">
        <f>X61+X62+X63+X64</f>
      </c>
      <c r="Y65" s="22">
        <f>Y61+Y62+Y63+Y64</f>
      </c>
      <c r="Z65" s="22">
        <f>Z61+Z62+Z63+Z64</f>
      </c>
      <c r="AA65" s="22">
        <f>AA61+AA62+AA63+AA64</f>
      </c>
      <c r="AB65" s="22">
        <f>AB61+AB62+AB63+AB64</f>
      </c>
      <c r="AC65" s="22">
        <f>AC61+AC62+AC63+AC64</f>
      </c>
      <c r="AD65" s="22">
        <f>AD61+AD62+AD63+AD64</f>
      </c>
      <c r="AE65" s="22">
        <f>AE61+AE62+AE63+AE64</f>
      </c>
      <c r="AF65" s="22">
        <f>AF61+AF62+AF63+AF64</f>
      </c>
      <c r="AG65" s="22">
        <f>AG61+AG62+AG63+AG64</f>
      </c>
      <c r="AH65" s="22">
        <f>AH61+AH62+AH63+AH64</f>
      </c>
      <c r="AI65" s="22">
        <f>AI61+AI62+AI63+AI64</f>
      </c>
      <c r="AJ65" s="22">
        <f>AJ61+AJ62+AJ63+AJ64</f>
      </c>
      <c r="AK65" s="22">
        <f>AK61+AK62+AK63+AK64</f>
      </c>
      <c r="AL65" s="22">
        <f>AL61+AL62+AL63+AL64</f>
      </c>
      <c r="AM65" s="23"/>
    </row>
    <row r="67" ht="12.75" customHeight="1" spans="2:39" x14ac:dyDescent="0.25">
      <c r="B67" s="11" t="s">
        <v>47</v>
      </c>
      <c r="C67" s="12"/>
      <c r="D67" s="12"/>
      <c r="E67" s="12"/>
      <c r="F67" s="12"/>
      <c r="G67" s="52" t="s">
        <v>7</v>
      </c>
      <c r="H67" s="52" t="s">
        <v>8</v>
      </c>
      <c r="I67" s="52" t="s">
        <v>9</v>
      </c>
      <c r="J67" s="52" t="s">
        <v>10</v>
      </c>
      <c r="K67" s="52" t="s">
        <v>11</v>
      </c>
      <c r="L67" s="52" t="s">
        <v>12</v>
      </c>
      <c r="M67" s="52" t="s">
        <v>13</v>
      </c>
      <c r="N67" s="52" t="s">
        <v>14</v>
      </c>
      <c r="O67" s="52" t="s">
        <v>15</v>
      </c>
      <c r="P67" s="52" t="s">
        <v>16</v>
      </c>
      <c r="Q67" s="52" t="s">
        <v>17</v>
      </c>
      <c r="R67" s="52" t="s">
        <v>18</v>
      </c>
      <c r="S67" s="52" t="s">
        <v>19</v>
      </c>
      <c r="T67" s="52" t="s">
        <v>20</v>
      </c>
      <c r="U67" s="52" t="s">
        <v>21</v>
      </c>
      <c r="V67" s="52" t="s">
        <v>22</v>
      </c>
      <c r="W67" s="52" t="s">
        <v>23</v>
      </c>
      <c r="X67" s="52" t="s">
        <v>24</v>
      </c>
      <c r="Y67" s="52" t="s">
        <v>25</v>
      </c>
      <c r="Z67" s="52" t="s">
        <v>26</v>
      </c>
      <c r="AA67" s="52" t="s">
        <v>27</v>
      </c>
      <c r="AB67" s="52" t="s">
        <v>28</v>
      </c>
      <c r="AC67" s="52" t="s">
        <v>29</v>
      </c>
      <c r="AD67" s="52" t="s">
        <v>30</v>
      </c>
      <c r="AE67" s="52" t="s">
        <v>31</v>
      </c>
      <c r="AF67" s="52" t="s">
        <v>32</v>
      </c>
      <c r="AG67" s="52" t="s">
        <v>33</v>
      </c>
      <c r="AH67" s="52" t="s">
        <v>34</v>
      </c>
      <c r="AI67" s="52" t="s">
        <v>35</v>
      </c>
      <c r="AJ67" s="52" t="s">
        <v>36</v>
      </c>
      <c r="AK67" s="52" t="s">
        <v>37</v>
      </c>
      <c r="AL67" s="52" t="s">
        <v>38</v>
      </c>
      <c r="AM67" s="15"/>
    </row>
    <row r="68" ht="12.75" customHeight="1" spans="2:39" x14ac:dyDescent="0.25">
      <c r="B68" s="16"/>
      <c r="C68" s="17"/>
      <c r="D68" s="17" t="s">
        <v>41</v>
      </c>
      <c r="E68" s="17"/>
      <c r="F68" s="17"/>
      <c r="G68" s="24">
        <f>G61-G54</f>
      </c>
      <c r="H68" s="24">
        <f>H61-H54</f>
      </c>
      <c r="I68" s="24">
        <f>I61-I54</f>
      </c>
      <c r="J68" s="24">
        <f>J61-J54</f>
      </c>
      <c r="K68" s="24">
        <f>K61-K54</f>
      </c>
      <c r="L68" s="24">
        <f>L61-L54</f>
      </c>
      <c r="M68" s="24">
        <f>M61-M54</f>
      </c>
      <c r="N68" s="24">
        <f>N61-N54</f>
      </c>
      <c r="O68" s="24">
        <f>O61-O54</f>
      </c>
      <c r="P68" s="24">
        <f>P61-P54</f>
      </c>
      <c r="Q68" s="24">
        <f>Q61-Q54</f>
      </c>
      <c r="R68" s="24">
        <f>R61-R54</f>
      </c>
      <c r="S68" s="24">
        <f>S61-S54</f>
      </c>
      <c r="T68" s="24">
        <f>T61-T54</f>
      </c>
      <c r="U68" s="24">
        <f>U61-U54</f>
      </c>
      <c r="V68" s="24">
        <f>V61-V54</f>
      </c>
      <c r="W68" s="24">
        <f>W61-W54</f>
      </c>
      <c r="X68" s="24">
        <f>X61-X54</f>
      </c>
      <c r="Y68" s="24">
        <f>Y61-Y54</f>
      </c>
      <c r="Z68" s="24">
        <f>Z61-Z54</f>
      </c>
      <c r="AA68" s="24">
        <f>AA61-AA54</f>
      </c>
      <c r="AB68" s="24">
        <f>AB61-AB54</f>
      </c>
      <c r="AC68" s="24">
        <f>AC61-AC54</f>
      </c>
      <c r="AD68" s="24">
        <f>AD61-AD54</f>
      </c>
      <c r="AE68" s="24">
        <f>AE61-AE54</f>
      </c>
      <c r="AF68" s="24">
        <f>AF61-AF54</f>
      </c>
      <c r="AG68" s="24">
        <f>AG61-AG54</f>
      </c>
      <c r="AH68" s="24">
        <f>AH61-AH54</f>
      </c>
      <c r="AI68" s="24">
        <f>AI61-AI54</f>
      </c>
      <c r="AJ68" s="24">
        <f>AJ61-AJ54</f>
      </c>
      <c r="AK68" s="24">
        <f>AK61-AK54</f>
      </c>
      <c r="AL68" s="24">
        <f>AL61-AL54</f>
      </c>
      <c r="AM68" s="19"/>
    </row>
    <row r="69" ht="12.75" customHeight="1" spans="2:39" x14ac:dyDescent="0.25">
      <c r="B69" s="16"/>
      <c r="C69" s="17"/>
      <c r="D69" s="17" t="s">
        <v>42</v>
      </c>
      <c r="E69" s="17"/>
      <c r="F69" s="17"/>
      <c r="G69" s="24">
        <f>G62-G55</f>
      </c>
      <c r="H69" s="24">
        <f>H62-H55</f>
      </c>
      <c r="I69" s="24">
        <f>I62-I55</f>
      </c>
      <c r="J69" s="24">
        <f>J62-J55</f>
      </c>
      <c r="K69" s="24">
        <f>K62-K55</f>
      </c>
      <c r="L69" s="24">
        <f>L62-L55</f>
      </c>
      <c r="M69" s="24">
        <f>M62-M55</f>
      </c>
      <c r="N69" s="24">
        <f>N62-N55</f>
      </c>
      <c r="O69" s="24">
        <f>O62-O55</f>
      </c>
      <c r="P69" s="24">
        <f>P62-P55</f>
      </c>
      <c r="Q69" s="24">
        <f>Q62-Q55</f>
      </c>
      <c r="R69" s="24">
        <f>R62-R55</f>
      </c>
      <c r="S69" s="24">
        <f>S62-S55</f>
      </c>
      <c r="T69" s="24">
        <f>T62-T55</f>
      </c>
      <c r="U69" s="24">
        <f>U62-U55</f>
      </c>
      <c r="V69" s="24">
        <f>V62-V55</f>
      </c>
      <c r="W69" s="24">
        <f>W62-W55</f>
      </c>
      <c r="X69" s="24">
        <f>X62-X55</f>
      </c>
      <c r="Y69" s="24">
        <f>Y62-Y55</f>
      </c>
      <c r="Z69" s="24">
        <f>Z62-Z55</f>
      </c>
      <c r="AA69" s="24">
        <f>AA62-AA55</f>
      </c>
      <c r="AB69" s="24">
        <f>AB62-AB55</f>
      </c>
      <c r="AC69" s="24">
        <f>AC62-AC55</f>
      </c>
      <c r="AD69" s="24">
        <f>AD62-AD55</f>
      </c>
      <c r="AE69" s="24">
        <f>AE62-AE55</f>
      </c>
      <c r="AF69" s="24">
        <f>AF62-AF55</f>
      </c>
      <c r="AG69" s="24">
        <f>AG62-AG55</f>
      </c>
      <c r="AH69" s="24">
        <f>AH62-AH55</f>
      </c>
      <c r="AI69" s="24">
        <f>AI62-AI55</f>
      </c>
      <c r="AJ69" s="24">
        <f>AJ62-AJ55</f>
      </c>
      <c r="AK69" s="24">
        <f>AK62-AK55</f>
      </c>
      <c r="AL69" s="24">
        <f>AL62-AL55</f>
      </c>
      <c r="AM69" s="19"/>
    </row>
    <row r="70" ht="12.75" customHeight="1" spans="2:39" x14ac:dyDescent="0.25">
      <c r="B70" s="16"/>
      <c r="C70" s="17"/>
      <c r="D70" s="17" t="s">
        <v>43</v>
      </c>
      <c r="E70" s="17"/>
      <c r="F70" s="17"/>
      <c r="G70" s="24">
        <f>G63-G56</f>
      </c>
      <c r="H70" s="24">
        <f>H63-H56</f>
      </c>
      <c r="I70" s="24">
        <f>I63-I56</f>
      </c>
      <c r="J70" s="24">
        <f>J63-J56</f>
      </c>
      <c r="K70" s="24">
        <f>K63-K56</f>
      </c>
      <c r="L70" s="24">
        <f>L63-L56</f>
      </c>
      <c r="M70" s="24">
        <f>M63-M56</f>
      </c>
      <c r="N70" s="24">
        <f>N63-N56</f>
      </c>
      <c r="O70" s="24">
        <f>O63-O56</f>
      </c>
      <c r="P70" s="24">
        <f>P63-P56</f>
      </c>
      <c r="Q70" s="24">
        <f>Q63-Q56</f>
      </c>
      <c r="R70" s="24">
        <f>R63-R56</f>
      </c>
      <c r="S70" s="24">
        <f>S63-S56</f>
      </c>
      <c r="T70" s="24">
        <f>T63-T56</f>
      </c>
      <c r="U70" s="24">
        <f>U63-U56</f>
      </c>
      <c r="V70" s="24">
        <f>V63-V56</f>
      </c>
      <c r="W70" s="24">
        <f>W63-W56</f>
      </c>
      <c r="X70" s="24">
        <f>X63-X56</f>
      </c>
      <c r="Y70" s="24">
        <f>Y63-Y56</f>
      </c>
      <c r="Z70" s="24">
        <f>Z63-Z56</f>
      </c>
      <c r="AA70" s="24">
        <f>AA63-AA56</f>
      </c>
      <c r="AB70" s="24">
        <f>AB63-AB56</f>
      </c>
      <c r="AC70" s="24">
        <f>AC63-AC56</f>
      </c>
      <c r="AD70" s="24">
        <f>AD63-AD56</f>
      </c>
      <c r="AE70" s="24">
        <f>AE63-AE56</f>
      </c>
      <c r="AF70" s="24">
        <f>AF63-AF56</f>
      </c>
      <c r="AG70" s="24">
        <f>AG63-AG56</f>
      </c>
      <c r="AH70" s="24">
        <f>AH63-AH56</f>
      </c>
      <c r="AI70" s="24">
        <f>AI63-AI56</f>
      </c>
      <c r="AJ70" s="24">
        <f>AJ63-AJ56</f>
      </c>
      <c r="AK70" s="24">
        <f>AK63-AK56</f>
      </c>
      <c r="AL70" s="24">
        <f>AL63-AL56</f>
      </c>
      <c r="AM70" s="19"/>
    </row>
    <row r="71" ht="12.75" customHeight="1" spans="2:39" x14ac:dyDescent="0.25">
      <c r="B71" s="16"/>
      <c r="C71" s="17"/>
      <c r="D71" s="17" t="s">
        <v>44</v>
      </c>
      <c r="E71" s="17"/>
      <c r="F71" s="17"/>
      <c r="G71" s="24">
        <f>G64-G57</f>
      </c>
      <c r="H71" s="24">
        <f>H64-H57</f>
      </c>
      <c r="I71" s="24">
        <f>I64-I57</f>
      </c>
      <c r="J71" s="24">
        <f>J64-J57</f>
      </c>
      <c r="K71" s="24">
        <f>K64-K57</f>
      </c>
      <c r="L71" s="24">
        <f>L64-L57</f>
      </c>
      <c r="M71" s="24">
        <f>M64-M57</f>
      </c>
      <c r="N71" s="24">
        <f>N64-N57</f>
      </c>
      <c r="O71" s="24">
        <f>O64-O57</f>
      </c>
      <c r="P71" s="24">
        <f>P64-P57</f>
      </c>
      <c r="Q71" s="24">
        <f>Q64-Q57</f>
      </c>
      <c r="R71" s="24">
        <f>R64-R57</f>
      </c>
      <c r="S71" s="24">
        <f>S64-S57</f>
      </c>
      <c r="T71" s="24">
        <f>T64-T57</f>
      </c>
      <c r="U71" s="24">
        <f>U64-U57</f>
      </c>
      <c r="V71" s="24">
        <f>V64-V57</f>
      </c>
      <c r="W71" s="24">
        <f>W64-W57</f>
      </c>
      <c r="X71" s="24">
        <f>X64-X57</f>
      </c>
      <c r="Y71" s="24">
        <f>Y64-Y57</f>
      </c>
      <c r="Z71" s="24">
        <f>Z64-Z57</f>
      </c>
      <c r="AA71" s="24">
        <f>AA64-AA57</f>
      </c>
      <c r="AB71" s="24">
        <f>AB64-AB57</f>
      </c>
      <c r="AC71" s="24">
        <f>AC64-AC57</f>
      </c>
      <c r="AD71" s="24">
        <f>AD64-AD57</f>
      </c>
      <c r="AE71" s="24">
        <f>AE64-AE57</f>
      </c>
      <c r="AF71" s="24">
        <f>AF64-AF57</f>
      </c>
      <c r="AG71" s="24">
        <f>AG64-AG57</f>
      </c>
      <c r="AH71" s="24">
        <f>AH64-AH57</f>
      </c>
      <c r="AI71" s="24">
        <f>AI64-AI57</f>
      </c>
      <c r="AJ71" s="24">
        <f>AJ64-AJ57</f>
      </c>
      <c r="AK71" s="24">
        <f>AK64-AK57</f>
      </c>
      <c r="AL71" s="24">
        <f>AL64-AL57</f>
      </c>
      <c r="AM71" s="19"/>
    </row>
    <row r="72" ht="12.75" customHeight="1" spans="2:39" x14ac:dyDescent="0.25">
      <c r="B72" s="20"/>
      <c r="C72" s="21"/>
      <c r="D72" s="21" t="s">
        <v>45</v>
      </c>
      <c r="E72" s="21"/>
      <c r="F72" s="21"/>
      <c r="G72" s="25">
        <f>G68+G69+G70+G71</f>
      </c>
      <c r="H72" s="25">
        <f>H68+H69+H70+H71</f>
      </c>
      <c r="I72" s="25">
        <f>I68+I69+I70+I71</f>
      </c>
      <c r="J72" s="25">
        <f>J68+J69+J70+J71</f>
      </c>
      <c r="K72" s="25">
        <f>K68+K69+K70+K71</f>
      </c>
      <c r="L72" s="25">
        <f>L68+L69+L70+L71</f>
      </c>
      <c r="M72" s="25">
        <f>M68+M69+M70+M71</f>
      </c>
      <c r="N72" s="25">
        <f>N68+N69+N70+N71</f>
      </c>
      <c r="O72" s="25">
        <f>O68+O69+O70+O71</f>
      </c>
      <c r="P72" s="25">
        <f>P68+P69+P70+P71</f>
      </c>
      <c r="Q72" s="25">
        <f>Q68+Q69+Q70+Q71</f>
      </c>
      <c r="R72" s="25">
        <f>R68+R69+R70+R71</f>
      </c>
      <c r="S72" s="25">
        <f>S68+S69+S70+S71</f>
      </c>
      <c r="T72" s="25">
        <f>T68+T69+T70+T71</f>
      </c>
      <c r="U72" s="25">
        <f>U68+U69+U70+U71</f>
      </c>
      <c r="V72" s="25">
        <f>V68+V69+V70+V71</f>
      </c>
      <c r="W72" s="25">
        <f>W68+W69+W70+W71</f>
      </c>
      <c r="X72" s="25">
        <f>X68+X69+X70+X71</f>
      </c>
      <c r="Y72" s="25">
        <f>Y68+Y69+Y70+Y71</f>
      </c>
      <c r="Z72" s="25">
        <f>Z68+Z69+Z70+Z71</f>
      </c>
      <c r="AA72" s="25">
        <f>AA68+AA69+AA70+AA71</f>
      </c>
      <c r="AB72" s="25">
        <f>AB68+AB69+AB70+AB71</f>
      </c>
      <c r="AC72" s="25">
        <f>AC68+AC69+AC70+AC71</f>
      </c>
      <c r="AD72" s="25">
        <f>AD68+AD69+AD70+AD71</f>
      </c>
      <c r="AE72" s="25">
        <f>AE68+AE69+AE70+AE71</f>
      </c>
      <c r="AF72" s="25">
        <f>AF68+AF69+AF70+AF71</f>
      </c>
      <c r="AG72" s="25">
        <f>AG68+AG69+AG70+AG71</f>
      </c>
      <c r="AH72" s="25">
        <f>AH68+AH69+AH70+AH71</f>
      </c>
      <c r="AI72" s="25">
        <f>AI68+AI69+AI70+AI71</f>
      </c>
      <c r="AJ72" s="25">
        <f>AJ68+AJ69+AJ70+AJ71</f>
      </c>
      <c r="AK72" s="25">
        <f>AK68+AK69+AK70+AK71</f>
      </c>
      <c r="AL72" s="25">
        <f>AL68+AL69+AL70+AL71</f>
      </c>
      <c r="AM7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1409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1410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3">
        <v>41.99</v>
      </c>
      <c r="Z13" s="33">
        <v>-12.8</v>
      </c>
      <c r="AA13" s="33">
        <v>35.64</v>
      </c>
      <c r="AB13" s="33">
        <v>52.78</v>
      </c>
      <c r="AC13" s="33">
        <v>6.84</v>
      </c>
      <c r="AD13" s="33">
        <v>52.11</v>
      </c>
      <c r="AE13" s="33">
        <v>43.23</v>
      </c>
      <c r="AF13" s="33">
        <v>36.54</v>
      </c>
      <c r="AG13" s="33">
        <v>41.03</v>
      </c>
      <c r="AH13" s="33">
        <v>39.55</v>
      </c>
      <c r="AI13" s="33">
        <v>40.82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1411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3">
        <v>39.53</v>
      </c>
      <c r="Z14" s="33">
        <v>44.48</v>
      </c>
      <c r="AA14" s="33">
        <v>-73.06</v>
      </c>
      <c r="AB14" s="33">
        <v>-20.82</v>
      </c>
      <c r="AC14" s="33">
        <v>-17.05</v>
      </c>
      <c r="AD14" s="33">
        <v>19.53</v>
      </c>
      <c r="AE14" s="33">
        <v>32.38</v>
      </c>
      <c r="AF14" s="33">
        <v>29.99</v>
      </c>
      <c r="AG14" s="33">
        <v>34</v>
      </c>
      <c r="AH14" s="33">
        <v>33.96</v>
      </c>
      <c r="AI14" s="33">
        <v>33.92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1412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730.65</v>
      </c>
      <c r="Z15" s="33">
        <v>-93.26</v>
      </c>
      <c r="AA15" s="33">
        <v>341.9</v>
      </c>
      <c r="AB15" s="33">
        <v>442.67</v>
      </c>
      <c r="AC15" s="33">
        <v>-269.67</v>
      </c>
      <c r="AD15" s="33">
        <v>238.29</v>
      </c>
      <c r="AE15" s="33">
        <v>460.84</v>
      </c>
      <c r="AF15" s="33">
        <v>534.07</v>
      </c>
      <c r="AG15" s="33">
        <v>497.02</v>
      </c>
      <c r="AH15" s="33">
        <v>498.12</v>
      </c>
      <c r="AI15" s="33">
        <v>417.45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1413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3">
        <v>48.15</v>
      </c>
      <c r="Z16" s="33">
        <v>62.4</v>
      </c>
      <c r="AA16" s="36">
        <f>65.41+-85.17</f>
        <v>-19.760000000000005</v>
      </c>
      <c r="AB16" s="33">
        <v>-96</v>
      </c>
      <c r="AC16" s="33">
        <v>-92.2</v>
      </c>
      <c r="AD16" s="36">
        <f>-15.71+-50.93</f>
        <v>-66.64</v>
      </c>
      <c r="AE16" s="33">
        <v>77.09</v>
      </c>
      <c r="AF16" s="33">
        <v>145.72</v>
      </c>
      <c r="AG16" s="32"/>
      <c r="AH16" s="33">
        <v>148.5</v>
      </c>
      <c r="AI16" s="33">
        <v>142.95</v>
      </c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1414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>
        <v>-43.48</v>
      </c>
      <c r="Z17" s="33">
        <v>22.82</v>
      </c>
      <c r="AA17" s="36">
        <f>17.95+38.49</f>
        <v>56.44</v>
      </c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1415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3">
        <v>49.79</v>
      </c>
      <c r="Z18" s="33">
        <v>1.68</v>
      </c>
      <c r="AA18" s="33">
        <v>55.33</v>
      </c>
      <c r="AB18" s="33">
        <v>54.3</v>
      </c>
      <c r="AC18" s="33">
        <v>-12.88</v>
      </c>
      <c r="AD18" s="33">
        <v>20.52</v>
      </c>
      <c r="AE18" s="33">
        <v>35.14</v>
      </c>
      <c r="AF18" s="33">
        <v>35.87</v>
      </c>
      <c r="AG18" s="33">
        <v>39.75</v>
      </c>
      <c r="AH18" s="33">
        <v>40.7</v>
      </c>
      <c r="AI18" s="33">
        <v>39.38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1416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3">
        <v>33.45</v>
      </c>
      <c r="Z19" s="33">
        <v>-5.39</v>
      </c>
      <c r="AA19" s="33">
        <v>27.98</v>
      </c>
      <c r="AB19" s="33">
        <v>33.76</v>
      </c>
      <c r="AC19" s="33">
        <v>0.25</v>
      </c>
      <c r="AD19" s="33">
        <v>33.92</v>
      </c>
      <c r="AE19" s="33">
        <v>33.96</v>
      </c>
      <c r="AF19" s="33">
        <v>35.47</v>
      </c>
      <c r="AG19" s="33">
        <v>40.27</v>
      </c>
      <c r="AH19" s="33">
        <v>40.06</v>
      </c>
      <c r="AI19" s="33">
        <v>39.02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1417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3">
        <v>437.9</v>
      </c>
      <c r="Z20" s="33">
        <v>-322.84</v>
      </c>
      <c r="AA20" s="33">
        <v>23.11</v>
      </c>
      <c r="AB20" s="33">
        <v>353.88</v>
      </c>
      <c r="AC20" s="33">
        <v>-92.76</v>
      </c>
      <c r="AD20" s="33">
        <v>327.93</v>
      </c>
      <c r="AE20" s="33">
        <v>559.74</v>
      </c>
      <c r="AF20" s="33">
        <v>392.95</v>
      </c>
      <c r="AG20" s="33">
        <v>725.31</v>
      </c>
      <c r="AH20" s="33">
        <v>989.93</v>
      </c>
      <c r="AI20" s="33">
        <v>590.18</v>
      </c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1418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24.43</v>
      </c>
      <c r="Z21" s="33">
        <v>-10.54</v>
      </c>
      <c r="AA21" s="33">
        <v>13.89</v>
      </c>
      <c r="AB21" s="33">
        <v>24.43</v>
      </c>
      <c r="AC21" s="33">
        <v>0</v>
      </c>
      <c r="AD21" s="33">
        <v>24.43</v>
      </c>
      <c r="AE21" s="33">
        <v>24.43</v>
      </c>
      <c r="AF21" s="33">
        <v>24.43</v>
      </c>
      <c r="AG21" s="33">
        <v>21.76</v>
      </c>
      <c r="AH21" s="33">
        <v>21.76</v>
      </c>
      <c r="AI21" s="33">
        <v>21.76</v>
      </c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227</v>
      </c>
      <c r="D22" s="32" t="s">
        <v>1419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3">
        <v>38.93</v>
      </c>
      <c r="Z22" s="33">
        <v>51.12</v>
      </c>
      <c r="AA22" s="33">
        <v>-4.6</v>
      </c>
      <c r="AB22" s="33">
        <v>51.88</v>
      </c>
      <c r="AC22" s="33">
        <v>6.1</v>
      </c>
      <c r="AD22" s="33">
        <v>40.69</v>
      </c>
      <c r="AE22" s="33">
        <v>32.12</v>
      </c>
      <c r="AF22" s="33">
        <v>29.01</v>
      </c>
      <c r="AG22" s="33">
        <v>32.61</v>
      </c>
      <c r="AH22" s="36">
        <f>19.62+32.73</f>
        <v>52.349999999999994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227</v>
      </c>
      <c r="D23" s="32" t="s">
        <v>1420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3">
        <v>134.61</v>
      </c>
      <c r="Z23" s="33">
        <v>-47.17</v>
      </c>
      <c r="AA23" s="33">
        <v>79.53</v>
      </c>
      <c r="AB23" s="33">
        <v>135.86</v>
      </c>
      <c r="AC23" s="33">
        <v>-11.87</v>
      </c>
      <c r="AD23" s="33">
        <v>115.64</v>
      </c>
      <c r="AE23" s="33">
        <v>119.06</v>
      </c>
      <c r="AF23" s="33">
        <v>121.38</v>
      </c>
      <c r="AG23" s="33">
        <v>129.54</v>
      </c>
      <c r="AH23" s="33">
        <v>134.72</v>
      </c>
      <c r="AI23" s="33">
        <v>116.75</v>
      </c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227</v>
      </c>
      <c r="D24" s="32" t="s">
        <v>1421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3">
        <v>30.22</v>
      </c>
      <c r="Z24" s="33">
        <v>-26.3</v>
      </c>
      <c r="AA24" s="33">
        <v>4.52</v>
      </c>
      <c r="AB24" s="33">
        <v>31.12</v>
      </c>
      <c r="AC24" s="33">
        <v>1.45</v>
      </c>
      <c r="AD24" s="33">
        <v>33.3</v>
      </c>
      <c r="AE24" s="33">
        <v>34.92</v>
      </c>
      <c r="AF24" s="33">
        <v>35.94</v>
      </c>
      <c r="AG24" s="33">
        <v>51.79</v>
      </c>
      <c r="AH24" s="33">
        <v>59.07</v>
      </c>
      <c r="AI24" s="33">
        <v>52.22</v>
      </c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227</v>
      </c>
      <c r="D25" s="32" t="s">
        <v>1422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12.9</v>
      </c>
      <c r="AA25" s="33">
        <v>37.6</v>
      </c>
      <c r="AB25" s="33">
        <v>55.98</v>
      </c>
      <c r="AC25" s="33">
        <v>48.86</v>
      </c>
      <c r="AD25" s="33">
        <v>40.19</v>
      </c>
      <c r="AE25" s="33">
        <v>32.22</v>
      </c>
      <c r="AF25" s="33">
        <v>29.52</v>
      </c>
      <c r="AG25" s="33">
        <v>34.23</v>
      </c>
      <c r="AH25" s="36">
        <f>4.59+34.33</f>
        <v>38.92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227</v>
      </c>
      <c r="D26" s="32" t="s">
        <v>1423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3">
        <v>39.57</v>
      </c>
      <c r="Z26" s="33">
        <v>60.88</v>
      </c>
      <c r="AA26" s="33">
        <v>-71.5</v>
      </c>
      <c r="AB26" s="36">
        <f>0.74+-6.08</f>
        <v>-5.34</v>
      </c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227</v>
      </c>
      <c r="D27" s="32" t="s">
        <v>1424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3">
        <v>35.26</v>
      </c>
      <c r="Z27" s="33">
        <v>-14.97</v>
      </c>
      <c r="AA27" s="33">
        <v>20.84</v>
      </c>
      <c r="AB27" s="33">
        <v>36.66</v>
      </c>
      <c r="AC27" s="33">
        <v>1.24</v>
      </c>
      <c r="AD27" s="33">
        <v>36.71</v>
      </c>
      <c r="AE27" s="33">
        <v>35.26</v>
      </c>
      <c r="AF27" s="33">
        <v>39.26</v>
      </c>
      <c r="AG27" s="33">
        <v>40.82</v>
      </c>
      <c r="AH27" s="33">
        <v>41.3</v>
      </c>
      <c r="AI27" s="33">
        <v>40.58</v>
      </c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227</v>
      </c>
      <c r="D28" s="32" t="s">
        <v>1425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-4.7</v>
      </c>
      <c r="AA28" s="33">
        <v>40.71</v>
      </c>
      <c r="AB28" s="33">
        <v>56.83</v>
      </c>
      <c r="AC28" s="33">
        <v>44.41</v>
      </c>
      <c r="AD28" s="33">
        <v>39.82</v>
      </c>
      <c r="AE28" s="36">
        <f>4.91+31.05</f>
        <v>35.96</v>
      </c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227</v>
      </c>
      <c r="D29" s="32" t="s">
        <v>1426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3">
        <v>204.28</v>
      </c>
      <c r="Z29" s="33">
        <v>-197.17</v>
      </c>
      <c r="AA29" s="33">
        <v>63.39</v>
      </c>
      <c r="AB29" s="33">
        <v>364</v>
      </c>
      <c r="AC29" s="33">
        <v>48.92</v>
      </c>
      <c r="AD29" s="33">
        <v>218.49</v>
      </c>
      <c r="AE29" s="33">
        <v>144.86</v>
      </c>
      <c r="AF29" s="33">
        <v>130.92</v>
      </c>
      <c r="AG29" s="33">
        <v>120.82</v>
      </c>
      <c r="AH29" s="33">
        <v>126.44</v>
      </c>
      <c r="AI29" s="33">
        <v>132.33</v>
      </c>
      <c r="AJ29" s="34">
        <f>SUM(E29:AI29)</f>
      </c>
      <c r="AK29" s="35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85</v>
      </c>
      <c r="C31" s="21"/>
      <c r="D31" s="21"/>
      <c r="E31" s="22">
        <f>SUM(E13:E29)</f>
      </c>
      <c r="F31" s="22">
        <f>SUM(F13:F29)</f>
      </c>
      <c r="G31" s="22">
        <f>SUM(G13:G29)</f>
      </c>
      <c r="H31" s="22">
        <f>SUM(H13:H29)</f>
      </c>
      <c r="I31" s="22">
        <f>SUM(I13:I29)</f>
      </c>
      <c r="J31" s="22">
        <f>SUM(J13:J29)</f>
      </c>
      <c r="K31" s="22">
        <f>SUM(K13:K29)</f>
      </c>
      <c r="L31" s="22">
        <f>SUM(L13:L29)</f>
      </c>
      <c r="M31" s="22">
        <f>SUM(M13:M29)</f>
      </c>
      <c r="N31" s="22">
        <f>SUM(N13:N29)</f>
      </c>
      <c r="O31" s="22">
        <f>SUM(O13:O29)</f>
      </c>
      <c r="P31" s="22">
        <f>SUM(P13:P29)</f>
      </c>
      <c r="Q31" s="22">
        <f>SUM(Q13:Q29)</f>
      </c>
      <c r="R31" s="22">
        <f>SUM(R13:R29)</f>
      </c>
      <c r="S31" s="22">
        <f>SUM(S13:S29)</f>
      </c>
      <c r="T31" s="22">
        <f>SUM(T13:T29)</f>
      </c>
      <c r="U31" s="22">
        <f>SUM(U13:U29)</f>
      </c>
      <c r="V31" s="22">
        <f>SUM(V13:V29)</f>
      </c>
      <c r="W31" s="22">
        <f>SUM(W13:W29)</f>
      </c>
      <c r="X31" s="22">
        <f>SUM(X13:X29)</f>
      </c>
      <c r="Y31" s="22">
        <f>SUM(Y13:Y29)</f>
      </c>
      <c r="Z31" s="22">
        <f>SUM(Z13:Z29)</f>
      </c>
      <c r="AA31" s="22">
        <f>SUM(AA13:AA29)</f>
      </c>
      <c r="AB31" s="22">
        <f>SUM(AB13:AB29)</f>
      </c>
      <c r="AC31" s="22">
        <f>SUM(AC13:AC29)</f>
      </c>
      <c r="AD31" s="22">
        <f>SUM(AD13:AD29)</f>
      </c>
      <c r="AE31" s="22">
        <f>SUM(AE13:AE29)</f>
      </c>
      <c r="AF31" s="22">
        <f>SUM(AF13:AF29)</f>
      </c>
      <c r="AG31" s="22">
        <f>SUM(AG13:AG29)</f>
      </c>
      <c r="AH31" s="22">
        <f>SUM(AH13:AH29)</f>
      </c>
      <c r="AI31" s="22">
        <f>SUM(AI13:AI29)</f>
      </c>
      <c r="AJ31" s="22">
        <f>SUM(AJ13:AJ29)</f>
      </c>
      <c r="AK31" s="23"/>
    </row>
    <row r="33" ht="12.75" customHeight="1" spans="2:37" x14ac:dyDescent="0.25">
      <c r="B33" s="26" t="s">
        <v>43</v>
      </c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9"/>
    </row>
    <row r="34" ht="12.75" customHeight="1" spans="2:37" x14ac:dyDescent="0.25">
      <c r="B34" s="37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40"/>
    </row>
    <row r="35" ht="12.75" customHeight="1" spans="2:37" x14ac:dyDescent="0.25">
      <c r="B35" s="20" t="s">
        <v>89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3"/>
    </row>
    <row r="37" ht="12.75" customHeight="1" spans="2:37" x14ac:dyDescent="0.25">
      <c r="B37" s="26" t="s">
        <v>44</v>
      </c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9"/>
    </row>
    <row r="38" ht="12.75" customHeight="1" spans="2:37" x14ac:dyDescent="0.25">
      <c r="B38" s="37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40"/>
    </row>
    <row r="39" ht="12.75" customHeight="1" spans="2:37" x14ac:dyDescent="0.25">
      <c r="B39" s="20" t="s">
        <v>90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3"/>
    </row>
    <row r="42" ht="12.75" customHeight="1" spans="2:37" x14ac:dyDescent="0.25">
      <c r="B42" s="11" t="s">
        <v>40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>
        <f>E10</f>
      </c>
      <c r="F43" s="18">
        <f>F10</f>
      </c>
      <c r="G43" s="18">
        <f>G10</f>
      </c>
      <c r="H43" s="18">
        <f>H10</f>
      </c>
      <c r="I43" s="18">
        <f>I10</f>
      </c>
      <c r="J43" s="18">
        <f>J10</f>
      </c>
      <c r="K43" s="18">
        <f>K10</f>
      </c>
      <c r="L43" s="18">
        <f>L10</f>
      </c>
      <c r="M43" s="18">
        <f>M10</f>
      </c>
      <c r="N43" s="18">
        <f>N10</f>
      </c>
      <c r="O43" s="18">
        <f>O10</f>
      </c>
      <c r="P43" s="18">
        <f>P10</f>
      </c>
      <c r="Q43" s="18">
        <f>Q10</f>
      </c>
      <c r="R43" s="18">
        <f>R10</f>
      </c>
      <c r="S43" s="18">
        <f>S10</f>
      </c>
      <c r="T43" s="18">
        <f>T10</f>
      </c>
      <c r="U43" s="18">
        <f>U10</f>
      </c>
      <c r="V43" s="18">
        <f>V10</f>
      </c>
      <c r="W43" s="18">
        <f>W10</f>
      </c>
      <c r="X43" s="18">
        <f>X10</f>
      </c>
      <c r="Y43" s="18">
        <f>Y10</f>
      </c>
      <c r="Z43" s="18">
        <f>Z10</f>
      </c>
      <c r="AA43" s="18">
        <f>AA10</f>
      </c>
      <c r="AB43" s="18">
        <f>AB10</f>
      </c>
      <c r="AC43" s="18">
        <f>AC10</f>
      </c>
      <c r="AD43" s="18">
        <f>AD10</f>
      </c>
      <c r="AE43" s="18">
        <f>AE10</f>
      </c>
      <c r="AF43" s="18">
        <f>AF10</f>
      </c>
      <c r="AG43" s="18">
        <f>AG10</f>
      </c>
      <c r="AH43" s="18">
        <f>AH10</f>
      </c>
      <c r="AI43" s="18">
        <f>AI10</f>
      </c>
      <c r="AJ43" s="18">
        <f>AJ10</f>
      </c>
      <c r="AK43" s="19"/>
    </row>
    <row r="44" ht="12.75" customHeight="1" spans="2:37" x14ac:dyDescent="0.25">
      <c r="B44" s="16" t="s">
        <v>42</v>
      </c>
      <c r="C44" s="17"/>
      <c r="D44" s="17"/>
      <c r="E44" s="18">
        <f>E31</f>
      </c>
      <c r="F44" s="18">
        <f>F31</f>
      </c>
      <c r="G44" s="18">
        <f>G31</f>
      </c>
      <c r="H44" s="18">
        <f>H31</f>
      </c>
      <c r="I44" s="18">
        <f>I31</f>
      </c>
      <c r="J44" s="18">
        <f>J31</f>
      </c>
      <c r="K44" s="18">
        <f>K31</f>
      </c>
      <c r="L44" s="18">
        <f>L31</f>
      </c>
      <c r="M44" s="18">
        <f>M31</f>
      </c>
      <c r="N44" s="18">
        <f>N31</f>
      </c>
      <c r="O44" s="18">
        <f>O31</f>
      </c>
      <c r="P44" s="18">
        <f>P31</f>
      </c>
      <c r="Q44" s="18">
        <f>Q31</f>
      </c>
      <c r="R44" s="18">
        <f>R31</f>
      </c>
      <c r="S44" s="18">
        <f>S31</f>
      </c>
      <c r="T44" s="18">
        <f>T31</f>
      </c>
      <c r="U44" s="18">
        <f>U31</f>
      </c>
      <c r="V44" s="18">
        <f>V31</f>
      </c>
      <c r="W44" s="18">
        <f>W31</f>
      </c>
      <c r="X44" s="18">
        <f>X31</f>
      </c>
      <c r="Y44" s="18">
        <f>Y31</f>
      </c>
      <c r="Z44" s="18">
        <f>Z31</f>
      </c>
      <c r="AA44" s="18">
        <f>AA31</f>
      </c>
      <c r="AB44" s="18">
        <f>AB31</f>
      </c>
      <c r="AC44" s="18">
        <f>AC31</f>
      </c>
      <c r="AD44" s="18">
        <f>AD31</f>
      </c>
      <c r="AE44" s="18">
        <f>AE31</f>
      </c>
      <c r="AF44" s="18">
        <f>AF31</f>
      </c>
      <c r="AG44" s="18">
        <f>AG31</f>
      </c>
      <c r="AH44" s="18">
        <f>AH31</f>
      </c>
      <c r="AI44" s="18">
        <f>AI31</f>
      </c>
      <c r="AJ44" s="18">
        <f>AJ31</f>
      </c>
      <c r="AK44" s="19"/>
    </row>
    <row r="45" ht="12.75" customHeight="1" spans="2:37" x14ac:dyDescent="0.25">
      <c r="B45" s="16" t="s">
        <v>43</v>
      </c>
      <c r="C45" s="17"/>
      <c r="D45" s="17"/>
      <c r="E45" s="18">
        <f>E35</f>
      </c>
      <c r="F45" s="18">
        <f>F35</f>
      </c>
      <c r="G45" s="18">
        <f>G35</f>
      </c>
      <c r="H45" s="18">
        <f>H35</f>
      </c>
      <c r="I45" s="18">
        <f>I35</f>
      </c>
      <c r="J45" s="18">
        <f>J35</f>
      </c>
      <c r="K45" s="18">
        <f>K35</f>
      </c>
      <c r="L45" s="18">
        <f>L35</f>
      </c>
      <c r="M45" s="18">
        <f>M35</f>
      </c>
      <c r="N45" s="18">
        <f>N35</f>
      </c>
      <c r="O45" s="18">
        <f>O35</f>
      </c>
      <c r="P45" s="18">
        <f>P35</f>
      </c>
      <c r="Q45" s="18">
        <f>Q35</f>
      </c>
      <c r="R45" s="18">
        <f>R35</f>
      </c>
      <c r="S45" s="18">
        <f>S35</f>
      </c>
      <c r="T45" s="18">
        <f>T35</f>
      </c>
      <c r="U45" s="18">
        <f>U35</f>
      </c>
      <c r="V45" s="18">
        <f>V35</f>
      </c>
      <c r="W45" s="18">
        <f>W35</f>
      </c>
      <c r="X45" s="18">
        <f>X35</f>
      </c>
      <c r="Y45" s="18">
        <f>Y35</f>
      </c>
      <c r="Z45" s="18">
        <f>Z35</f>
      </c>
      <c r="AA45" s="18">
        <f>AA35</f>
      </c>
      <c r="AB45" s="18">
        <f>AB35</f>
      </c>
      <c r="AC45" s="18">
        <f>AC35</f>
      </c>
      <c r="AD45" s="18">
        <f>AD35</f>
      </c>
      <c r="AE45" s="18">
        <f>AE35</f>
      </c>
      <c r="AF45" s="18">
        <f>AF35</f>
      </c>
      <c r="AG45" s="18">
        <f>AG35</f>
      </c>
      <c r="AH45" s="18">
        <f>AH35</f>
      </c>
      <c r="AI45" s="18">
        <f>AI35</f>
      </c>
      <c r="AJ45" s="18">
        <f>AJ35</f>
      </c>
      <c r="AK45" s="19"/>
    </row>
    <row r="46" ht="12.75" customHeight="1" spans="2:37" x14ac:dyDescent="0.25">
      <c r="B46" s="16" t="s">
        <v>44</v>
      </c>
      <c r="C46" s="17"/>
      <c r="D46" s="17"/>
      <c r="E46" s="18">
        <f>E39</f>
      </c>
      <c r="F46" s="18">
        <f>F39</f>
      </c>
      <c r="G46" s="18">
        <f>G39</f>
      </c>
      <c r="H46" s="18">
        <f>H39</f>
      </c>
      <c r="I46" s="18">
        <f>I39</f>
      </c>
      <c r="J46" s="18">
        <f>J39</f>
      </c>
      <c r="K46" s="18">
        <f>K39</f>
      </c>
      <c r="L46" s="18">
        <f>L39</f>
      </c>
      <c r="M46" s="18">
        <f>M39</f>
      </c>
      <c r="N46" s="18">
        <f>N39</f>
      </c>
      <c r="O46" s="18">
        <f>O39</f>
      </c>
      <c r="P46" s="18">
        <f>P39</f>
      </c>
      <c r="Q46" s="18">
        <f>Q39</f>
      </c>
      <c r="R46" s="18">
        <f>R39</f>
      </c>
      <c r="S46" s="18">
        <f>S39</f>
      </c>
      <c r="T46" s="18">
        <f>T39</f>
      </c>
      <c r="U46" s="18">
        <f>U39</f>
      </c>
      <c r="V46" s="18">
        <f>V39</f>
      </c>
      <c r="W46" s="18">
        <f>W39</f>
      </c>
      <c r="X46" s="18">
        <f>X39</f>
      </c>
      <c r="Y46" s="18">
        <f>Y39</f>
      </c>
      <c r="Z46" s="18">
        <f>Z39</f>
      </c>
      <c r="AA46" s="18">
        <f>AA39</f>
      </c>
      <c r="AB46" s="18">
        <f>AB39</f>
      </c>
      <c r="AC46" s="18">
        <f>AC39</f>
      </c>
      <c r="AD46" s="18">
        <f>AD39</f>
      </c>
      <c r="AE46" s="18">
        <f>AE39</f>
      </c>
      <c r="AF46" s="18">
        <f>AF39</f>
      </c>
      <c r="AG46" s="18">
        <f>AG39</f>
      </c>
      <c r="AH46" s="18">
        <f>AH39</f>
      </c>
      <c r="AI46" s="18">
        <f>AI39</f>
      </c>
      <c r="AJ46" s="18">
        <f>AJ39</f>
      </c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46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16" t="s">
        <v>42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43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44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20" t="s">
        <v>45</v>
      </c>
      <c r="C54" s="21"/>
      <c r="D54" s="21"/>
      <c r="E54" s="22">
        <f>E50+E51+E52+E53</f>
      </c>
      <c r="F54" s="22">
        <f>F50+F51+F52+F53</f>
      </c>
      <c r="G54" s="22">
        <f>G50+G51+G52+G53</f>
      </c>
      <c r="H54" s="22">
        <f>H50+H51+H52+H53</f>
      </c>
      <c r="I54" s="22">
        <f>I50+I51+I52+I53</f>
      </c>
      <c r="J54" s="22">
        <f>J50+J51+J52+J53</f>
      </c>
      <c r="K54" s="22">
        <f>K50+K51+K52+K53</f>
      </c>
      <c r="L54" s="22">
        <f>L50+L51+L52+L53</f>
      </c>
      <c r="M54" s="22">
        <f>M50+M51+M52+M53</f>
      </c>
      <c r="N54" s="22">
        <f>N50+N51+N52+N53</f>
      </c>
      <c r="O54" s="22">
        <f>O50+O51+O52+O53</f>
      </c>
      <c r="P54" s="22">
        <f>P50+P51+P52+P53</f>
      </c>
      <c r="Q54" s="22">
        <f>Q50+Q51+Q52+Q53</f>
      </c>
      <c r="R54" s="22">
        <f>R50+R51+R52+R53</f>
      </c>
      <c r="S54" s="22">
        <f>S50+S51+S52+S53</f>
      </c>
      <c r="T54" s="22">
        <f>T50+T51+T52+T53</f>
      </c>
      <c r="U54" s="22">
        <f>U50+U51+U52+U53</f>
      </c>
      <c r="V54" s="22">
        <f>V50+V51+V52+V53</f>
      </c>
      <c r="W54" s="22">
        <f>W50+W51+W52+W53</f>
      </c>
      <c r="X54" s="22">
        <f>X50+X51+X52+X53</f>
      </c>
      <c r="Y54" s="22">
        <f>Y50+Y51+Y52+Y53</f>
      </c>
      <c r="Z54" s="22">
        <f>Z50+Z51+Z52+Z53</f>
      </c>
      <c r="AA54" s="22">
        <f>AA50+AA51+AA52+AA53</f>
      </c>
      <c r="AB54" s="22">
        <f>AB50+AB51+AB52+AB53</f>
      </c>
      <c r="AC54" s="22">
        <f>AC50+AC51+AC52+AC53</f>
      </c>
      <c r="AD54" s="22">
        <f>AD50+AD51+AD52+AD53</f>
      </c>
      <c r="AE54" s="22">
        <f>AE50+AE51+AE52+AE53</f>
      </c>
      <c r="AF54" s="22">
        <f>AF50+AF51+AF52+AF53</f>
      </c>
      <c r="AG54" s="22">
        <f>AG50+AG51+AG52+AG53</f>
      </c>
      <c r="AH54" s="22">
        <f>AH50+AH51+AH52+AH53</f>
      </c>
      <c r="AI54" s="22">
        <f>AI50+AI51+AI52+AI53</f>
      </c>
      <c r="AJ54" s="22">
        <f>AJ50+AJ51+AJ52+AJ53</f>
      </c>
      <c r="AK54" s="23"/>
    </row>
    <row r="56" ht="12.75" customHeight="1" spans="2:37" x14ac:dyDescent="0.25">
      <c r="B56" s="11" t="s">
        <v>47</v>
      </c>
      <c r="C56" s="12"/>
      <c r="D56" s="13"/>
      <c r="E56" s="14" t="s">
        <v>7</v>
      </c>
      <c r="F56" s="14" t="s">
        <v>8</v>
      </c>
      <c r="G56" s="14" t="s">
        <v>9</v>
      </c>
      <c r="H56" s="14" t="s">
        <v>10</v>
      </c>
      <c r="I56" s="14" t="s">
        <v>11</v>
      </c>
      <c r="J56" s="14" t="s">
        <v>12</v>
      </c>
      <c r="K56" s="14" t="s">
        <v>13</v>
      </c>
      <c r="L56" s="14" t="s">
        <v>14</v>
      </c>
      <c r="M56" s="14" t="s">
        <v>15</v>
      </c>
      <c r="N56" s="14" t="s">
        <v>16</v>
      </c>
      <c r="O56" s="14" t="s">
        <v>17</v>
      </c>
      <c r="P56" s="14" t="s">
        <v>18</v>
      </c>
      <c r="Q56" s="14" t="s">
        <v>19</v>
      </c>
      <c r="R56" s="14" t="s">
        <v>20</v>
      </c>
      <c r="S56" s="14" t="s">
        <v>21</v>
      </c>
      <c r="T56" s="14" t="s">
        <v>22</v>
      </c>
      <c r="U56" s="14" t="s">
        <v>23</v>
      </c>
      <c r="V56" s="14" t="s">
        <v>24</v>
      </c>
      <c r="W56" s="14" t="s">
        <v>25</v>
      </c>
      <c r="X56" s="14" t="s">
        <v>26</v>
      </c>
      <c r="Y56" s="14" t="s">
        <v>27</v>
      </c>
      <c r="Z56" s="14" t="s">
        <v>28</v>
      </c>
      <c r="AA56" s="14" t="s">
        <v>29</v>
      </c>
      <c r="AB56" s="14" t="s">
        <v>30</v>
      </c>
      <c r="AC56" s="14" t="s">
        <v>31</v>
      </c>
      <c r="AD56" s="14" t="s">
        <v>32</v>
      </c>
      <c r="AE56" s="14" t="s">
        <v>33</v>
      </c>
      <c r="AF56" s="14" t="s">
        <v>34</v>
      </c>
      <c r="AG56" s="14" t="s">
        <v>35</v>
      </c>
      <c r="AH56" s="14" t="s">
        <v>36</v>
      </c>
      <c r="AI56" s="14" t="s">
        <v>37</v>
      </c>
      <c r="AJ56" s="14" t="s">
        <v>38</v>
      </c>
      <c r="AK56" s="15"/>
    </row>
    <row r="57" ht="12.75" customHeight="1" spans="2:37" x14ac:dyDescent="0.25">
      <c r="B57" s="16" t="s">
        <v>41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16" t="s">
        <v>42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43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44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20" t="s">
        <v>45</v>
      </c>
      <c r="C61" s="21"/>
      <c r="D61" s="21"/>
      <c r="E61" s="25">
        <f>E57+E58+E59+E60</f>
      </c>
      <c r="F61" s="25">
        <f>F57+F58+F59+F60</f>
      </c>
      <c r="G61" s="25">
        <f>G57+G58+G59+G60</f>
      </c>
      <c r="H61" s="25">
        <f>H57+H58+H59+H60</f>
      </c>
      <c r="I61" s="25">
        <f>I57+I58+I59+I60</f>
      </c>
      <c r="J61" s="25">
        <f>J57+J58+J59+J60</f>
      </c>
      <c r="K61" s="25">
        <f>K57+K58+K59+K60</f>
      </c>
      <c r="L61" s="25">
        <f>L57+L58+L59+L60</f>
      </c>
      <c r="M61" s="25">
        <f>M57+M58+M59+M60</f>
      </c>
      <c r="N61" s="25">
        <f>N57+N58+N59+N60</f>
      </c>
      <c r="O61" s="25">
        <f>O57+O58+O59+O60</f>
      </c>
      <c r="P61" s="25">
        <f>P57+P58+P59+P60</f>
      </c>
      <c r="Q61" s="25">
        <f>Q57+Q58+Q59+Q60</f>
      </c>
      <c r="R61" s="25">
        <f>R57+R58+R59+R60</f>
      </c>
      <c r="S61" s="25">
        <f>S57+S58+S59+S60</f>
      </c>
      <c r="T61" s="25">
        <f>T57+T58+T59+T60</f>
      </c>
      <c r="U61" s="25">
        <f>U57+U58+U59+U60</f>
      </c>
      <c r="V61" s="25">
        <f>V57+V58+V59+V60</f>
      </c>
      <c r="W61" s="25">
        <f>W57+W58+W59+W60</f>
      </c>
      <c r="X61" s="25">
        <f>X57+X58+X59+X60</f>
      </c>
      <c r="Y61" s="25">
        <f>Y57+Y58+Y59+Y60</f>
      </c>
      <c r="Z61" s="25">
        <f>Z57+Z58+Z59+Z60</f>
      </c>
      <c r="AA61" s="25">
        <f>AA57+AA58+AA59+AA60</f>
      </c>
      <c r="AB61" s="25">
        <f>AB57+AB58+AB59+AB60</f>
      </c>
      <c r="AC61" s="25">
        <f>AC57+AC58+AC59+AC60</f>
      </c>
      <c r="AD61" s="25">
        <f>AD57+AD58+AD59+AD60</f>
      </c>
      <c r="AE61" s="25">
        <f>AE57+AE58+AE59+AE60</f>
      </c>
      <c r="AF61" s="25">
        <f>AF57+AF58+AF59+AF60</f>
      </c>
      <c r="AG61" s="25">
        <f>AG57+AG58+AG59+AG60</f>
      </c>
      <c r="AH61" s="25">
        <f>AH57+AH58+AH59+AH60</f>
      </c>
      <c r="AI61" s="25">
        <f>AI57+AI58+AI59+AI60</f>
      </c>
      <c r="AJ61" s="25">
        <f>AJ57+AJ58+AJ59+AJ60</f>
      </c>
      <c r="AK6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1409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1407</v>
      </c>
      <c r="AB8" s="44" t="s">
        <v>1408</v>
      </c>
      <c r="AC8" s="44" t="s">
        <v>1427</v>
      </c>
      <c r="AD8" s="44" t="s">
        <v>1428</v>
      </c>
      <c r="AE8" s="44" t="s">
        <v>1429</v>
      </c>
      <c r="AF8" s="44" t="s">
        <v>1430</v>
      </c>
      <c r="AG8" s="44" t="s">
        <v>1431</v>
      </c>
      <c r="AH8" s="44" t="s">
        <v>1432</v>
      </c>
      <c r="AI8" s="44" t="s">
        <v>248</v>
      </c>
      <c r="AJ8" s="44" t="s">
        <v>1433</v>
      </c>
      <c r="AK8" s="44" t="s">
        <v>1434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1409</v>
      </c>
      <c r="D14" s="50" t="s">
        <v>42</v>
      </c>
      <c r="E14" s="32" t="s">
        <v>227</v>
      </c>
      <c r="F14" s="32" t="s">
        <v>1410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v>41.99</v>
      </c>
      <c r="AB14" s="33">
        <v>-12.8</v>
      </c>
      <c r="AC14" s="33">
        <v>35.64</v>
      </c>
      <c r="AD14" s="33">
        <v>52.78</v>
      </c>
      <c r="AE14" s="33">
        <v>6.84</v>
      </c>
      <c r="AF14" s="33">
        <v>52.11</v>
      </c>
      <c r="AG14" s="33">
        <v>43.23</v>
      </c>
      <c r="AH14" s="33">
        <v>36.54</v>
      </c>
      <c r="AI14" s="33">
        <v>41.03</v>
      </c>
      <c r="AJ14" s="33">
        <v>39.55</v>
      </c>
      <c r="AK14" s="33">
        <v>40.82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1409</v>
      </c>
      <c r="D15" s="50" t="s">
        <v>42</v>
      </c>
      <c r="E15" s="32" t="s">
        <v>227</v>
      </c>
      <c r="F15" s="32" t="s">
        <v>1411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>
        <v>39.53</v>
      </c>
      <c r="AB15" s="33">
        <v>44.48</v>
      </c>
      <c r="AC15" s="33">
        <v>-73.06</v>
      </c>
      <c r="AD15" s="33">
        <v>-20.82</v>
      </c>
      <c r="AE15" s="33">
        <v>-17.05</v>
      </c>
      <c r="AF15" s="33">
        <v>19.53</v>
      </c>
      <c r="AG15" s="33">
        <v>32.38</v>
      </c>
      <c r="AH15" s="33">
        <v>29.99</v>
      </c>
      <c r="AI15" s="33">
        <v>34</v>
      </c>
      <c r="AJ15" s="33">
        <v>33.96</v>
      </c>
      <c r="AK15" s="33">
        <v>33.92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1409</v>
      </c>
      <c r="D16" s="50" t="s">
        <v>42</v>
      </c>
      <c r="E16" s="32" t="s">
        <v>227</v>
      </c>
      <c r="F16" s="32" t="s">
        <v>1412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730.65</v>
      </c>
      <c r="AB16" s="33">
        <v>-93.26</v>
      </c>
      <c r="AC16" s="33">
        <v>341.9</v>
      </c>
      <c r="AD16" s="33">
        <v>442.67</v>
      </c>
      <c r="AE16" s="33">
        <v>-269.67</v>
      </c>
      <c r="AF16" s="33">
        <v>238.29</v>
      </c>
      <c r="AG16" s="33">
        <v>460.84</v>
      </c>
      <c r="AH16" s="33">
        <v>534.07</v>
      </c>
      <c r="AI16" s="33">
        <v>497.02</v>
      </c>
      <c r="AJ16" s="33">
        <v>498.12</v>
      </c>
      <c r="AK16" s="33">
        <v>417.45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1409</v>
      </c>
      <c r="D17" s="50" t="s">
        <v>42</v>
      </c>
      <c r="E17" s="32" t="s">
        <v>227</v>
      </c>
      <c r="F17" s="32" t="s">
        <v>1413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48.15</v>
      </c>
      <c r="AB17" s="33">
        <v>62.4</v>
      </c>
      <c r="AC17" s="33">
        <f>65.41+-85.17</f>
        <v>-19.760000000000005</v>
      </c>
      <c r="AD17" s="33">
        <v>-96</v>
      </c>
      <c r="AE17" s="33">
        <v>-92.2</v>
      </c>
      <c r="AF17" s="33">
        <f>-15.71+-50.93</f>
        <v>-66.64</v>
      </c>
      <c r="AG17" s="33">
        <v>77.09</v>
      </c>
      <c r="AH17" s="33">
        <v>145.72</v>
      </c>
      <c r="AI17" s="32"/>
      <c r="AJ17" s="33">
        <v>148.5</v>
      </c>
      <c r="AK17" s="33">
        <v>142.95</v>
      </c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1409</v>
      </c>
      <c r="D18" s="50" t="s">
        <v>42</v>
      </c>
      <c r="E18" s="32" t="s">
        <v>227</v>
      </c>
      <c r="F18" s="32" t="s">
        <v>1414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>
        <v>-43.48</v>
      </c>
      <c r="AB18" s="33">
        <v>22.82</v>
      </c>
      <c r="AC18" s="33">
        <f>17.95+38.49</f>
        <v>56.44</v>
      </c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1409</v>
      </c>
      <c r="D19" s="50" t="s">
        <v>42</v>
      </c>
      <c r="E19" s="32" t="s">
        <v>227</v>
      </c>
      <c r="F19" s="32" t="s">
        <v>1415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>
        <v>49.79</v>
      </c>
      <c r="AB19" s="33">
        <v>1.68</v>
      </c>
      <c r="AC19" s="33">
        <v>55.33</v>
      </c>
      <c r="AD19" s="33">
        <v>54.3</v>
      </c>
      <c r="AE19" s="33">
        <v>-12.88</v>
      </c>
      <c r="AF19" s="33">
        <v>20.52</v>
      </c>
      <c r="AG19" s="33">
        <v>35.14</v>
      </c>
      <c r="AH19" s="33">
        <v>35.87</v>
      </c>
      <c r="AI19" s="33">
        <v>39.75</v>
      </c>
      <c r="AJ19" s="33">
        <v>40.7</v>
      </c>
      <c r="AK19" s="33">
        <v>39.38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1409</v>
      </c>
      <c r="D20" s="50" t="s">
        <v>42</v>
      </c>
      <c r="E20" s="32" t="s">
        <v>227</v>
      </c>
      <c r="F20" s="32" t="s">
        <v>1416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>
        <v>33.45</v>
      </c>
      <c r="AB20" s="33">
        <v>-5.39</v>
      </c>
      <c r="AC20" s="33">
        <v>27.98</v>
      </c>
      <c r="AD20" s="33">
        <v>33.76</v>
      </c>
      <c r="AE20" s="33">
        <v>0.25</v>
      </c>
      <c r="AF20" s="33">
        <v>33.92</v>
      </c>
      <c r="AG20" s="33">
        <v>33.96</v>
      </c>
      <c r="AH20" s="33">
        <v>35.47</v>
      </c>
      <c r="AI20" s="33">
        <v>40.27</v>
      </c>
      <c r="AJ20" s="33">
        <v>40.06</v>
      </c>
      <c r="AK20" s="33">
        <v>39.02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1409</v>
      </c>
      <c r="D21" s="50" t="s">
        <v>42</v>
      </c>
      <c r="E21" s="32" t="s">
        <v>227</v>
      </c>
      <c r="F21" s="32" t="s">
        <v>1417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v>437.9</v>
      </c>
      <c r="AB21" s="33">
        <v>-322.84</v>
      </c>
      <c r="AC21" s="33">
        <v>23.11</v>
      </c>
      <c r="AD21" s="33">
        <v>353.88</v>
      </c>
      <c r="AE21" s="33">
        <v>-92.76</v>
      </c>
      <c r="AF21" s="33">
        <v>327.93</v>
      </c>
      <c r="AG21" s="33">
        <v>559.74</v>
      </c>
      <c r="AH21" s="33">
        <v>392.95</v>
      </c>
      <c r="AI21" s="33">
        <v>725.31</v>
      </c>
      <c r="AJ21" s="33">
        <v>989.93</v>
      </c>
      <c r="AK21" s="33">
        <v>590.18</v>
      </c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1409</v>
      </c>
      <c r="D22" s="50" t="s">
        <v>42</v>
      </c>
      <c r="E22" s="32" t="s">
        <v>227</v>
      </c>
      <c r="F22" s="32" t="s">
        <v>1418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24.43</v>
      </c>
      <c r="AB22" s="33">
        <v>-10.54</v>
      </c>
      <c r="AC22" s="33">
        <v>13.89</v>
      </c>
      <c r="AD22" s="33">
        <v>24.43</v>
      </c>
      <c r="AE22" s="33">
        <v>0</v>
      </c>
      <c r="AF22" s="33">
        <v>24.43</v>
      </c>
      <c r="AG22" s="33">
        <v>24.43</v>
      </c>
      <c r="AH22" s="33">
        <v>24.43</v>
      </c>
      <c r="AI22" s="33">
        <v>21.76</v>
      </c>
      <c r="AJ22" s="33">
        <v>21.76</v>
      </c>
      <c r="AK22" s="33">
        <v>21.76</v>
      </c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1409</v>
      </c>
      <c r="D23" s="50" t="s">
        <v>42</v>
      </c>
      <c r="E23" s="32" t="s">
        <v>227</v>
      </c>
      <c r="F23" s="32" t="s">
        <v>1419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>
        <v>38.93</v>
      </c>
      <c r="AB23" s="33">
        <v>51.12</v>
      </c>
      <c r="AC23" s="33">
        <v>-4.6</v>
      </c>
      <c r="AD23" s="33">
        <v>51.88</v>
      </c>
      <c r="AE23" s="33">
        <v>6.1</v>
      </c>
      <c r="AF23" s="33">
        <v>40.69</v>
      </c>
      <c r="AG23" s="33">
        <v>32.12</v>
      </c>
      <c r="AH23" s="33">
        <v>29.01</v>
      </c>
      <c r="AI23" s="33">
        <v>32.61</v>
      </c>
      <c r="AJ23" s="33">
        <f>19.62+32.73</f>
        <v>52.349999999999994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1409</v>
      </c>
      <c r="D24" s="50" t="s">
        <v>42</v>
      </c>
      <c r="E24" s="32" t="s">
        <v>227</v>
      </c>
      <c r="F24" s="32" t="s">
        <v>1420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>
        <v>134.61</v>
      </c>
      <c r="AB24" s="33">
        <v>-47.17</v>
      </c>
      <c r="AC24" s="33">
        <v>79.53</v>
      </c>
      <c r="AD24" s="33">
        <v>135.86</v>
      </c>
      <c r="AE24" s="33">
        <v>-11.87</v>
      </c>
      <c r="AF24" s="33">
        <v>115.64</v>
      </c>
      <c r="AG24" s="33">
        <v>119.06</v>
      </c>
      <c r="AH24" s="33">
        <v>121.38</v>
      </c>
      <c r="AI24" s="33">
        <v>129.54</v>
      </c>
      <c r="AJ24" s="33">
        <v>134.72</v>
      </c>
      <c r="AK24" s="33">
        <v>116.75</v>
      </c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1409</v>
      </c>
      <c r="D25" s="50" t="s">
        <v>42</v>
      </c>
      <c r="E25" s="32" t="s">
        <v>227</v>
      </c>
      <c r="F25" s="32" t="s">
        <v>1421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>
        <v>30.22</v>
      </c>
      <c r="AB25" s="33">
        <v>-26.3</v>
      </c>
      <c r="AC25" s="33">
        <v>4.52</v>
      </c>
      <c r="AD25" s="33">
        <v>31.12</v>
      </c>
      <c r="AE25" s="33">
        <v>1.45</v>
      </c>
      <c r="AF25" s="33">
        <v>33.3</v>
      </c>
      <c r="AG25" s="33">
        <v>34.92</v>
      </c>
      <c r="AH25" s="33">
        <v>35.94</v>
      </c>
      <c r="AI25" s="33">
        <v>51.79</v>
      </c>
      <c r="AJ25" s="33">
        <v>59.07</v>
      </c>
      <c r="AK25" s="33">
        <v>52.22</v>
      </c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1409</v>
      </c>
      <c r="D26" s="50" t="s">
        <v>42</v>
      </c>
      <c r="E26" s="32" t="s">
        <v>227</v>
      </c>
      <c r="F26" s="32" t="s">
        <v>1422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12.9</v>
      </c>
      <c r="AC26" s="33">
        <v>37.6</v>
      </c>
      <c r="AD26" s="33">
        <v>55.98</v>
      </c>
      <c r="AE26" s="33">
        <v>48.86</v>
      </c>
      <c r="AF26" s="33">
        <v>40.19</v>
      </c>
      <c r="AG26" s="33">
        <v>32.22</v>
      </c>
      <c r="AH26" s="33">
        <v>29.52</v>
      </c>
      <c r="AI26" s="33">
        <v>34.23</v>
      </c>
      <c r="AJ26" s="33">
        <f>4.59+34.33</f>
        <v>38.92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1409</v>
      </c>
      <c r="D27" s="50" t="s">
        <v>42</v>
      </c>
      <c r="E27" s="32" t="s">
        <v>227</v>
      </c>
      <c r="F27" s="32" t="s">
        <v>1423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>
        <v>39.57</v>
      </c>
      <c r="AB27" s="33">
        <v>60.88</v>
      </c>
      <c r="AC27" s="33">
        <v>-71.5</v>
      </c>
      <c r="AD27" s="33">
        <f>0.74+-6.08</f>
        <v>-5.34</v>
      </c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1409</v>
      </c>
      <c r="D28" s="50" t="s">
        <v>42</v>
      </c>
      <c r="E28" s="32" t="s">
        <v>227</v>
      </c>
      <c r="F28" s="32" t="s">
        <v>1424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>
        <v>35.26</v>
      </c>
      <c r="AB28" s="33">
        <v>-14.97</v>
      </c>
      <c r="AC28" s="33">
        <v>20.84</v>
      </c>
      <c r="AD28" s="33">
        <v>36.66</v>
      </c>
      <c r="AE28" s="33">
        <v>1.24</v>
      </c>
      <c r="AF28" s="33">
        <v>36.71</v>
      </c>
      <c r="AG28" s="33">
        <v>35.26</v>
      </c>
      <c r="AH28" s="33">
        <v>39.26</v>
      </c>
      <c r="AI28" s="33">
        <v>40.82</v>
      </c>
      <c r="AJ28" s="33">
        <v>41.3</v>
      </c>
      <c r="AK28" s="33">
        <v>40.58</v>
      </c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1409</v>
      </c>
      <c r="D29" s="50" t="s">
        <v>42</v>
      </c>
      <c r="E29" s="32" t="s">
        <v>227</v>
      </c>
      <c r="F29" s="32" t="s">
        <v>1425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-4.7</v>
      </c>
      <c r="AC29" s="33">
        <v>40.71</v>
      </c>
      <c r="AD29" s="33">
        <v>56.83</v>
      </c>
      <c r="AE29" s="33">
        <v>44.41</v>
      </c>
      <c r="AF29" s="33">
        <v>39.82</v>
      </c>
      <c r="AG29" s="33">
        <f>4.91+31.05</f>
        <v>35.96</v>
      </c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1409</v>
      </c>
      <c r="D30" s="50" t="s">
        <v>42</v>
      </c>
      <c r="E30" s="32" t="s">
        <v>227</v>
      </c>
      <c r="F30" s="32" t="s">
        <v>1426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>
        <v>204.28</v>
      </c>
      <c r="AB30" s="33">
        <v>-197.17</v>
      </c>
      <c r="AC30" s="33">
        <v>63.39</v>
      </c>
      <c r="AD30" s="33">
        <v>364</v>
      </c>
      <c r="AE30" s="33">
        <v>48.92</v>
      </c>
      <c r="AF30" s="33">
        <v>218.49</v>
      </c>
      <c r="AG30" s="33">
        <v>144.86</v>
      </c>
      <c r="AH30" s="33">
        <v>130.92</v>
      </c>
      <c r="AI30" s="33">
        <v>120.82</v>
      </c>
      <c r="AJ30" s="33">
        <v>126.44</v>
      </c>
      <c r="AK30" s="33">
        <v>132.33</v>
      </c>
      <c r="AL30" s="34">
        <f>SUM(G30:AK30)</f>
      </c>
      <c r="AM30" s="35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85</v>
      </c>
      <c r="E32" s="21"/>
      <c r="F32" s="21"/>
      <c r="G32" s="22">
        <f>SUM(G14:G30)</f>
      </c>
      <c r="H32" s="22">
        <f>SUM(H14:H30)</f>
      </c>
      <c r="I32" s="22">
        <f>SUM(I14:I30)</f>
      </c>
      <c r="J32" s="22">
        <f>SUM(J14:J30)</f>
      </c>
      <c r="K32" s="22">
        <f>SUM(K14:K30)</f>
      </c>
      <c r="L32" s="22">
        <f>SUM(L14:L30)</f>
      </c>
      <c r="M32" s="22">
        <f>SUM(M14:M30)</f>
      </c>
      <c r="N32" s="22">
        <f>SUM(N14:N30)</f>
      </c>
      <c r="O32" s="22">
        <f>SUM(O14:O30)</f>
      </c>
      <c r="P32" s="22">
        <f>SUM(P14:P30)</f>
      </c>
      <c r="Q32" s="22">
        <f>SUM(Q14:Q30)</f>
      </c>
      <c r="R32" s="22">
        <f>SUM(R14:R30)</f>
      </c>
      <c r="S32" s="22">
        <f>SUM(S14:S30)</f>
      </c>
      <c r="T32" s="22">
        <f>SUM(T14:T30)</f>
      </c>
      <c r="U32" s="22">
        <f>SUM(U14:U30)</f>
      </c>
      <c r="V32" s="22">
        <f>SUM(V14:V30)</f>
      </c>
      <c r="W32" s="22">
        <f>SUM(W14:W30)</f>
      </c>
      <c r="X32" s="22">
        <f>SUM(X14:X30)</f>
      </c>
      <c r="Y32" s="22">
        <f>SUM(Y14:Y30)</f>
      </c>
      <c r="Z32" s="22">
        <f>SUM(Z14:Z30)</f>
      </c>
      <c r="AA32" s="22">
        <f>SUM(AA14:AA30)</f>
      </c>
      <c r="AB32" s="22">
        <f>SUM(AB14:AB30)</f>
      </c>
      <c r="AC32" s="22">
        <f>SUM(AC14:AC30)</f>
      </c>
      <c r="AD32" s="22">
        <f>SUM(AD14:AD30)</f>
      </c>
      <c r="AE32" s="22">
        <f>SUM(AE14:AE30)</f>
      </c>
      <c r="AF32" s="22">
        <f>SUM(AF14:AF30)</f>
      </c>
      <c r="AG32" s="22">
        <f>SUM(AG14:AG30)</f>
      </c>
      <c r="AH32" s="22">
        <f>SUM(AH14:AH30)</f>
      </c>
      <c r="AI32" s="22">
        <f>SUM(AI14:AI30)</f>
      </c>
      <c r="AJ32" s="22">
        <f>SUM(AJ14:AJ30)</f>
      </c>
      <c r="AK32" s="22">
        <f>SUM(AK14:AK30)</f>
      </c>
      <c r="AL32" s="22">
        <f>SUM(AL14:AL30)</f>
      </c>
      <c r="AM32" s="23"/>
    </row>
    <row r="34" ht="13.5" customHeight="1" spans="2:39" x14ac:dyDescent="0.25">
      <c r="B34" s="46"/>
      <c r="C34" s="28"/>
      <c r="D34" s="47" t="s">
        <v>43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/>
    </row>
    <row r="35" ht="13.5" customHeight="1" spans="2:39" x14ac:dyDescent="0.25">
      <c r="B35" s="51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40"/>
    </row>
    <row r="36" ht="13.5" customHeight="1" spans="2:39" x14ac:dyDescent="0.25">
      <c r="B36" s="20"/>
      <c r="C36" s="21"/>
      <c r="D36" s="21" t="s">
        <v>89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3"/>
    </row>
    <row r="38" ht="13.5" customHeight="1" spans="2:39" x14ac:dyDescent="0.25">
      <c r="B38" s="46"/>
      <c r="C38" s="28"/>
      <c r="D38" s="47" t="s">
        <v>44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9"/>
    </row>
    <row r="39" ht="13.5" customHeight="1" spans="2:39" x14ac:dyDescent="0.25">
      <c r="B39" s="5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0"/>
    </row>
    <row r="40" ht="13.5" customHeight="1" spans="2:39" x14ac:dyDescent="0.25">
      <c r="B40" s="20"/>
      <c r="C40" s="21"/>
      <c r="D40" s="21" t="s">
        <v>90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3"/>
    </row>
    <row r="43" ht="12.75" customHeight="1" spans="2:39" x14ac:dyDescent="0.25">
      <c r="B43" s="11" t="s">
        <v>40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>
        <f>G11</f>
      </c>
      <c r="H44" s="18">
        <f>H11</f>
      </c>
      <c r="I44" s="18">
        <f>I11</f>
      </c>
      <c r="J44" s="18">
        <f>J11</f>
      </c>
      <c r="K44" s="18">
        <f>K11</f>
      </c>
      <c r="L44" s="18">
        <f>L11</f>
      </c>
      <c r="M44" s="18">
        <f>M11</f>
      </c>
      <c r="N44" s="18">
        <f>N11</f>
      </c>
      <c r="O44" s="18">
        <f>O11</f>
      </c>
      <c r="P44" s="18">
        <f>P11</f>
      </c>
      <c r="Q44" s="18">
        <f>Q11</f>
      </c>
      <c r="R44" s="18">
        <f>R11</f>
      </c>
      <c r="S44" s="18">
        <f>S11</f>
      </c>
      <c r="T44" s="18">
        <f>T11</f>
      </c>
      <c r="U44" s="18">
        <f>U11</f>
      </c>
      <c r="V44" s="18">
        <f>V11</f>
      </c>
      <c r="W44" s="18">
        <f>W11</f>
      </c>
      <c r="X44" s="18">
        <f>X11</f>
      </c>
      <c r="Y44" s="18">
        <f>Y11</f>
      </c>
      <c r="Z44" s="18">
        <f>Z11</f>
      </c>
      <c r="AA44" s="18">
        <f>AA11</f>
      </c>
      <c r="AB44" s="18">
        <f>AB11</f>
      </c>
      <c r="AC44" s="18">
        <f>AC11</f>
      </c>
      <c r="AD44" s="18">
        <f>AD11</f>
      </c>
      <c r="AE44" s="18">
        <f>AE11</f>
      </c>
      <c r="AF44" s="18">
        <f>AF11</f>
      </c>
      <c r="AG44" s="18">
        <f>AG11</f>
      </c>
      <c r="AH44" s="18">
        <f>AH11</f>
      </c>
      <c r="AI44" s="18">
        <f>AI11</f>
      </c>
      <c r="AJ44" s="18">
        <f>AJ11</f>
      </c>
      <c r="AK44" s="18">
        <f>AK11</f>
      </c>
      <c r="AL44" s="18">
        <f>AL11</f>
      </c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>
        <f>G32</f>
      </c>
      <c r="H45" s="18">
        <f>H32</f>
      </c>
      <c r="I45" s="18">
        <f>I32</f>
      </c>
      <c r="J45" s="18">
        <f>J32</f>
      </c>
      <c r="K45" s="18">
        <f>K32</f>
      </c>
      <c r="L45" s="18">
        <f>L32</f>
      </c>
      <c r="M45" s="18">
        <f>M32</f>
      </c>
      <c r="N45" s="18">
        <f>N32</f>
      </c>
      <c r="O45" s="18">
        <f>O32</f>
      </c>
      <c r="P45" s="18">
        <f>P32</f>
      </c>
      <c r="Q45" s="18">
        <f>Q32</f>
      </c>
      <c r="R45" s="18">
        <f>R32</f>
      </c>
      <c r="S45" s="18">
        <f>S32</f>
      </c>
      <c r="T45" s="18">
        <f>T32</f>
      </c>
      <c r="U45" s="18">
        <f>U32</f>
      </c>
      <c r="V45" s="18">
        <f>V32</f>
      </c>
      <c r="W45" s="18">
        <f>W32</f>
      </c>
      <c r="X45" s="18">
        <f>X32</f>
      </c>
      <c r="Y45" s="18">
        <f>Y32</f>
      </c>
      <c r="Z45" s="18">
        <f>Z32</f>
      </c>
      <c r="AA45" s="18">
        <f>AA32</f>
      </c>
      <c r="AB45" s="18">
        <f>AB32</f>
      </c>
      <c r="AC45" s="18">
        <f>AC32</f>
      </c>
      <c r="AD45" s="18">
        <f>AD32</f>
      </c>
      <c r="AE45" s="18">
        <f>AE32</f>
      </c>
      <c r="AF45" s="18">
        <f>AF32</f>
      </c>
      <c r="AG45" s="18">
        <f>AG32</f>
      </c>
      <c r="AH45" s="18">
        <f>AH32</f>
      </c>
      <c r="AI45" s="18">
        <f>AI32</f>
      </c>
      <c r="AJ45" s="18">
        <f>AJ32</f>
      </c>
      <c r="AK45" s="18">
        <f>AK32</f>
      </c>
      <c r="AL45" s="18">
        <f>AL32</f>
      </c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>
        <f>G36</f>
      </c>
      <c r="H46" s="18">
        <f>H36</f>
      </c>
      <c r="I46" s="18">
        <f>I36</f>
      </c>
      <c r="J46" s="18">
        <f>J36</f>
      </c>
      <c r="K46" s="18">
        <f>K36</f>
      </c>
      <c r="L46" s="18">
        <f>L36</f>
      </c>
      <c r="M46" s="18">
        <f>M36</f>
      </c>
      <c r="N46" s="18">
        <f>N36</f>
      </c>
      <c r="O46" s="18">
        <f>O36</f>
      </c>
      <c r="P46" s="18">
        <f>P36</f>
      </c>
      <c r="Q46" s="18">
        <f>Q36</f>
      </c>
      <c r="R46" s="18">
        <f>R36</f>
      </c>
      <c r="S46" s="18">
        <f>S36</f>
      </c>
      <c r="T46" s="18">
        <f>T36</f>
      </c>
      <c r="U46" s="18">
        <f>U36</f>
      </c>
      <c r="V46" s="18">
        <f>V36</f>
      </c>
      <c r="W46" s="18">
        <f>W36</f>
      </c>
      <c r="X46" s="18">
        <f>X36</f>
      </c>
      <c r="Y46" s="18">
        <f>Y36</f>
      </c>
      <c r="Z46" s="18">
        <f>Z36</f>
      </c>
      <c r="AA46" s="18">
        <f>AA36</f>
      </c>
      <c r="AB46" s="18">
        <f>AB36</f>
      </c>
      <c r="AC46" s="18">
        <f>AC36</f>
      </c>
      <c r="AD46" s="18">
        <f>AD36</f>
      </c>
      <c r="AE46" s="18">
        <f>AE36</f>
      </c>
      <c r="AF46" s="18">
        <f>AF36</f>
      </c>
      <c r="AG46" s="18">
        <f>AG36</f>
      </c>
      <c r="AH46" s="18">
        <f>AH36</f>
      </c>
      <c r="AI46" s="18">
        <f>AI36</f>
      </c>
      <c r="AJ46" s="18">
        <f>AJ36</f>
      </c>
      <c r="AK46" s="18">
        <f>AK36</f>
      </c>
      <c r="AL46" s="18">
        <f>AL36</f>
      </c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8">
        <f>AK40</f>
      </c>
      <c r="AL47" s="18">
        <f>AL40</f>
      </c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46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2">
        <f>AK51+AK52+AK53+AK54</f>
      </c>
      <c r="AL55" s="22">
        <f>AL51+AL52+AL53+AL54</f>
      </c>
      <c r="AM55" s="23"/>
    </row>
    <row r="57" ht="12.75" customHeight="1" spans="2:39" x14ac:dyDescent="0.25">
      <c r="B57" s="11" t="s">
        <v>47</v>
      </c>
      <c r="C57" s="12"/>
      <c r="D57" s="12"/>
      <c r="E57" s="12"/>
      <c r="F57" s="12"/>
      <c r="G57" s="52" t="s">
        <v>7</v>
      </c>
      <c r="H57" s="52" t="s">
        <v>8</v>
      </c>
      <c r="I57" s="52" t="s">
        <v>9</v>
      </c>
      <c r="J57" s="52" t="s">
        <v>10</v>
      </c>
      <c r="K57" s="52" t="s">
        <v>11</v>
      </c>
      <c r="L57" s="52" t="s">
        <v>12</v>
      </c>
      <c r="M57" s="52" t="s">
        <v>13</v>
      </c>
      <c r="N57" s="52" t="s">
        <v>14</v>
      </c>
      <c r="O57" s="52" t="s">
        <v>15</v>
      </c>
      <c r="P57" s="52" t="s">
        <v>16</v>
      </c>
      <c r="Q57" s="52" t="s">
        <v>17</v>
      </c>
      <c r="R57" s="52" t="s">
        <v>18</v>
      </c>
      <c r="S57" s="52" t="s">
        <v>19</v>
      </c>
      <c r="T57" s="52" t="s">
        <v>20</v>
      </c>
      <c r="U57" s="52" t="s">
        <v>21</v>
      </c>
      <c r="V57" s="52" t="s">
        <v>22</v>
      </c>
      <c r="W57" s="52" t="s">
        <v>23</v>
      </c>
      <c r="X57" s="52" t="s">
        <v>24</v>
      </c>
      <c r="Y57" s="52" t="s">
        <v>25</v>
      </c>
      <c r="Z57" s="52" t="s">
        <v>26</v>
      </c>
      <c r="AA57" s="52" t="s">
        <v>27</v>
      </c>
      <c r="AB57" s="52" t="s">
        <v>28</v>
      </c>
      <c r="AC57" s="52" t="s">
        <v>29</v>
      </c>
      <c r="AD57" s="52" t="s">
        <v>30</v>
      </c>
      <c r="AE57" s="52" t="s">
        <v>31</v>
      </c>
      <c r="AF57" s="52" t="s">
        <v>32</v>
      </c>
      <c r="AG57" s="52" t="s">
        <v>33</v>
      </c>
      <c r="AH57" s="52" t="s">
        <v>34</v>
      </c>
      <c r="AI57" s="52" t="s">
        <v>35</v>
      </c>
      <c r="AJ57" s="52" t="s">
        <v>36</v>
      </c>
      <c r="AK57" s="52" t="s">
        <v>37</v>
      </c>
      <c r="AL57" s="52" t="s">
        <v>38</v>
      </c>
      <c r="AM57" s="15"/>
    </row>
    <row r="58" ht="12.75" customHeight="1" spans="2:39" x14ac:dyDescent="0.25">
      <c r="B58" s="16"/>
      <c r="C58" s="17"/>
      <c r="D58" s="17" t="s">
        <v>41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16"/>
      <c r="C59" s="17"/>
      <c r="D59" s="17" t="s">
        <v>42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43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44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20"/>
      <c r="C62" s="21"/>
      <c r="D62" s="21" t="s">
        <v>45</v>
      </c>
      <c r="E62" s="21"/>
      <c r="F62" s="21"/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5">
        <f>AK58+AK59+AK60+AK61</f>
      </c>
      <c r="AL62" s="25">
        <f>AL58+AL59+AL60+AL61</f>
      </c>
      <c r="AM6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1435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1436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3">
        <v>326.61</v>
      </c>
      <c r="Z13" s="33">
        <v>16.51</v>
      </c>
      <c r="AA13" s="33">
        <v>343.12</v>
      </c>
      <c r="AB13" s="33">
        <v>343.46</v>
      </c>
      <c r="AC13" s="33">
        <v>343.46</v>
      </c>
      <c r="AD13" s="33">
        <v>343.46</v>
      </c>
      <c r="AE13" s="33">
        <v>343.46</v>
      </c>
      <c r="AF13" s="33">
        <v>364.93</v>
      </c>
      <c r="AG13" s="33">
        <v>364.93</v>
      </c>
      <c r="AH13" s="33">
        <v>364.93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1437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3">
        <v>549.14</v>
      </c>
      <c r="Z14" s="33">
        <v>-24.9</v>
      </c>
      <c r="AA14" s="33">
        <v>631.41</v>
      </c>
      <c r="AB14" s="33">
        <v>584.49</v>
      </c>
      <c r="AC14" s="33">
        <v>525.96</v>
      </c>
      <c r="AD14" s="33">
        <v>472.9</v>
      </c>
      <c r="AE14" s="33">
        <v>399.03</v>
      </c>
      <c r="AF14" s="33">
        <v>424.69</v>
      </c>
      <c r="AG14" s="33">
        <v>367.38</v>
      </c>
      <c r="AH14" s="33">
        <v>385.5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1438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14.23</v>
      </c>
      <c r="Z15" s="33">
        <v>0</v>
      </c>
      <c r="AA15" s="33">
        <v>14.23</v>
      </c>
      <c r="AB15" s="33">
        <v>14.23</v>
      </c>
      <c r="AC15" s="33">
        <v>14.23</v>
      </c>
      <c r="AD15" s="33">
        <v>14.23</v>
      </c>
      <c r="AE15" s="33">
        <v>14.23</v>
      </c>
      <c r="AF15" s="33">
        <v>13.91</v>
      </c>
      <c r="AG15" s="33">
        <v>13.91</v>
      </c>
      <c r="AH15" s="33">
        <v>13.89</v>
      </c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SUM(E13:E15)</f>
      </c>
      <c r="F17" s="22">
        <f>SUM(F13:F15)</f>
      </c>
      <c r="G17" s="22">
        <f>SUM(G13:G15)</f>
      </c>
      <c r="H17" s="22">
        <f>SUM(H13:H15)</f>
      </c>
      <c r="I17" s="22">
        <f>SUM(I13:I15)</f>
      </c>
      <c r="J17" s="22">
        <f>SUM(J13:J15)</f>
      </c>
      <c r="K17" s="22">
        <f>SUM(K13:K15)</f>
      </c>
      <c r="L17" s="22">
        <f>SUM(L13:L15)</f>
      </c>
      <c r="M17" s="22">
        <f>SUM(M13:M15)</f>
      </c>
      <c r="N17" s="22">
        <f>SUM(N13:N15)</f>
      </c>
      <c r="O17" s="22">
        <f>SUM(O13:O15)</f>
      </c>
      <c r="P17" s="22">
        <f>SUM(P13:P15)</f>
      </c>
      <c r="Q17" s="22">
        <f>SUM(Q13:Q15)</f>
      </c>
      <c r="R17" s="22">
        <f>SUM(R13:R15)</f>
      </c>
      <c r="S17" s="22">
        <f>SUM(S13:S15)</f>
      </c>
      <c r="T17" s="22">
        <f>SUM(T13:T15)</f>
      </c>
      <c r="U17" s="22">
        <f>SUM(U13:U15)</f>
      </c>
      <c r="V17" s="22">
        <f>SUM(V13:V15)</f>
      </c>
      <c r="W17" s="22">
        <f>SUM(W13:W15)</f>
      </c>
      <c r="X17" s="22">
        <f>SUM(X13:X15)</f>
      </c>
      <c r="Y17" s="22">
        <f>SUM(Y13:Y15)</f>
      </c>
      <c r="Z17" s="22">
        <f>SUM(Z13:Z15)</f>
      </c>
      <c r="AA17" s="22">
        <f>SUM(AA13:AA15)</f>
      </c>
      <c r="AB17" s="22">
        <f>SUM(AB13:AB15)</f>
      </c>
      <c r="AC17" s="22">
        <f>SUM(AC13:AC15)</f>
      </c>
      <c r="AD17" s="22">
        <f>SUM(AD13:AD15)</f>
      </c>
      <c r="AE17" s="22">
        <f>SUM(AE13:AE15)</f>
      </c>
      <c r="AF17" s="22">
        <f>SUM(AF13:AF15)</f>
      </c>
      <c r="AG17" s="22">
        <f>SUM(AG13:AG15)</f>
      </c>
      <c r="AH17" s="22">
        <f>SUM(AH13:AH15)</f>
      </c>
      <c r="AI17" s="22">
        <f>SUM(AI13:AI15)</f>
      </c>
      <c r="AJ17" s="22">
        <f>SUM(AJ13:AJ15)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1439</v>
      </c>
      <c r="D20" s="32" t="s">
        <v>1440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6">
        <f>4992.48+3183.52</f>
        <v>8176</v>
      </c>
      <c r="Z20" s="36">
        <f>5702.40+3616.09</f>
        <v>9318.49</v>
      </c>
      <c r="AA20" s="36">
        <f>6306.24+3984.01</f>
        <v>10290.25</v>
      </c>
      <c r="AB20" s="32"/>
      <c r="AC20" s="36">
        <f>4380.48+2810.62+6151.20+3889.60</f>
        <v>17231.899999999998</v>
      </c>
      <c r="AD20" s="36">
        <f>5082.24+3238.21</f>
        <v>8320.45</v>
      </c>
      <c r="AE20" s="36">
        <f>5433.12+-4418.77</f>
        <v>1014.3499999999995</v>
      </c>
      <c r="AF20" s="36">
        <f>6795.84+-4717.80</f>
        <v>2078.04</v>
      </c>
      <c r="AG20" s="36">
        <f>3703.20+2460.91</f>
        <v>6164.11</v>
      </c>
      <c r="AH20" s="36">
        <f>5653.44+3586.25</f>
        <v>9239.689999999999</v>
      </c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44</v>
      </c>
      <c r="C25" s="31" t="s">
        <v>1439</v>
      </c>
      <c r="D25" s="32" t="s">
        <v>1440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3">
        <v>679.68</v>
      </c>
      <c r="Z25" s="33">
        <v>679.68</v>
      </c>
      <c r="AA25" s="33">
        <v>679.68</v>
      </c>
      <c r="AB25" s="32"/>
      <c r="AC25" s="36">
        <f>679.68+679.60</f>
        <v>1359.28</v>
      </c>
      <c r="AD25" s="33">
        <v>679.68</v>
      </c>
      <c r="AE25" s="33">
        <v>679.68</v>
      </c>
      <c r="AF25" s="33">
        <v>679.68</v>
      </c>
      <c r="AG25" s="33">
        <v>679.68</v>
      </c>
      <c r="AH25" s="33">
        <v>679.68</v>
      </c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E10</f>
      </c>
      <c r="F31" s="18">
        <f>F10</f>
      </c>
      <c r="G31" s="18">
        <f>G10</f>
      </c>
      <c r="H31" s="18">
        <f>H10</f>
      </c>
      <c r="I31" s="18">
        <f>I10</f>
      </c>
      <c r="J31" s="18">
        <f>J10</f>
      </c>
      <c r="K31" s="18">
        <f>K10</f>
      </c>
      <c r="L31" s="18">
        <f>L10</f>
      </c>
      <c r="M31" s="18">
        <f>M10</f>
      </c>
      <c r="N31" s="18">
        <f>N10</f>
      </c>
      <c r="O31" s="18">
        <f>O10</f>
      </c>
      <c r="P31" s="18">
        <f>P10</f>
      </c>
      <c r="Q31" s="18">
        <f>Q10</f>
      </c>
      <c r="R31" s="18">
        <f>R10</f>
      </c>
      <c r="S31" s="18">
        <f>S10</f>
      </c>
      <c r="T31" s="18">
        <f>T10</f>
      </c>
      <c r="U31" s="18">
        <f>U10</f>
      </c>
      <c r="V31" s="18">
        <f>V10</f>
      </c>
      <c r="W31" s="18">
        <f>W10</f>
      </c>
      <c r="X31" s="18">
        <f>X10</f>
      </c>
      <c r="Y31" s="18">
        <f>Y10</f>
      </c>
      <c r="Z31" s="18">
        <f>Z10</f>
      </c>
      <c r="AA31" s="18">
        <f>AA10</f>
      </c>
      <c r="AB31" s="18">
        <f>AB10</f>
      </c>
      <c r="AC31" s="18">
        <f>AC10</f>
      </c>
      <c r="AD31" s="18">
        <f>AD10</f>
      </c>
      <c r="AE31" s="18">
        <f>AE10</f>
      </c>
      <c r="AF31" s="18">
        <f>AF10</f>
      </c>
      <c r="AG31" s="18">
        <f>AG10</f>
      </c>
      <c r="AH31" s="18">
        <f>AH10</f>
      </c>
      <c r="AI31" s="18">
        <f>AI10</f>
      </c>
      <c r="AJ31" s="18">
        <f>AJ10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E22</f>
      </c>
      <c r="F33" s="18">
        <f>F22</f>
      </c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1435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1441</v>
      </c>
      <c r="AB8" s="44" t="s">
        <v>1442</v>
      </c>
      <c r="AC8" s="44" t="s">
        <v>1443</v>
      </c>
      <c r="AD8" s="44" t="s">
        <v>1444</v>
      </c>
      <c r="AE8" s="44" t="s">
        <v>1445</v>
      </c>
      <c r="AF8" s="44" t="s">
        <v>1446</v>
      </c>
      <c r="AG8" s="44" t="s">
        <v>1447</v>
      </c>
      <c r="AH8" s="44" t="s">
        <v>1448</v>
      </c>
      <c r="AI8" s="44" t="s">
        <v>1449</v>
      </c>
      <c r="AJ8" s="44" t="s">
        <v>1450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1435</v>
      </c>
      <c r="D14" s="50" t="s">
        <v>42</v>
      </c>
      <c r="E14" s="32" t="s">
        <v>227</v>
      </c>
      <c r="F14" s="32" t="s">
        <v>1436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v>326.61</v>
      </c>
      <c r="AB14" s="33">
        <v>16.51</v>
      </c>
      <c r="AC14" s="33">
        <v>343.12</v>
      </c>
      <c r="AD14" s="33">
        <v>343.46</v>
      </c>
      <c r="AE14" s="33">
        <v>343.46</v>
      </c>
      <c r="AF14" s="33">
        <v>343.46</v>
      </c>
      <c r="AG14" s="33">
        <v>343.46</v>
      </c>
      <c r="AH14" s="33">
        <v>364.93</v>
      </c>
      <c r="AI14" s="33">
        <v>364.93</v>
      </c>
      <c r="AJ14" s="33">
        <v>364.93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1435</v>
      </c>
      <c r="D15" s="50" t="s">
        <v>42</v>
      </c>
      <c r="E15" s="32" t="s">
        <v>227</v>
      </c>
      <c r="F15" s="32" t="s">
        <v>1437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>
        <v>549.14</v>
      </c>
      <c r="AB15" s="33">
        <v>-24.9</v>
      </c>
      <c r="AC15" s="33">
        <v>631.41</v>
      </c>
      <c r="AD15" s="33">
        <v>584.49</v>
      </c>
      <c r="AE15" s="33">
        <v>525.96</v>
      </c>
      <c r="AF15" s="33">
        <v>472.9</v>
      </c>
      <c r="AG15" s="33">
        <v>399.03</v>
      </c>
      <c r="AH15" s="33">
        <v>424.69</v>
      </c>
      <c r="AI15" s="33">
        <v>367.38</v>
      </c>
      <c r="AJ15" s="33">
        <v>385.5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1435</v>
      </c>
      <c r="D16" s="50" t="s">
        <v>42</v>
      </c>
      <c r="E16" s="32" t="s">
        <v>227</v>
      </c>
      <c r="F16" s="32" t="s">
        <v>1438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14.23</v>
      </c>
      <c r="AB16" s="33">
        <v>0</v>
      </c>
      <c r="AC16" s="33">
        <v>14.23</v>
      </c>
      <c r="AD16" s="33">
        <v>14.23</v>
      </c>
      <c r="AE16" s="33">
        <v>14.23</v>
      </c>
      <c r="AF16" s="33">
        <v>14.23</v>
      </c>
      <c r="AG16" s="33">
        <v>14.23</v>
      </c>
      <c r="AH16" s="33">
        <v>13.91</v>
      </c>
      <c r="AI16" s="33">
        <v>13.91</v>
      </c>
      <c r="AJ16" s="33">
        <v>13.89</v>
      </c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SUM(G14:G16)</f>
      </c>
      <c r="H18" s="22">
        <f>SUM(H14:H16)</f>
      </c>
      <c r="I18" s="22">
        <f>SUM(I14:I16)</f>
      </c>
      <c r="J18" s="22">
        <f>SUM(J14:J16)</f>
      </c>
      <c r="K18" s="22">
        <f>SUM(K14:K16)</f>
      </c>
      <c r="L18" s="22">
        <f>SUM(L14:L16)</f>
      </c>
      <c r="M18" s="22">
        <f>SUM(M14:M16)</f>
      </c>
      <c r="N18" s="22">
        <f>SUM(N14:N16)</f>
      </c>
      <c r="O18" s="22">
        <f>SUM(O14:O16)</f>
      </c>
      <c r="P18" s="22">
        <f>SUM(P14:P16)</f>
      </c>
      <c r="Q18" s="22">
        <f>SUM(Q14:Q16)</f>
      </c>
      <c r="R18" s="22">
        <f>SUM(R14:R16)</f>
      </c>
      <c r="S18" s="22">
        <f>SUM(S14:S16)</f>
      </c>
      <c r="T18" s="22">
        <f>SUM(T14:T16)</f>
      </c>
      <c r="U18" s="22">
        <f>SUM(U14:U16)</f>
      </c>
      <c r="V18" s="22">
        <f>SUM(V14:V16)</f>
      </c>
      <c r="W18" s="22">
        <f>SUM(W14:W16)</f>
      </c>
      <c r="X18" s="22">
        <f>SUM(X14:X16)</f>
      </c>
      <c r="Y18" s="22">
        <f>SUM(Y14:Y16)</f>
      </c>
      <c r="Z18" s="22">
        <f>SUM(Z14:Z16)</f>
      </c>
      <c r="AA18" s="22">
        <f>SUM(AA14:AA16)</f>
      </c>
      <c r="AB18" s="22">
        <f>SUM(AB14:AB16)</f>
      </c>
      <c r="AC18" s="22">
        <f>SUM(AC14:AC16)</f>
      </c>
      <c r="AD18" s="22">
        <f>SUM(AD14:AD16)</f>
      </c>
      <c r="AE18" s="22">
        <f>SUM(AE14:AE16)</f>
      </c>
      <c r="AF18" s="22">
        <f>SUM(AF14:AF16)</f>
      </c>
      <c r="AG18" s="22">
        <f>SUM(AG14:AG16)</f>
      </c>
      <c r="AH18" s="22">
        <f>SUM(AH14:AH16)</f>
      </c>
      <c r="AI18" s="22">
        <f>SUM(AI14:AI16)</f>
      </c>
      <c r="AJ18" s="22">
        <f>SUM(AJ14:AJ16)</f>
      </c>
      <c r="AK18" s="22">
        <f>SUM(AK14:AK16)</f>
      </c>
      <c r="AL18" s="22">
        <f>SUM(AL14:AL16)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1435</v>
      </c>
      <c r="D21" s="50" t="s">
        <v>43</v>
      </c>
      <c r="E21" s="32" t="s">
        <v>1439</v>
      </c>
      <c r="F21" s="32" t="s">
        <v>1440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f>4992.48+3183.52</f>
        <v>8176</v>
      </c>
      <c r="AB21" s="33">
        <f>5702.40+3616.09</f>
        <v>9318.49</v>
      </c>
      <c r="AC21" s="33">
        <f>6306.24+3984.01</f>
        <v>10290.25</v>
      </c>
      <c r="AD21" s="32"/>
      <c r="AE21" s="33">
        <f>4380.48+2810.62+6151.20+3889.60</f>
        <v>17231.899999999998</v>
      </c>
      <c r="AF21" s="33">
        <f>5082.24+3238.21</f>
        <v>8320.45</v>
      </c>
      <c r="AG21" s="33">
        <f>5433.12+-4418.77</f>
        <v>1014.3499999999995</v>
      </c>
      <c r="AH21" s="33">
        <f>6795.84+-4717.80</f>
        <v>2078.04</v>
      </c>
      <c r="AI21" s="33">
        <f>3703.20+2460.91</f>
        <v>6164.11</v>
      </c>
      <c r="AJ21" s="33">
        <f>5653.44+3586.25</f>
        <v>9239.689999999999</v>
      </c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1435</v>
      </c>
      <c r="D26" s="50" t="s">
        <v>44</v>
      </c>
      <c r="E26" s="32" t="s">
        <v>1439</v>
      </c>
      <c r="F26" s="32" t="s">
        <v>1440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>
        <v>679.68</v>
      </c>
      <c r="AB26" s="33">
        <v>679.68</v>
      </c>
      <c r="AC26" s="33">
        <v>679.68</v>
      </c>
      <c r="AD26" s="32"/>
      <c r="AE26" s="33">
        <f>679.68+679.60</f>
        <v>1359.28</v>
      </c>
      <c r="AF26" s="33">
        <v>679.68</v>
      </c>
      <c r="AG26" s="33">
        <v>679.68</v>
      </c>
      <c r="AH26" s="33">
        <v>679.68</v>
      </c>
      <c r="AI26" s="33">
        <v>679.68</v>
      </c>
      <c r="AJ26" s="33">
        <v>679.68</v>
      </c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G11</f>
      </c>
      <c r="H32" s="18">
        <f>H11</f>
      </c>
      <c r="I32" s="18">
        <f>I11</f>
      </c>
      <c r="J32" s="18">
        <f>J11</f>
      </c>
      <c r="K32" s="18">
        <f>K11</f>
      </c>
      <c r="L32" s="18">
        <f>L11</f>
      </c>
      <c r="M32" s="18">
        <f>M11</f>
      </c>
      <c r="N32" s="18">
        <f>N11</f>
      </c>
      <c r="O32" s="18">
        <f>O11</f>
      </c>
      <c r="P32" s="18">
        <f>P11</f>
      </c>
      <c r="Q32" s="18">
        <f>Q11</f>
      </c>
      <c r="R32" s="18">
        <f>R11</f>
      </c>
      <c r="S32" s="18">
        <f>S11</f>
      </c>
      <c r="T32" s="18">
        <f>T11</f>
      </c>
      <c r="U32" s="18">
        <f>U11</f>
      </c>
      <c r="V32" s="18">
        <f>V11</f>
      </c>
      <c r="W32" s="18">
        <f>W11</f>
      </c>
      <c r="X32" s="18">
        <f>X11</f>
      </c>
      <c r="Y32" s="18">
        <f>Y11</f>
      </c>
      <c r="Z32" s="18">
        <f>Z11</f>
      </c>
      <c r="AA32" s="18">
        <f>AA11</f>
      </c>
      <c r="AB32" s="18">
        <f>AB11</f>
      </c>
      <c r="AC32" s="18">
        <f>AC11</f>
      </c>
      <c r="AD32" s="18">
        <f>AD11</f>
      </c>
      <c r="AE32" s="18">
        <f>AE11</f>
      </c>
      <c r="AF32" s="18">
        <f>AF11</f>
      </c>
      <c r="AG32" s="18">
        <f>AG11</f>
      </c>
      <c r="AH32" s="18">
        <f>AH11</f>
      </c>
      <c r="AI32" s="18">
        <f>AI11</f>
      </c>
      <c r="AJ32" s="18">
        <f>AJ11</f>
      </c>
      <c r="AK32" s="18">
        <f>AK11</f>
      </c>
      <c r="AL32" s="18">
        <f>AL11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G23</f>
      </c>
      <c r="H34" s="18">
        <f>H23</f>
      </c>
      <c r="I34" s="18">
        <f>I23</f>
      </c>
      <c r="J34" s="18">
        <f>J23</f>
      </c>
      <c r="K34" s="18">
        <f>K23</f>
      </c>
      <c r="L34" s="18">
        <f>L23</f>
      </c>
      <c r="M34" s="18">
        <f>M23</f>
      </c>
      <c r="N34" s="18">
        <f>N23</f>
      </c>
      <c r="O34" s="18">
        <f>O23</f>
      </c>
      <c r="P34" s="18">
        <f>P23</f>
      </c>
      <c r="Q34" s="18">
        <f>Q23</f>
      </c>
      <c r="R34" s="18">
        <f>R23</f>
      </c>
      <c r="S34" s="18">
        <f>S23</f>
      </c>
      <c r="T34" s="18">
        <f>T23</f>
      </c>
      <c r="U34" s="18">
        <f>U23</f>
      </c>
      <c r="V34" s="18">
        <f>V23</f>
      </c>
      <c r="W34" s="18">
        <f>W23</f>
      </c>
      <c r="X34" s="18">
        <f>X23</f>
      </c>
      <c r="Y34" s="18">
        <f>Y23</f>
      </c>
      <c r="Z34" s="18">
        <f>Z23</f>
      </c>
      <c r="AA34" s="18">
        <f>AA23</f>
      </c>
      <c r="AB34" s="18">
        <f>AB23</f>
      </c>
      <c r="AC34" s="18">
        <f>AC23</f>
      </c>
      <c r="AD34" s="18">
        <f>AD23</f>
      </c>
      <c r="AE34" s="18">
        <f>AE23</f>
      </c>
      <c r="AF34" s="18">
        <f>AF23</f>
      </c>
      <c r="AG34" s="18">
        <f>AG23</f>
      </c>
      <c r="AH34" s="18">
        <f>AH23</f>
      </c>
      <c r="AI34" s="18">
        <f>AI23</f>
      </c>
      <c r="AJ34" s="18">
        <f>AJ23</f>
      </c>
      <c r="AK34" s="18">
        <f>AK23</f>
      </c>
      <c r="AL34" s="18">
        <f>AL23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1451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1452</v>
      </c>
      <c r="E13" s="32"/>
      <c r="F13" s="32"/>
      <c r="G13" s="32"/>
      <c r="H13" s="33">
        <v>333.12</v>
      </c>
      <c r="I13" s="36">
        <f>336.46+335.18</f>
        <v>671.64</v>
      </c>
      <c r="J13" s="33">
        <v>335.13</v>
      </c>
      <c r="K13" s="33">
        <v>331.36</v>
      </c>
      <c r="L13" s="33">
        <v>326.36</v>
      </c>
      <c r="M13" s="33">
        <v>326.36</v>
      </c>
      <c r="N13" s="33">
        <v>326.36</v>
      </c>
      <c r="O13" s="33">
        <v>324.95</v>
      </c>
      <c r="P13" s="33">
        <v>326.36</v>
      </c>
      <c r="Q13" s="33">
        <v>326.36</v>
      </c>
      <c r="R13" s="33">
        <v>326.36</v>
      </c>
      <c r="S13" s="33">
        <v>326.36</v>
      </c>
      <c r="T13" s="33">
        <v>341.47</v>
      </c>
      <c r="U13" s="33">
        <v>343.12</v>
      </c>
      <c r="V13" s="33">
        <v>343.12</v>
      </c>
      <c r="W13" s="33">
        <v>343.12</v>
      </c>
      <c r="X13" s="33">
        <v>343.12</v>
      </c>
      <c r="Y13" s="33">
        <v>343.12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1453</v>
      </c>
      <c r="E14" s="32"/>
      <c r="F14" s="32"/>
      <c r="G14" s="32"/>
      <c r="H14" s="33">
        <v>525.72</v>
      </c>
      <c r="I14" s="33">
        <v>515.97</v>
      </c>
      <c r="J14" s="33">
        <v>562.96</v>
      </c>
      <c r="K14" s="33">
        <v>522.46</v>
      </c>
      <c r="L14" s="33">
        <v>495.9</v>
      </c>
      <c r="M14" s="33">
        <v>595.93</v>
      </c>
      <c r="N14" s="33">
        <v>521.3</v>
      </c>
      <c r="O14" s="33">
        <v>574.73</v>
      </c>
      <c r="P14" s="33">
        <v>632.94</v>
      </c>
      <c r="Q14" s="33">
        <v>542.27</v>
      </c>
      <c r="R14" s="33">
        <v>429.21</v>
      </c>
      <c r="S14" s="33">
        <v>413.73</v>
      </c>
      <c r="T14" s="36">
        <f>0.00+387.06</f>
        <v>387.06</v>
      </c>
      <c r="U14" s="33">
        <v>457.64</v>
      </c>
      <c r="V14" s="33">
        <v>416.27</v>
      </c>
      <c r="W14" s="33">
        <v>414.53</v>
      </c>
      <c r="X14" s="33">
        <v>485.43</v>
      </c>
      <c r="Y14" s="33">
        <v>549.14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1454</v>
      </c>
      <c r="E15" s="32"/>
      <c r="F15" s="32"/>
      <c r="G15" s="32"/>
      <c r="H15" s="33">
        <v>13.17</v>
      </c>
      <c r="I15" s="33">
        <v>13.26</v>
      </c>
      <c r="J15" s="33">
        <v>13.24</v>
      </c>
      <c r="K15" s="33">
        <v>12.63</v>
      </c>
      <c r="L15" s="33">
        <v>12.39</v>
      </c>
      <c r="M15" s="33">
        <v>12.39</v>
      </c>
      <c r="N15" s="33">
        <v>12.39</v>
      </c>
      <c r="O15" s="33">
        <v>12.15</v>
      </c>
      <c r="P15" s="33">
        <v>12.39</v>
      </c>
      <c r="Q15" s="33">
        <v>12.39</v>
      </c>
      <c r="R15" s="33">
        <v>12.39</v>
      </c>
      <c r="S15" s="33">
        <v>12.39</v>
      </c>
      <c r="T15" s="33">
        <v>14.19</v>
      </c>
      <c r="U15" s="33">
        <v>14.25</v>
      </c>
      <c r="V15" s="33">
        <v>14.25</v>
      </c>
      <c r="W15" s="33">
        <v>14.25</v>
      </c>
      <c r="X15" s="33">
        <v>14.25</v>
      </c>
      <c r="Y15" s="33">
        <v>14.23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SUM(E13:E15)</f>
      </c>
      <c r="F17" s="22">
        <f>SUM(F13:F15)</f>
      </c>
      <c r="G17" s="22">
        <f>SUM(G13:G15)</f>
      </c>
      <c r="H17" s="22">
        <f>SUM(H13:H15)</f>
      </c>
      <c r="I17" s="22">
        <f>SUM(I13:I15)</f>
      </c>
      <c r="J17" s="22">
        <f>SUM(J13:J15)</f>
      </c>
      <c r="K17" s="22">
        <f>SUM(K13:K15)</f>
      </c>
      <c r="L17" s="22">
        <f>SUM(L13:L15)</f>
      </c>
      <c r="M17" s="22">
        <f>SUM(M13:M15)</f>
      </c>
      <c r="N17" s="22">
        <f>SUM(N13:N15)</f>
      </c>
      <c r="O17" s="22">
        <f>SUM(O13:O15)</f>
      </c>
      <c r="P17" s="22">
        <f>SUM(P13:P15)</f>
      </c>
      <c r="Q17" s="22">
        <f>SUM(Q13:Q15)</f>
      </c>
      <c r="R17" s="22">
        <f>SUM(R13:R15)</f>
      </c>
      <c r="S17" s="22">
        <f>SUM(S13:S15)</f>
      </c>
      <c r="T17" s="22">
        <f>SUM(T13:T15)</f>
      </c>
      <c r="U17" s="22">
        <f>SUM(U13:U15)</f>
      </c>
      <c r="V17" s="22">
        <f>SUM(V13:V15)</f>
      </c>
      <c r="W17" s="22">
        <f>SUM(W13:W15)</f>
      </c>
      <c r="X17" s="22">
        <f>SUM(X13:X15)</f>
      </c>
      <c r="Y17" s="22">
        <f>SUM(Y13:Y15)</f>
      </c>
      <c r="Z17" s="22">
        <f>SUM(Z13:Z15)</f>
      </c>
      <c r="AA17" s="22">
        <f>SUM(AA13:AA15)</f>
      </c>
      <c r="AB17" s="22">
        <f>SUM(AB13:AB15)</f>
      </c>
      <c r="AC17" s="22">
        <f>SUM(AC13:AC15)</f>
      </c>
      <c r="AD17" s="22">
        <f>SUM(AD13:AD15)</f>
      </c>
      <c r="AE17" s="22">
        <f>SUM(AE13:AE15)</f>
      </c>
      <c r="AF17" s="22">
        <f>SUM(AF13:AF15)</f>
      </c>
      <c r="AG17" s="22">
        <f>SUM(AG13:AG15)</f>
      </c>
      <c r="AH17" s="22">
        <f>SUM(AH13:AH15)</f>
      </c>
      <c r="AI17" s="22">
        <f>SUM(AI13:AI15)</f>
      </c>
      <c r="AJ17" s="22">
        <f>SUM(AJ13:AJ15)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3</v>
      </c>
      <c r="D20" s="32" t="s">
        <v>1440</v>
      </c>
      <c r="E20" s="32"/>
      <c r="F20" s="32"/>
      <c r="G20" s="32"/>
      <c r="H20" s="36">
        <f>5769.52+3328.90</f>
        <v>9098.42</v>
      </c>
      <c r="I20" s="36">
        <f>5110.45+2963.80</f>
        <v>8074.25</v>
      </c>
      <c r="J20" s="36">
        <f>5076.66+2945.08</f>
        <v>8021.74</v>
      </c>
      <c r="K20" s="36">
        <f>5376.00+3417.21</f>
        <v>8793.21</v>
      </c>
      <c r="L20" s="36">
        <f>5456.88+3155.71</f>
        <v>8612.59</v>
      </c>
      <c r="M20" s="36">
        <f>5532.93+3197.84</f>
        <v>8730.77</v>
      </c>
      <c r="N20" s="36">
        <f>5608.98+3239.97</f>
        <v>8848.949999999999</v>
      </c>
      <c r="O20" s="36">
        <f>5514.72+3501.73</f>
        <v>9016.45</v>
      </c>
      <c r="P20" s="36">
        <f>5837.12+3366.35</f>
        <v>9203.47</v>
      </c>
      <c r="Q20" s="36">
        <f>5118.90+2968.48</f>
        <v>8087.379999999999</v>
      </c>
      <c r="R20" s="36">
        <f>5220.30+3024.65</f>
        <v>8244.95</v>
      </c>
      <c r="S20" s="36">
        <f>6183.56+3558.26</f>
        <v>9741.82</v>
      </c>
      <c r="T20" s="36">
        <f>5769.52+3328.90</f>
        <v>9098.42</v>
      </c>
      <c r="U20" s="36">
        <f>5625.88+3249.33</f>
        <v>8875.21</v>
      </c>
      <c r="V20" s="36">
        <f>5068.21+2940.40</f>
        <v>8008.610000000001</v>
      </c>
      <c r="W20" s="36">
        <f>5016.96+3198.44</f>
        <v>8215.4</v>
      </c>
      <c r="X20" s="36">
        <f>5803.32+3347.62</f>
        <v>9150.939999999999</v>
      </c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0" t="s">
        <v>44</v>
      </c>
      <c r="C25" s="31" t="s">
        <v>3</v>
      </c>
      <c r="D25" s="32" t="s">
        <v>1440</v>
      </c>
      <c r="E25" s="32"/>
      <c r="F25" s="32"/>
      <c r="G25" s="32"/>
      <c r="H25" s="33">
        <v>702.77</v>
      </c>
      <c r="I25" s="33">
        <v>702.64</v>
      </c>
      <c r="J25" s="33">
        <v>702.62</v>
      </c>
      <c r="K25" s="33">
        <v>679.68</v>
      </c>
      <c r="L25" s="33">
        <v>702.71</v>
      </c>
      <c r="M25" s="33">
        <v>702.72</v>
      </c>
      <c r="N25" s="33">
        <v>702.73</v>
      </c>
      <c r="O25" s="33">
        <v>679.68</v>
      </c>
      <c r="P25" s="33">
        <v>702.77</v>
      </c>
      <c r="Q25" s="33">
        <v>702.64</v>
      </c>
      <c r="R25" s="33">
        <v>702.66</v>
      </c>
      <c r="S25" s="33">
        <v>702.83</v>
      </c>
      <c r="T25" s="33">
        <v>702.77</v>
      </c>
      <c r="U25" s="33">
        <v>702.73</v>
      </c>
      <c r="V25" s="33">
        <v>702.62</v>
      </c>
      <c r="W25" s="33">
        <v>679.68</v>
      </c>
      <c r="X25" s="33">
        <v>702.77</v>
      </c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90</v>
      </c>
      <c r="C27" s="21"/>
      <c r="D27" s="21"/>
      <c r="E27" s="22">
        <f>SUM(E25:E25)</f>
      </c>
      <c r="F27" s="22">
        <f>SUM(F25:F25)</f>
      </c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3"/>
    </row>
    <row r="30" ht="12.75" customHeight="1" spans="2:37" x14ac:dyDescent="0.25">
      <c r="B30" s="11" t="s">
        <v>40</v>
      </c>
      <c r="C30" s="12"/>
      <c r="D30" s="13"/>
      <c r="E30" s="14" t="s">
        <v>7</v>
      </c>
      <c r="F30" s="14" t="s">
        <v>8</v>
      </c>
      <c r="G30" s="14" t="s">
        <v>9</v>
      </c>
      <c r="H30" s="14" t="s">
        <v>10</v>
      </c>
      <c r="I30" s="14" t="s">
        <v>11</v>
      </c>
      <c r="J30" s="14" t="s">
        <v>12</v>
      </c>
      <c r="K30" s="14" t="s">
        <v>13</v>
      </c>
      <c r="L30" s="14" t="s">
        <v>14</v>
      </c>
      <c r="M30" s="14" t="s">
        <v>15</v>
      </c>
      <c r="N30" s="14" t="s">
        <v>16</v>
      </c>
      <c r="O30" s="14" t="s">
        <v>17</v>
      </c>
      <c r="P30" s="14" t="s">
        <v>18</v>
      </c>
      <c r="Q30" s="14" t="s">
        <v>19</v>
      </c>
      <c r="R30" s="14" t="s">
        <v>20</v>
      </c>
      <c r="S30" s="14" t="s">
        <v>21</v>
      </c>
      <c r="T30" s="14" t="s">
        <v>22</v>
      </c>
      <c r="U30" s="14" t="s">
        <v>23</v>
      </c>
      <c r="V30" s="14" t="s">
        <v>24</v>
      </c>
      <c r="W30" s="14" t="s">
        <v>25</v>
      </c>
      <c r="X30" s="14" t="s">
        <v>26</v>
      </c>
      <c r="Y30" s="14" t="s">
        <v>27</v>
      </c>
      <c r="Z30" s="14" t="s">
        <v>28</v>
      </c>
      <c r="AA30" s="14" t="s">
        <v>29</v>
      </c>
      <c r="AB30" s="14" t="s">
        <v>30</v>
      </c>
      <c r="AC30" s="14" t="s">
        <v>31</v>
      </c>
      <c r="AD30" s="14" t="s">
        <v>32</v>
      </c>
      <c r="AE30" s="14" t="s">
        <v>33</v>
      </c>
      <c r="AF30" s="14" t="s">
        <v>34</v>
      </c>
      <c r="AG30" s="14" t="s">
        <v>35</v>
      </c>
      <c r="AH30" s="14" t="s">
        <v>36</v>
      </c>
      <c r="AI30" s="14" t="s">
        <v>37</v>
      </c>
      <c r="AJ30" s="14" t="s">
        <v>38</v>
      </c>
      <c r="AK30" s="15"/>
    </row>
    <row r="31" ht="12.75" customHeight="1" spans="2:37" x14ac:dyDescent="0.25">
      <c r="B31" s="16" t="s">
        <v>41</v>
      </c>
      <c r="C31" s="17"/>
      <c r="D31" s="17"/>
      <c r="E31" s="18">
        <f>E10</f>
      </c>
      <c r="F31" s="18">
        <f>F10</f>
      </c>
      <c r="G31" s="18">
        <f>G10</f>
      </c>
      <c r="H31" s="18">
        <f>H10</f>
      </c>
      <c r="I31" s="18">
        <f>I10</f>
      </c>
      <c r="J31" s="18">
        <f>J10</f>
      </c>
      <c r="K31" s="18">
        <f>K10</f>
      </c>
      <c r="L31" s="18">
        <f>L10</f>
      </c>
      <c r="M31" s="18">
        <f>M10</f>
      </c>
      <c r="N31" s="18">
        <f>N10</f>
      </c>
      <c r="O31" s="18">
        <f>O10</f>
      </c>
      <c r="P31" s="18">
        <f>P10</f>
      </c>
      <c r="Q31" s="18">
        <f>Q10</f>
      </c>
      <c r="R31" s="18">
        <f>R10</f>
      </c>
      <c r="S31" s="18">
        <f>S10</f>
      </c>
      <c r="T31" s="18">
        <f>T10</f>
      </c>
      <c r="U31" s="18">
        <f>U10</f>
      </c>
      <c r="V31" s="18">
        <f>V10</f>
      </c>
      <c r="W31" s="18">
        <f>W10</f>
      </c>
      <c r="X31" s="18">
        <f>X10</f>
      </c>
      <c r="Y31" s="18">
        <f>Y10</f>
      </c>
      <c r="Z31" s="18">
        <f>Z10</f>
      </c>
      <c r="AA31" s="18">
        <f>AA10</f>
      </c>
      <c r="AB31" s="18">
        <f>AB10</f>
      </c>
      <c r="AC31" s="18">
        <f>AC10</f>
      </c>
      <c r="AD31" s="18">
        <f>AD10</f>
      </c>
      <c r="AE31" s="18">
        <f>AE10</f>
      </c>
      <c r="AF31" s="18">
        <f>AF10</f>
      </c>
      <c r="AG31" s="18">
        <f>AG10</f>
      </c>
      <c r="AH31" s="18">
        <f>AH10</f>
      </c>
      <c r="AI31" s="18">
        <f>AI10</f>
      </c>
      <c r="AJ31" s="18">
        <f>AJ10</f>
      </c>
      <c r="AK31" s="19"/>
    </row>
    <row r="32" ht="12.75" customHeight="1" spans="2:37" x14ac:dyDescent="0.25">
      <c r="B32" s="16" t="s">
        <v>42</v>
      </c>
      <c r="C32" s="17"/>
      <c r="D32" s="17"/>
      <c r="E32" s="18">
        <f>E17</f>
      </c>
      <c r="F32" s="18">
        <f>F17</f>
      </c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9"/>
    </row>
    <row r="33" ht="12.75" customHeight="1" spans="2:37" x14ac:dyDescent="0.25">
      <c r="B33" s="16" t="s">
        <v>43</v>
      </c>
      <c r="C33" s="17"/>
      <c r="D33" s="17"/>
      <c r="E33" s="18">
        <f>E22</f>
      </c>
      <c r="F33" s="18">
        <f>F22</f>
      </c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9"/>
    </row>
    <row r="34" ht="12.75" customHeight="1" spans="2:37" x14ac:dyDescent="0.25">
      <c r="B34" s="16" t="s">
        <v>44</v>
      </c>
      <c r="C34" s="17"/>
      <c r="D34" s="17"/>
      <c r="E34" s="18">
        <f>E27</f>
      </c>
      <c r="F34" s="18">
        <f>F27</f>
      </c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9"/>
    </row>
    <row r="35" ht="12.75" customHeight="1" spans="2:37" x14ac:dyDescent="0.25">
      <c r="B35" s="20" t="s">
        <v>45</v>
      </c>
      <c r="C35" s="21"/>
      <c r="D35" s="21"/>
      <c r="E35" s="22">
        <f>E31+E32+E33+E34</f>
      </c>
      <c r="F35" s="22">
        <f>F31+F32+F33+F34</f>
      </c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3"/>
    </row>
    <row r="37" ht="12.75" customHeight="1" spans="2:37" x14ac:dyDescent="0.25">
      <c r="B37" s="11" t="s">
        <v>46</v>
      </c>
      <c r="C37" s="12"/>
      <c r="D37" s="13"/>
      <c r="E37" s="14" t="s">
        <v>7</v>
      </c>
      <c r="F37" s="14" t="s">
        <v>8</v>
      </c>
      <c r="G37" s="14" t="s">
        <v>9</v>
      </c>
      <c r="H37" s="14" t="s">
        <v>10</v>
      </c>
      <c r="I37" s="14" t="s">
        <v>11</v>
      </c>
      <c r="J37" s="14" t="s">
        <v>12</v>
      </c>
      <c r="K37" s="14" t="s">
        <v>13</v>
      </c>
      <c r="L37" s="14" t="s">
        <v>14</v>
      </c>
      <c r="M37" s="14" t="s">
        <v>15</v>
      </c>
      <c r="N37" s="14" t="s">
        <v>16</v>
      </c>
      <c r="O37" s="14" t="s">
        <v>17</v>
      </c>
      <c r="P37" s="14" t="s">
        <v>18</v>
      </c>
      <c r="Q37" s="14" t="s">
        <v>19</v>
      </c>
      <c r="R37" s="14" t="s">
        <v>20</v>
      </c>
      <c r="S37" s="14" t="s">
        <v>21</v>
      </c>
      <c r="T37" s="14" t="s">
        <v>22</v>
      </c>
      <c r="U37" s="14" t="s">
        <v>23</v>
      </c>
      <c r="V37" s="14" t="s">
        <v>24</v>
      </c>
      <c r="W37" s="14" t="s">
        <v>25</v>
      </c>
      <c r="X37" s="14" t="s">
        <v>26</v>
      </c>
      <c r="Y37" s="14" t="s">
        <v>27</v>
      </c>
      <c r="Z37" s="14" t="s">
        <v>28</v>
      </c>
      <c r="AA37" s="14" t="s">
        <v>29</v>
      </c>
      <c r="AB37" s="14" t="s">
        <v>30</v>
      </c>
      <c r="AC37" s="14" t="s">
        <v>31</v>
      </c>
      <c r="AD37" s="14" t="s">
        <v>32</v>
      </c>
      <c r="AE37" s="14" t="s">
        <v>33</v>
      </c>
      <c r="AF37" s="14" t="s">
        <v>34</v>
      </c>
      <c r="AG37" s="14" t="s">
        <v>35</v>
      </c>
      <c r="AH37" s="14" t="s">
        <v>36</v>
      </c>
      <c r="AI37" s="14" t="s">
        <v>37</v>
      </c>
      <c r="AJ37" s="14" t="s">
        <v>38</v>
      </c>
      <c r="AK37" s="15"/>
    </row>
    <row r="38" ht="12.75" customHeight="1" spans="2:37" x14ac:dyDescent="0.25">
      <c r="B38" s="16" t="s">
        <v>41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42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43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44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20" t="s">
        <v>45</v>
      </c>
      <c r="C42" s="21"/>
      <c r="D42" s="21"/>
      <c r="E42" s="22">
        <f>E38+E39+E40+E41</f>
      </c>
      <c r="F42" s="22">
        <f>F38+F39+F40+F41</f>
      </c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3"/>
    </row>
    <row r="44" ht="12.75" customHeight="1" spans="2:37" x14ac:dyDescent="0.25">
      <c r="B44" s="11" t="s">
        <v>47</v>
      </c>
      <c r="C44" s="12"/>
      <c r="D44" s="13"/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17</v>
      </c>
      <c r="P44" s="14" t="s">
        <v>18</v>
      </c>
      <c r="Q44" s="14" t="s">
        <v>19</v>
      </c>
      <c r="R44" s="14" t="s">
        <v>20</v>
      </c>
      <c r="S44" s="14" t="s">
        <v>21</v>
      </c>
      <c r="T44" s="14" t="s">
        <v>22</v>
      </c>
      <c r="U44" s="14" t="s">
        <v>23</v>
      </c>
      <c r="V44" s="14" t="s">
        <v>24</v>
      </c>
      <c r="W44" s="14" t="s">
        <v>25</v>
      </c>
      <c r="X44" s="14" t="s">
        <v>26</v>
      </c>
      <c r="Y44" s="14" t="s">
        <v>27</v>
      </c>
      <c r="Z44" s="14" t="s">
        <v>28</v>
      </c>
      <c r="AA44" s="14" t="s">
        <v>29</v>
      </c>
      <c r="AB44" s="14" t="s">
        <v>30</v>
      </c>
      <c r="AC44" s="14" t="s">
        <v>31</v>
      </c>
      <c r="AD44" s="14" t="s">
        <v>32</v>
      </c>
      <c r="AE44" s="14" t="s">
        <v>33</v>
      </c>
      <c r="AF44" s="14" t="s">
        <v>34</v>
      </c>
      <c r="AG44" s="14" t="s">
        <v>35</v>
      </c>
      <c r="AH44" s="14" t="s">
        <v>36</v>
      </c>
      <c r="AI44" s="14" t="s">
        <v>37</v>
      </c>
      <c r="AJ44" s="14" t="s">
        <v>38</v>
      </c>
      <c r="AK44" s="15"/>
    </row>
    <row r="45" ht="12.75" customHeight="1" spans="2:37" x14ac:dyDescent="0.25">
      <c r="B45" s="16" t="s">
        <v>41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42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43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44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20" t="s">
        <v>45</v>
      </c>
      <c r="C49" s="21"/>
      <c r="D49" s="21"/>
      <c r="E49" s="25">
        <f>E45+E46+E47+E48</f>
      </c>
      <c r="F49" s="25">
        <f>F45+F46+F47+F48</f>
      </c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1451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1455</v>
      </c>
      <c r="K8" s="44" t="s">
        <v>1456</v>
      </c>
      <c r="L8" s="44" t="s">
        <v>1457</v>
      </c>
      <c r="M8" s="44" t="s">
        <v>1458</v>
      </c>
      <c r="N8" s="44" t="s">
        <v>1459</v>
      </c>
      <c r="O8" s="44" t="s">
        <v>1460</v>
      </c>
      <c r="P8" s="44" t="s">
        <v>1461</v>
      </c>
      <c r="Q8" s="44" t="s">
        <v>1462</v>
      </c>
      <c r="R8" s="44" t="s">
        <v>1463</v>
      </c>
      <c r="S8" s="44" t="s">
        <v>1464</v>
      </c>
      <c r="T8" s="44" t="s">
        <v>1465</v>
      </c>
      <c r="U8" s="44" t="s">
        <v>1466</v>
      </c>
      <c r="V8" s="44" t="s">
        <v>235</v>
      </c>
      <c r="W8" s="44" t="s">
        <v>1467</v>
      </c>
      <c r="X8" s="44" t="s">
        <v>1468</v>
      </c>
      <c r="Y8" s="44" t="s">
        <v>1469</v>
      </c>
      <c r="Z8" s="44" t="s">
        <v>1470</v>
      </c>
      <c r="AA8" s="44" t="s">
        <v>1471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1451</v>
      </c>
      <c r="D14" s="50" t="s">
        <v>42</v>
      </c>
      <c r="E14" s="32" t="s">
        <v>3</v>
      </c>
      <c r="F14" s="32" t="s">
        <v>1452</v>
      </c>
      <c r="G14" s="32"/>
      <c r="H14" s="32"/>
      <c r="I14" s="32"/>
      <c r="J14" s="33">
        <v>333.12</v>
      </c>
      <c r="K14" s="33">
        <f>336.46+335.18</f>
        <v>671.64</v>
      </c>
      <c r="L14" s="33">
        <v>335.13</v>
      </c>
      <c r="M14" s="33">
        <v>331.36</v>
      </c>
      <c r="N14" s="33">
        <v>326.36</v>
      </c>
      <c r="O14" s="33">
        <v>326.36</v>
      </c>
      <c r="P14" s="33">
        <v>326.36</v>
      </c>
      <c r="Q14" s="33">
        <v>324.95</v>
      </c>
      <c r="R14" s="33">
        <v>326.36</v>
      </c>
      <c r="S14" s="33">
        <v>326.36</v>
      </c>
      <c r="T14" s="33">
        <v>326.36</v>
      </c>
      <c r="U14" s="33">
        <v>326.36</v>
      </c>
      <c r="V14" s="33">
        <v>341.47</v>
      </c>
      <c r="W14" s="33">
        <v>343.12</v>
      </c>
      <c r="X14" s="33">
        <v>343.12</v>
      </c>
      <c r="Y14" s="33">
        <v>343.12</v>
      </c>
      <c r="Z14" s="33">
        <v>343.12</v>
      </c>
      <c r="AA14" s="33">
        <v>343.12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1451</v>
      </c>
      <c r="D15" s="50" t="s">
        <v>42</v>
      </c>
      <c r="E15" s="32" t="s">
        <v>3</v>
      </c>
      <c r="F15" s="32" t="s">
        <v>1453</v>
      </c>
      <c r="G15" s="32"/>
      <c r="H15" s="32"/>
      <c r="I15" s="32"/>
      <c r="J15" s="33">
        <v>525.72</v>
      </c>
      <c r="K15" s="33">
        <v>515.97</v>
      </c>
      <c r="L15" s="33">
        <v>562.96</v>
      </c>
      <c r="M15" s="33">
        <v>522.46</v>
      </c>
      <c r="N15" s="33">
        <v>495.9</v>
      </c>
      <c r="O15" s="33">
        <v>595.93</v>
      </c>
      <c r="P15" s="33">
        <v>521.3</v>
      </c>
      <c r="Q15" s="33">
        <v>574.73</v>
      </c>
      <c r="R15" s="33">
        <v>632.94</v>
      </c>
      <c r="S15" s="33">
        <v>542.27</v>
      </c>
      <c r="T15" s="33">
        <v>429.21</v>
      </c>
      <c r="U15" s="33">
        <v>413.73</v>
      </c>
      <c r="V15" s="33">
        <f>0.00+387.06</f>
        <v>387.06</v>
      </c>
      <c r="W15" s="33">
        <v>457.64</v>
      </c>
      <c r="X15" s="33">
        <v>416.27</v>
      </c>
      <c r="Y15" s="33">
        <v>414.53</v>
      </c>
      <c r="Z15" s="33">
        <v>485.43</v>
      </c>
      <c r="AA15" s="33">
        <v>549.14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1451</v>
      </c>
      <c r="D16" s="50" t="s">
        <v>42</v>
      </c>
      <c r="E16" s="32" t="s">
        <v>3</v>
      </c>
      <c r="F16" s="32" t="s">
        <v>1454</v>
      </c>
      <c r="G16" s="32"/>
      <c r="H16" s="32"/>
      <c r="I16" s="32"/>
      <c r="J16" s="33">
        <v>13.17</v>
      </c>
      <c r="K16" s="33">
        <v>13.26</v>
      </c>
      <c r="L16" s="33">
        <v>13.24</v>
      </c>
      <c r="M16" s="33">
        <v>12.63</v>
      </c>
      <c r="N16" s="33">
        <v>12.39</v>
      </c>
      <c r="O16" s="33">
        <v>12.39</v>
      </c>
      <c r="P16" s="33">
        <v>12.39</v>
      </c>
      <c r="Q16" s="33">
        <v>12.15</v>
      </c>
      <c r="R16" s="33">
        <v>12.39</v>
      </c>
      <c r="S16" s="33">
        <v>12.39</v>
      </c>
      <c r="T16" s="33">
        <v>12.39</v>
      </c>
      <c r="U16" s="33">
        <v>12.39</v>
      </c>
      <c r="V16" s="33">
        <v>14.19</v>
      </c>
      <c r="W16" s="33">
        <v>14.25</v>
      </c>
      <c r="X16" s="33">
        <v>14.25</v>
      </c>
      <c r="Y16" s="33">
        <v>14.25</v>
      </c>
      <c r="Z16" s="33">
        <v>14.25</v>
      </c>
      <c r="AA16" s="33">
        <v>14.23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SUM(G14:G16)</f>
      </c>
      <c r="H18" s="22">
        <f>SUM(H14:H16)</f>
      </c>
      <c r="I18" s="22">
        <f>SUM(I14:I16)</f>
      </c>
      <c r="J18" s="22">
        <f>SUM(J14:J16)</f>
      </c>
      <c r="K18" s="22">
        <f>SUM(K14:K16)</f>
      </c>
      <c r="L18" s="22">
        <f>SUM(L14:L16)</f>
      </c>
      <c r="M18" s="22">
        <f>SUM(M14:M16)</f>
      </c>
      <c r="N18" s="22">
        <f>SUM(N14:N16)</f>
      </c>
      <c r="O18" s="22">
        <f>SUM(O14:O16)</f>
      </c>
      <c r="P18" s="22">
        <f>SUM(P14:P16)</f>
      </c>
      <c r="Q18" s="22">
        <f>SUM(Q14:Q16)</f>
      </c>
      <c r="R18" s="22">
        <f>SUM(R14:R16)</f>
      </c>
      <c r="S18" s="22">
        <f>SUM(S14:S16)</f>
      </c>
      <c r="T18" s="22">
        <f>SUM(T14:T16)</f>
      </c>
      <c r="U18" s="22">
        <f>SUM(U14:U16)</f>
      </c>
      <c r="V18" s="22">
        <f>SUM(V14:V16)</f>
      </c>
      <c r="W18" s="22">
        <f>SUM(W14:W16)</f>
      </c>
      <c r="X18" s="22">
        <f>SUM(X14:X16)</f>
      </c>
      <c r="Y18" s="22">
        <f>SUM(Y14:Y16)</f>
      </c>
      <c r="Z18" s="22">
        <f>SUM(Z14:Z16)</f>
      </c>
      <c r="AA18" s="22">
        <f>SUM(AA14:AA16)</f>
      </c>
      <c r="AB18" s="22">
        <f>SUM(AB14:AB16)</f>
      </c>
      <c r="AC18" s="22">
        <f>SUM(AC14:AC16)</f>
      </c>
      <c r="AD18" s="22">
        <f>SUM(AD14:AD16)</f>
      </c>
      <c r="AE18" s="22">
        <f>SUM(AE14:AE16)</f>
      </c>
      <c r="AF18" s="22">
        <f>SUM(AF14:AF16)</f>
      </c>
      <c r="AG18" s="22">
        <f>SUM(AG14:AG16)</f>
      </c>
      <c r="AH18" s="22">
        <f>SUM(AH14:AH16)</f>
      </c>
      <c r="AI18" s="22">
        <f>SUM(AI14:AI16)</f>
      </c>
      <c r="AJ18" s="22">
        <f>SUM(AJ14:AJ16)</f>
      </c>
      <c r="AK18" s="22">
        <f>SUM(AK14:AK16)</f>
      </c>
      <c r="AL18" s="22">
        <f>SUM(AL14:AL16)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1451</v>
      </c>
      <c r="D21" s="50" t="s">
        <v>43</v>
      </c>
      <c r="E21" s="32" t="s">
        <v>3</v>
      </c>
      <c r="F21" s="32" t="s">
        <v>1440</v>
      </c>
      <c r="G21" s="32"/>
      <c r="H21" s="32"/>
      <c r="I21" s="32"/>
      <c r="J21" s="33">
        <f>5769.52+3328.90</f>
        <v>9098.42</v>
      </c>
      <c r="K21" s="33">
        <f>5110.45+2963.80</f>
        <v>8074.25</v>
      </c>
      <c r="L21" s="33">
        <f>5076.66+2945.08</f>
        <v>8021.74</v>
      </c>
      <c r="M21" s="33">
        <f>5376.00+3417.21</f>
        <v>8793.21</v>
      </c>
      <c r="N21" s="33">
        <f>5456.88+3155.71</f>
        <v>8612.59</v>
      </c>
      <c r="O21" s="33">
        <f>5532.93+3197.84</f>
        <v>8730.77</v>
      </c>
      <c r="P21" s="33">
        <f>5608.98+3239.97</f>
        <v>8848.949999999999</v>
      </c>
      <c r="Q21" s="33">
        <f>5514.72+3501.73</f>
        <v>9016.45</v>
      </c>
      <c r="R21" s="33">
        <f>5837.12+3366.35</f>
        <v>9203.47</v>
      </c>
      <c r="S21" s="33">
        <f>5118.90+2968.48</f>
        <v>8087.379999999999</v>
      </c>
      <c r="T21" s="33">
        <f>5220.30+3024.65</f>
        <v>8244.95</v>
      </c>
      <c r="U21" s="33">
        <f>6183.56+3558.26</f>
        <v>9741.82</v>
      </c>
      <c r="V21" s="33">
        <f>5769.52+3328.90</f>
        <v>9098.42</v>
      </c>
      <c r="W21" s="33">
        <f>5625.88+3249.33</f>
        <v>8875.21</v>
      </c>
      <c r="X21" s="33">
        <f>5068.21+2940.40</f>
        <v>8008.610000000001</v>
      </c>
      <c r="Y21" s="33">
        <f>5016.96+3198.44</f>
        <v>8215.4</v>
      </c>
      <c r="Z21" s="33">
        <f>5803.32+3347.62</f>
        <v>9150.939999999999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48" t="s">
        <v>3</v>
      </c>
      <c r="C26" s="49" t="s">
        <v>1451</v>
      </c>
      <c r="D26" s="50" t="s">
        <v>44</v>
      </c>
      <c r="E26" s="32" t="s">
        <v>3</v>
      </c>
      <c r="F26" s="32" t="s">
        <v>1440</v>
      </c>
      <c r="G26" s="32"/>
      <c r="H26" s="32"/>
      <c r="I26" s="32"/>
      <c r="J26" s="33">
        <v>702.77</v>
      </c>
      <c r="K26" s="33">
        <v>702.64</v>
      </c>
      <c r="L26" s="33">
        <v>702.62</v>
      </c>
      <c r="M26" s="33">
        <v>679.68</v>
      </c>
      <c r="N26" s="33">
        <v>702.71</v>
      </c>
      <c r="O26" s="33">
        <v>702.72</v>
      </c>
      <c r="P26" s="33">
        <v>702.73</v>
      </c>
      <c r="Q26" s="33">
        <v>679.68</v>
      </c>
      <c r="R26" s="33">
        <v>702.77</v>
      </c>
      <c r="S26" s="33">
        <v>702.64</v>
      </c>
      <c r="T26" s="33">
        <v>702.66</v>
      </c>
      <c r="U26" s="33">
        <v>702.83</v>
      </c>
      <c r="V26" s="33">
        <v>702.77</v>
      </c>
      <c r="W26" s="33">
        <v>702.73</v>
      </c>
      <c r="X26" s="33">
        <v>702.62</v>
      </c>
      <c r="Y26" s="33">
        <v>679.68</v>
      </c>
      <c r="Z26" s="33">
        <v>702.77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90</v>
      </c>
      <c r="E28" s="21"/>
      <c r="F28" s="21"/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2">
        <f>SUM(AK26:AK26)</f>
      </c>
      <c r="AL28" s="22">
        <f>SUM(AL26:AL26)</f>
      </c>
      <c r="AM28" s="23"/>
    </row>
    <row r="31" ht="12.75" customHeight="1" spans="2:39" x14ac:dyDescent="0.25">
      <c r="B31" s="11" t="s">
        <v>40</v>
      </c>
      <c r="C31" s="12"/>
      <c r="D31" s="12"/>
      <c r="E31" s="12"/>
      <c r="F31" s="12"/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11</v>
      </c>
      <c r="L31" s="52" t="s">
        <v>12</v>
      </c>
      <c r="M31" s="52" t="s">
        <v>13</v>
      </c>
      <c r="N31" s="52" t="s">
        <v>14</v>
      </c>
      <c r="O31" s="52" t="s">
        <v>15</v>
      </c>
      <c r="P31" s="52" t="s">
        <v>16</v>
      </c>
      <c r="Q31" s="52" t="s">
        <v>17</v>
      </c>
      <c r="R31" s="52" t="s">
        <v>18</v>
      </c>
      <c r="S31" s="52" t="s">
        <v>19</v>
      </c>
      <c r="T31" s="52" t="s">
        <v>20</v>
      </c>
      <c r="U31" s="52" t="s">
        <v>21</v>
      </c>
      <c r="V31" s="52" t="s">
        <v>22</v>
      </c>
      <c r="W31" s="52" t="s">
        <v>23</v>
      </c>
      <c r="X31" s="52" t="s">
        <v>24</v>
      </c>
      <c r="Y31" s="52" t="s">
        <v>25</v>
      </c>
      <c r="Z31" s="52" t="s">
        <v>26</v>
      </c>
      <c r="AA31" s="52" t="s">
        <v>27</v>
      </c>
      <c r="AB31" s="52" t="s">
        <v>28</v>
      </c>
      <c r="AC31" s="52" t="s">
        <v>29</v>
      </c>
      <c r="AD31" s="52" t="s">
        <v>30</v>
      </c>
      <c r="AE31" s="52" t="s">
        <v>31</v>
      </c>
      <c r="AF31" s="52" t="s">
        <v>32</v>
      </c>
      <c r="AG31" s="52" t="s">
        <v>33</v>
      </c>
      <c r="AH31" s="52" t="s">
        <v>34</v>
      </c>
      <c r="AI31" s="52" t="s">
        <v>35</v>
      </c>
      <c r="AJ31" s="52" t="s">
        <v>36</v>
      </c>
      <c r="AK31" s="52" t="s">
        <v>37</v>
      </c>
      <c r="AL31" s="52" t="s">
        <v>38</v>
      </c>
      <c r="AM31" s="15"/>
    </row>
    <row r="32" ht="12.75" customHeight="1" spans="2:39" x14ac:dyDescent="0.25">
      <c r="B32" s="16"/>
      <c r="C32" s="17"/>
      <c r="D32" s="17" t="s">
        <v>41</v>
      </c>
      <c r="E32" s="17"/>
      <c r="F32" s="17"/>
      <c r="G32" s="18">
        <f>G11</f>
      </c>
      <c r="H32" s="18">
        <f>H11</f>
      </c>
      <c r="I32" s="18">
        <f>I11</f>
      </c>
      <c r="J32" s="18">
        <f>J11</f>
      </c>
      <c r="K32" s="18">
        <f>K11</f>
      </c>
      <c r="L32" s="18">
        <f>L11</f>
      </c>
      <c r="M32" s="18">
        <f>M11</f>
      </c>
      <c r="N32" s="18">
        <f>N11</f>
      </c>
      <c r="O32" s="18">
        <f>O11</f>
      </c>
      <c r="P32" s="18">
        <f>P11</f>
      </c>
      <c r="Q32" s="18">
        <f>Q11</f>
      </c>
      <c r="R32" s="18">
        <f>R11</f>
      </c>
      <c r="S32" s="18">
        <f>S11</f>
      </c>
      <c r="T32" s="18">
        <f>T11</f>
      </c>
      <c r="U32" s="18">
        <f>U11</f>
      </c>
      <c r="V32" s="18">
        <f>V11</f>
      </c>
      <c r="W32" s="18">
        <f>W11</f>
      </c>
      <c r="X32" s="18">
        <f>X11</f>
      </c>
      <c r="Y32" s="18">
        <f>Y11</f>
      </c>
      <c r="Z32" s="18">
        <f>Z11</f>
      </c>
      <c r="AA32" s="18">
        <f>AA11</f>
      </c>
      <c r="AB32" s="18">
        <f>AB11</f>
      </c>
      <c r="AC32" s="18">
        <f>AC11</f>
      </c>
      <c r="AD32" s="18">
        <f>AD11</f>
      </c>
      <c r="AE32" s="18">
        <f>AE11</f>
      </c>
      <c r="AF32" s="18">
        <f>AF11</f>
      </c>
      <c r="AG32" s="18">
        <f>AG11</f>
      </c>
      <c r="AH32" s="18">
        <f>AH11</f>
      </c>
      <c r="AI32" s="18">
        <f>AI11</f>
      </c>
      <c r="AJ32" s="18">
        <f>AJ11</f>
      </c>
      <c r="AK32" s="18">
        <f>AK11</f>
      </c>
      <c r="AL32" s="18">
        <f>AL11</f>
      </c>
      <c r="AM32" s="19"/>
    </row>
    <row r="33" ht="12.75" customHeight="1" spans="2:39" x14ac:dyDescent="0.25">
      <c r="B33" s="16"/>
      <c r="C33" s="17"/>
      <c r="D33" s="17" t="s">
        <v>42</v>
      </c>
      <c r="E33" s="17"/>
      <c r="F33" s="17"/>
      <c r="G33" s="18">
        <f>G18</f>
      </c>
      <c r="H33" s="18">
        <f>H18</f>
      </c>
      <c r="I33" s="18">
        <f>I18</f>
      </c>
      <c r="J33" s="18">
        <f>J18</f>
      </c>
      <c r="K33" s="18">
        <f>K18</f>
      </c>
      <c r="L33" s="18">
        <f>L18</f>
      </c>
      <c r="M33" s="18">
        <f>M18</f>
      </c>
      <c r="N33" s="18">
        <f>N18</f>
      </c>
      <c r="O33" s="18">
        <f>O18</f>
      </c>
      <c r="P33" s="18">
        <f>P18</f>
      </c>
      <c r="Q33" s="18">
        <f>Q18</f>
      </c>
      <c r="R33" s="18">
        <f>R18</f>
      </c>
      <c r="S33" s="18">
        <f>S18</f>
      </c>
      <c r="T33" s="18">
        <f>T18</f>
      </c>
      <c r="U33" s="18">
        <f>U18</f>
      </c>
      <c r="V33" s="18">
        <f>V18</f>
      </c>
      <c r="W33" s="18">
        <f>W18</f>
      </c>
      <c r="X33" s="18">
        <f>X18</f>
      </c>
      <c r="Y33" s="18">
        <f>Y18</f>
      </c>
      <c r="Z33" s="18">
        <f>Z18</f>
      </c>
      <c r="AA33" s="18">
        <f>AA18</f>
      </c>
      <c r="AB33" s="18">
        <f>AB18</f>
      </c>
      <c r="AC33" s="18">
        <f>AC18</f>
      </c>
      <c r="AD33" s="18">
        <f>AD18</f>
      </c>
      <c r="AE33" s="18">
        <f>AE18</f>
      </c>
      <c r="AF33" s="18">
        <f>AF18</f>
      </c>
      <c r="AG33" s="18">
        <f>AG18</f>
      </c>
      <c r="AH33" s="18">
        <f>AH18</f>
      </c>
      <c r="AI33" s="18">
        <f>AI18</f>
      </c>
      <c r="AJ33" s="18">
        <f>AJ18</f>
      </c>
      <c r="AK33" s="18">
        <f>AK18</f>
      </c>
      <c r="AL33" s="18">
        <f>AL18</f>
      </c>
      <c r="AM33" s="19"/>
    </row>
    <row r="34" ht="12.75" customHeight="1" spans="2:39" x14ac:dyDescent="0.25">
      <c r="B34" s="16"/>
      <c r="C34" s="17"/>
      <c r="D34" s="17" t="s">
        <v>43</v>
      </c>
      <c r="E34" s="17"/>
      <c r="F34" s="17"/>
      <c r="G34" s="18">
        <f>G23</f>
      </c>
      <c r="H34" s="18">
        <f>H23</f>
      </c>
      <c r="I34" s="18">
        <f>I23</f>
      </c>
      <c r="J34" s="18">
        <f>J23</f>
      </c>
      <c r="K34" s="18">
        <f>K23</f>
      </c>
      <c r="L34" s="18">
        <f>L23</f>
      </c>
      <c r="M34" s="18">
        <f>M23</f>
      </c>
      <c r="N34" s="18">
        <f>N23</f>
      </c>
      <c r="O34" s="18">
        <f>O23</f>
      </c>
      <c r="P34" s="18">
        <f>P23</f>
      </c>
      <c r="Q34" s="18">
        <f>Q23</f>
      </c>
      <c r="R34" s="18">
        <f>R23</f>
      </c>
      <c r="S34" s="18">
        <f>S23</f>
      </c>
      <c r="T34" s="18">
        <f>T23</f>
      </c>
      <c r="U34" s="18">
        <f>U23</f>
      </c>
      <c r="V34" s="18">
        <f>V23</f>
      </c>
      <c r="W34" s="18">
        <f>W23</f>
      </c>
      <c r="X34" s="18">
        <f>X23</f>
      </c>
      <c r="Y34" s="18">
        <f>Y23</f>
      </c>
      <c r="Z34" s="18">
        <f>Z23</f>
      </c>
      <c r="AA34" s="18">
        <f>AA23</f>
      </c>
      <c r="AB34" s="18">
        <f>AB23</f>
      </c>
      <c r="AC34" s="18">
        <f>AC23</f>
      </c>
      <c r="AD34" s="18">
        <f>AD23</f>
      </c>
      <c r="AE34" s="18">
        <f>AE23</f>
      </c>
      <c r="AF34" s="18">
        <f>AF23</f>
      </c>
      <c r="AG34" s="18">
        <f>AG23</f>
      </c>
      <c r="AH34" s="18">
        <f>AH23</f>
      </c>
      <c r="AI34" s="18">
        <f>AI23</f>
      </c>
      <c r="AJ34" s="18">
        <f>AJ23</f>
      </c>
      <c r="AK34" s="18">
        <f>AK23</f>
      </c>
      <c r="AL34" s="18">
        <f>AL23</f>
      </c>
      <c r="AM34" s="19"/>
    </row>
    <row r="35" ht="12.75" customHeight="1" spans="2:39" x14ac:dyDescent="0.25">
      <c r="B35" s="16"/>
      <c r="C35" s="17"/>
      <c r="D35" s="17" t="s">
        <v>44</v>
      </c>
      <c r="E35" s="17"/>
      <c r="F35" s="17"/>
      <c r="G35" s="18">
        <f>G28</f>
      </c>
      <c r="H35" s="18">
        <f>H28</f>
      </c>
      <c r="I35" s="18">
        <f>I28</f>
      </c>
      <c r="J35" s="18">
        <f>J28</f>
      </c>
      <c r="K35" s="18">
        <f>K28</f>
      </c>
      <c r="L35" s="18">
        <f>L28</f>
      </c>
      <c r="M35" s="18">
        <f>M28</f>
      </c>
      <c r="N35" s="18">
        <f>N28</f>
      </c>
      <c r="O35" s="18">
        <f>O28</f>
      </c>
      <c r="P35" s="18">
        <f>P28</f>
      </c>
      <c r="Q35" s="18">
        <f>Q28</f>
      </c>
      <c r="R35" s="18">
        <f>R28</f>
      </c>
      <c r="S35" s="18">
        <f>S28</f>
      </c>
      <c r="T35" s="18">
        <f>T28</f>
      </c>
      <c r="U35" s="18">
        <f>U28</f>
      </c>
      <c r="V35" s="18">
        <f>V28</f>
      </c>
      <c r="W35" s="18">
        <f>W28</f>
      </c>
      <c r="X35" s="18">
        <f>X28</f>
      </c>
      <c r="Y35" s="18">
        <f>Y28</f>
      </c>
      <c r="Z35" s="18">
        <f>Z28</f>
      </c>
      <c r="AA35" s="18">
        <f>AA28</f>
      </c>
      <c r="AB35" s="18">
        <f>AB28</f>
      </c>
      <c r="AC35" s="18">
        <f>AC28</f>
      </c>
      <c r="AD35" s="18">
        <f>AD28</f>
      </c>
      <c r="AE35" s="18">
        <f>AE28</f>
      </c>
      <c r="AF35" s="18">
        <f>AF28</f>
      </c>
      <c r="AG35" s="18">
        <f>AG28</f>
      </c>
      <c r="AH35" s="18">
        <f>AH28</f>
      </c>
      <c r="AI35" s="18">
        <f>AI28</f>
      </c>
      <c r="AJ35" s="18">
        <f>AJ28</f>
      </c>
      <c r="AK35" s="18">
        <f>AK28</f>
      </c>
      <c r="AL35" s="18">
        <f>AL28</f>
      </c>
      <c r="AM35" s="19"/>
    </row>
    <row r="36" ht="12.75" customHeight="1" spans="2:39" x14ac:dyDescent="0.25">
      <c r="B36" s="20"/>
      <c r="C36" s="21"/>
      <c r="D36" s="21" t="s">
        <v>45</v>
      </c>
      <c r="E36" s="21"/>
      <c r="F36" s="21"/>
      <c r="G36" s="22">
        <f>G32+G33+G34+G35</f>
      </c>
      <c r="H36" s="22">
        <f>H32+H33+H34+H35</f>
      </c>
      <c r="I36" s="22">
        <f>I32+I33+I34+I35</f>
      </c>
      <c r="J36" s="22">
        <f>J32+J33+J34+J35</f>
      </c>
      <c r="K36" s="22">
        <f>K32+K33+K34+K35</f>
      </c>
      <c r="L36" s="22">
        <f>L32+L33+L34+L35</f>
      </c>
      <c r="M36" s="22">
        <f>M32+M33+M34+M35</f>
      </c>
      <c r="N36" s="22">
        <f>N32+N33+N34+N35</f>
      </c>
      <c r="O36" s="22">
        <f>O32+O33+O34+O35</f>
      </c>
      <c r="P36" s="22">
        <f>P32+P33+P34+P35</f>
      </c>
      <c r="Q36" s="22">
        <f>Q32+Q33+Q34+Q35</f>
      </c>
      <c r="R36" s="22">
        <f>R32+R33+R34+R35</f>
      </c>
      <c r="S36" s="22">
        <f>S32+S33+S34+S35</f>
      </c>
      <c r="T36" s="22">
        <f>T32+T33+T34+T35</f>
      </c>
      <c r="U36" s="22">
        <f>U32+U33+U34+U35</f>
      </c>
      <c r="V36" s="22">
        <f>V32+V33+V34+V35</f>
      </c>
      <c r="W36" s="22">
        <f>W32+W33+W34+W35</f>
      </c>
      <c r="X36" s="22">
        <f>X32+X33+X34+X35</f>
      </c>
      <c r="Y36" s="22">
        <f>Y32+Y33+Y34+Y35</f>
      </c>
      <c r="Z36" s="22">
        <f>Z32+Z33+Z34+Z35</f>
      </c>
      <c r="AA36" s="22">
        <f>AA32+AA33+AA34+AA35</f>
      </c>
      <c r="AB36" s="22">
        <f>AB32+AB33+AB34+AB35</f>
      </c>
      <c r="AC36" s="22">
        <f>AC32+AC33+AC34+AC35</f>
      </c>
      <c r="AD36" s="22">
        <f>AD32+AD33+AD34+AD35</f>
      </c>
      <c r="AE36" s="22">
        <f>AE32+AE33+AE34+AE35</f>
      </c>
      <c r="AF36" s="22">
        <f>AF32+AF33+AF34+AF35</f>
      </c>
      <c r="AG36" s="22">
        <f>AG32+AG33+AG34+AG35</f>
      </c>
      <c r="AH36" s="22">
        <f>AH32+AH33+AH34+AH35</f>
      </c>
      <c r="AI36" s="22">
        <f>AI32+AI33+AI34+AI35</f>
      </c>
      <c r="AJ36" s="22">
        <f>AJ32+AJ33+AJ34+AJ35</f>
      </c>
      <c r="AK36" s="22">
        <f>AK32+AK33+AK34+AK35</f>
      </c>
      <c r="AL36" s="22">
        <f>AL32+AL33+AL34+AL35</f>
      </c>
      <c r="AM36" s="23"/>
    </row>
    <row r="38" ht="12.75" customHeight="1" spans="2:39" x14ac:dyDescent="0.25">
      <c r="B38" s="11" t="s">
        <v>46</v>
      </c>
      <c r="C38" s="12"/>
      <c r="D38" s="12"/>
      <c r="E38" s="12"/>
      <c r="F38" s="12"/>
      <c r="G38" s="52" t="s">
        <v>7</v>
      </c>
      <c r="H38" s="52" t="s">
        <v>8</v>
      </c>
      <c r="I38" s="52" t="s">
        <v>9</v>
      </c>
      <c r="J38" s="52" t="s">
        <v>10</v>
      </c>
      <c r="K38" s="52" t="s">
        <v>11</v>
      </c>
      <c r="L38" s="52" t="s">
        <v>12</v>
      </c>
      <c r="M38" s="52" t="s">
        <v>13</v>
      </c>
      <c r="N38" s="52" t="s">
        <v>14</v>
      </c>
      <c r="O38" s="52" t="s">
        <v>15</v>
      </c>
      <c r="P38" s="52" t="s">
        <v>16</v>
      </c>
      <c r="Q38" s="52" t="s">
        <v>17</v>
      </c>
      <c r="R38" s="52" t="s">
        <v>18</v>
      </c>
      <c r="S38" s="52" t="s">
        <v>19</v>
      </c>
      <c r="T38" s="52" t="s">
        <v>20</v>
      </c>
      <c r="U38" s="52" t="s">
        <v>21</v>
      </c>
      <c r="V38" s="52" t="s">
        <v>22</v>
      </c>
      <c r="W38" s="52" t="s">
        <v>23</v>
      </c>
      <c r="X38" s="52" t="s">
        <v>24</v>
      </c>
      <c r="Y38" s="52" t="s">
        <v>25</v>
      </c>
      <c r="Z38" s="52" t="s">
        <v>26</v>
      </c>
      <c r="AA38" s="52" t="s">
        <v>27</v>
      </c>
      <c r="AB38" s="52" t="s">
        <v>28</v>
      </c>
      <c r="AC38" s="52" t="s">
        <v>29</v>
      </c>
      <c r="AD38" s="52" t="s">
        <v>30</v>
      </c>
      <c r="AE38" s="52" t="s">
        <v>31</v>
      </c>
      <c r="AF38" s="52" t="s">
        <v>32</v>
      </c>
      <c r="AG38" s="52" t="s">
        <v>33</v>
      </c>
      <c r="AH38" s="52" t="s">
        <v>34</v>
      </c>
      <c r="AI38" s="52" t="s">
        <v>35</v>
      </c>
      <c r="AJ38" s="52" t="s">
        <v>36</v>
      </c>
      <c r="AK38" s="52" t="s">
        <v>37</v>
      </c>
      <c r="AL38" s="52" t="s">
        <v>38</v>
      </c>
      <c r="AM38" s="15"/>
    </row>
    <row r="39" ht="12.75" customHeight="1" spans="2:39" x14ac:dyDescent="0.25">
      <c r="B39" s="16"/>
      <c r="C39" s="17"/>
      <c r="D39" s="17" t="s">
        <v>41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42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43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44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20"/>
      <c r="C43" s="21"/>
      <c r="D43" s="21" t="s">
        <v>45</v>
      </c>
      <c r="E43" s="21"/>
      <c r="F43" s="21"/>
      <c r="G43" s="22">
        <f>G39+G40+G41+G42</f>
      </c>
      <c r="H43" s="22">
        <f>H39+H40+H41+H42</f>
      </c>
      <c r="I43" s="22">
        <f>I39+I40+I41+I42</f>
      </c>
      <c r="J43" s="22">
        <f>J39+J40+J41+J42</f>
      </c>
      <c r="K43" s="22">
        <f>K39+K40+K41+K42</f>
      </c>
      <c r="L43" s="22">
        <f>L39+L40+L41+L42</f>
      </c>
      <c r="M43" s="22">
        <f>M39+M40+M41+M42</f>
      </c>
      <c r="N43" s="22">
        <f>N39+N40+N41+N42</f>
      </c>
      <c r="O43" s="22">
        <f>O39+O40+O41+O42</f>
      </c>
      <c r="P43" s="22">
        <f>P39+P40+P41+P42</f>
      </c>
      <c r="Q43" s="22">
        <f>Q39+Q40+Q41+Q42</f>
      </c>
      <c r="R43" s="22">
        <f>R39+R40+R41+R42</f>
      </c>
      <c r="S43" s="22">
        <f>S39+S40+S41+S42</f>
      </c>
      <c r="T43" s="22">
        <f>T39+T40+T41+T42</f>
      </c>
      <c r="U43" s="22">
        <f>U39+U40+U41+U42</f>
      </c>
      <c r="V43" s="22">
        <f>V39+V40+V41+V42</f>
      </c>
      <c r="W43" s="22">
        <f>W39+W40+W41+W42</f>
      </c>
      <c r="X43" s="22">
        <f>X39+X40+X41+X42</f>
      </c>
      <c r="Y43" s="22">
        <f>Y39+Y40+Y41+Y42</f>
      </c>
      <c r="Z43" s="22">
        <f>Z39+Z40+Z41+Z42</f>
      </c>
      <c r="AA43" s="22">
        <f>AA39+AA40+AA41+AA42</f>
      </c>
      <c r="AB43" s="22">
        <f>AB39+AB40+AB41+AB42</f>
      </c>
      <c r="AC43" s="22">
        <f>AC39+AC40+AC41+AC42</f>
      </c>
      <c r="AD43" s="22">
        <f>AD39+AD40+AD41+AD42</f>
      </c>
      <c r="AE43" s="22">
        <f>AE39+AE40+AE41+AE42</f>
      </c>
      <c r="AF43" s="22">
        <f>AF39+AF40+AF41+AF42</f>
      </c>
      <c r="AG43" s="22">
        <f>AG39+AG40+AG41+AG42</f>
      </c>
      <c r="AH43" s="22">
        <f>AH39+AH40+AH41+AH42</f>
      </c>
      <c r="AI43" s="22">
        <f>AI39+AI40+AI41+AI42</f>
      </c>
      <c r="AJ43" s="22">
        <f>AJ39+AJ40+AJ41+AJ42</f>
      </c>
      <c r="AK43" s="22">
        <f>AK39+AK40+AK41+AK42</f>
      </c>
      <c r="AL43" s="22">
        <f>AL39+AL40+AL41+AL42</f>
      </c>
      <c r="AM43" s="23"/>
    </row>
    <row r="45" ht="12.75" customHeight="1" spans="2:39" x14ac:dyDescent="0.25">
      <c r="B45" s="11" t="s">
        <v>47</v>
      </c>
      <c r="C45" s="12"/>
      <c r="D45" s="12"/>
      <c r="E45" s="12"/>
      <c r="F45" s="12"/>
      <c r="G45" s="52" t="s">
        <v>7</v>
      </c>
      <c r="H45" s="52" t="s">
        <v>8</v>
      </c>
      <c r="I45" s="52" t="s">
        <v>9</v>
      </c>
      <c r="J45" s="52" t="s">
        <v>10</v>
      </c>
      <c r="K45" s="52" t="s">
        <v>11</v>
      </c>
      <c r="L45" s="52" t="s">
        <v>12</v>
      </c>
      <c r="M45" s="52" t="s">
        <v>13</v>
      </c>
      <c r="N45" s="52" t="s">
        <v>14</v>
      </c>
      <c r="O45" s="52" t="s">
        <v>15</v>
      </c>
      <c r="P45" s="52" t="s">
        <v>16</v>
      </c>
      <c r="Q45" s="52" t="s">
        <v>17</v>
      </c>
      <c r="R45" s="52" t="s">
        <v>18</v>
      </c>
      <c r="S45" s="52" t="s">
        <v>19</v>
      </c>
      <c r="T45" s="52" t="s">
        <v>20</v>
      </c>
      <c r="U45" s="52" t="s">
        <v>21</v>
      </c>
      <c r="V45" s="52" t="s">
        <v>22</v>
      </c>
      <c r="W45" s="52" t="s">
        <v>23</v>
      </c>
      <c r="X45" s="52" t="s">
        <v>24</v>
      </c>
      <c r="Y45" s="52" t="s">
        <v>25</v>
      </c>
      <c r="Z45" s="52" t="s">
        <v>26</v>
      </c>
      <c r="AA45" s="52" t="s">
        <v>27</v>
      </c>
      <c r="AB45" s="52" t="s">
        <v>28</v>
      </c>
      <c r="AC45" s="52" t="s">
        <v>29</v>
      </c>
      <c r="AD45" s="52" t="s">
        <v>30</v>
      </c>
      <c r="AE45" s="52" t="s">
        <v>31</v>
      </c>
      <c r="AF45" s="52" t="s">
        <v>32</v>
      </c>
      <c r="AG45" s="52" t="s">
        <v>33</v>
      </c>
      <c r="AH45" s="52" t="s">
        <v>34</v>
      </c>
      <c r="AI45" s="52" t="s">
        <v>35</v>
      </c>
      <c r="AJ45" s="52" t="s">
        <v>36</v>
      </c>
      <c r="AK45" s="52" t="s">
        <v>37</v>
      </c>
      <c r="AL45" s="52" t="s">
        <v>38</v>
      </c>
      <c r="AM45" s="15"/>
    </row>
    <row r="46" ht="12.75" customHeight="1" spans="2:39" x14ac:dyDescent="0.25">
      <c r="B46" s="16"/>
      <c r="C46" s="17"/>
      <c r="D46" s="17" t="s">
        <v>41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42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43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44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20"/>
      <c r="C50" s="21"/>
      <c r="D50" s="21" t="s">
        <v>45</v>
      </c>
      <c r="E50" s="21"/>
      <c r="F50" s="21"/>
      <c r="G50" s="25">
        <f>G46+G47+G48+G49</f>
      </c>
      <c r="H50" s="25">
        <f>H46+H47+H48+H49</f>
      </c>
      <c r="I50" s="25">
        <f>I46+I47+I48+I49</f>
      </c>
      <c r="J50" s="25">
        <f>J46+J47+J48+J49</f>
      </c>
      <c r="K50" s="25">
        <f>K46+K47+K48+K49</f>
      </c>
      <c r="L50" s="25">
        <f>L46+L47+L48+L49</f>
      </c>
      <c r="M50" s="25">
        <f>M46+M47+M48+M49</f>
      </c>
      <c r="N50" s="25">
        <f>N46+N47+N48+N49</f>
      </c>
      <c r="O50" s="25">
        <f>O46+O47+O48+O49</f>
      </c>
      <c r="P50" s="25">
        <f>P46+P47+P48+P49</f>
      </c>
      <c r="Q50" s="25">
        <f>Q46+Q47+Q48+Q49</f>
      </c>
      <c r="R50" s="25">
        <f>R46+R47+R48+R49</f>
      </c>
      <c r="S50" s="25">
        <f>S46+S47+S48+S49</f>
      </c>
      <c r="T50" s="25">
        <f>T46+T47+T48+T49</f>
      </c>
      <c r="U50" s="25">
        <f>U46+U47+U48+U49</f>
      </c>
      <c r="V50" s="25">
        <f>V46+V47+V48+V49</f>
      </c>
      <c r="W50" s="25">
        <f>W46+W47+W48+W49</f>
      </c>
      <c r="X50" s="25">
        <f>X46+X47+X48+X49</f>
      </c>
      <c r="Y50" s="25">
        <f>Y46+Y47+Y48+Y49</f>
      </c>
      <c r="Z50" s="25">
        <f>Z46+Z47+Z48+Z49</f>
      </c>
      <c r="AA50" s="25">
        <f>AA46+AA47+AA48+AA49</f>
      </c>
      <c r="AB50" s="25">
        <f>AB46+AB47+AB48+AB49</f>
      </c>
      <c r="AC50" s="25">
        <f>AC46+AC47+AC48+AC49</f>
      </c>
      <c r="AD50" s="25">
        <f>AD46+AD47+AD48+AD49</f>
      </c>
      <c r="AE50" s="25">
        <f>AE46+AE47+AE48+AE49</f>
      </c>
      <c r="AF50" s="25">
        <f>AF46+AF47+AF48+AF49</f>
      </c>
      <c r="AG50" s="25">
        <f>AG46+AG47+AG48+AG49</f>
      </c>
      <c r="AH50" s="25">
        <f>AH46+AH47+AH48+AH49</f>
      </c>
      <c r="AI50" s="25">
        <f>AI46+AI47+AI48+AI49</f>
      </c>
      <c r="AJ50" s="25">
        <f>AJ46+AJ47+AJ48+AJ49</f>
      </c>
      <c r="AK50" s="25">
        <f>AK46+AK47+AK48+AK49</f>
      </c>
      <c r="AL50" s="25">
        <f>AL46+AL47+AL48+AL49</f>
      </c>
      <c r="AM5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5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1472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1473</v>
      </c>
      <c r="E13" s="32"/>
      <c r="F13" s="32"/>
      <c r="G13" s="32"/>
      <c r="H13" s="32"/>
      <c r="I13" s="33">
        <v>267.21</v>
      </c>
      <c r="J13" s="33">
        <v>420.76</v>
      </c>
      <c r="K13" s="33">
        <v>232.71</v>
      </c>
      <c r="L13" s="33">
        <v>289.56</v>
      </c>
      <c r="M13" s="33">
        <v>492.82</v>
      </c>
      <c r="N13" s="33">
        <v>738.56</v>
      </c>
      <c r="O13" s="33">
        <v>778.22</v>
      </c>
      <c r="P13" s="33">
        <v>698.14</v>
      </c>
      <c r="Q13" s="33">
        <v>808.09</v>
      </c>
      <c r="R13" s="33">
        <v>516.25</v>
      </c>
      <c r="S13" s="33">
        <v>440.53</v>
      </c>
      <c r="T13" s="36">
        <f>0.00+381.69</f>
        <v>381.69</v>
      </c>
      <c r="U13" s="36">
        <f>367.60+0.00</f>
        <v>367.6</v>
      </c>
      <c r="V13" s="36">
        <f>503.47+0.00</f>
        <v>503.47</v>
      </c>
      <c r="W13" s="36">
        <f>0.00+173.77</f>
        <v>173.77</v>
      </c>
      <c r="X13" s="36">
        <f>350.84+0.00</f>
        <v>350.84</v>
      </c>
      <c r="Y13" s="36">
        <f>0.00+695.74</f>
        <v>695.74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1474</v>
      </c>
      <c r="E14" s="32"/>
      <c r="F14" s="32"/>
      <c r="G14" s="32"/>
      <c r="H14" s="32"/>
      <c r="I14" s="33">
        <v>272.79</v>
      </c>
      <c r="J14" s="33">
        <v>272.79</v>
      </c>
      <c r="K14" s="33">
        <v>272.79</v>
      </c>
      <c r="L14" s="33">
        <v>270.56</v>
      </c>
      <c r="M14" s="33">
        <v>270.56</v>
      </c>
      <c r="N14" s="33">
        <v>270.56</v>
      </c>
      <c r="O14" s="33">
        <v>280.44</v>
      </c>
      <c r="P14" s="33">
        <v>280.44</v>
      </c>
      <c r="Q14" s="33">
        <v>280.44</v>
      </c>
      <c r="R14" s="33">
        <v>286.77</v>
      </c>
      <c r="S14" s="33">
        <v>286.77</v>
      </c>
      <c r="T14" s="33">
        <v>286.77</v>
      </c>
      <c r="U14" s="36">
        <f>284.56+22.80</f>
        <v>307.36</v>
      </c>
      <c r="V14" s="33">
        <v>284.56</v>
      </c>
      <c r="W14" s="33">
        <v>285.19</v>
      </c>
      <c r="X14" s="33">
        <v>284.56</v>
      </c>
      <c r="Y14" s="33">
        <v>284.56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1475</v>
      </c>
      <c r="E15" s="32"/>
      <c r="F15" s="32"/>
      <c r="G15" s="32"/>
      <c r="H15" s="32"/>
      <c r="I15" s="33">
        <v>22.57</v>
      </c>
      <c r="J15" s="33">
        <v>22.12</v>
      </c>
      <c r="K15" s="33">
        <v>20.86</v>
      </c>
      <c r="L15" s="33">
        <v>21.63</v>
      </c>
      <c r="M15" s="33">
        <v>21.03</v>
      </c>
      <c r="N15" s="33">
        <v>20.92</v>
      </c>
      <c r="O15" s="33">
        <v>35.96</v>
      </c>
      <c r="P15" s="33">
        <v>22.74</v>
      </c>
      <c r="Q15" s="33">
        <v>22.86</v>
      </c>
      <c r="R15" s="33">
        <v>32.52</v>
      </c>
      <c r="S15" s="33">
        <v>24.93</v>
      </c>
      <c r="T15" s="33">
        <v>23.11</v>
      </c>
      <c r="U15" s="33">
        <v>22.8</v>
      </c>
      <c r="V15" s="33">
        <v>22.12</v>
      </c>
      <c r="W15" s="33">
        <v>36.86</v>
      </c>
      <c r="X15" s="33">
        <v>20.89</v>
      </c>
      <c r="Y15" s="33">
        <v>20.89</v>
      </c>
      <c r="Z15" s="33">
        <v>21.13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1476</v>
      </c>
      <c r="E16" s="32"/>
      <c r="F16" s="32"/>
      <c r="G16" s="32"/>
      <c r="H16" s="32"/>
      <c r="I16" s="33">
        <v>22.04</v>
      </c>
      <c r="J16" s="33">
        <v>21.92</v>
      </c>
      <c r="K16" s="33">
        <v>21.71</v>
      </c>
      <c r="L16" s="33">
        <v>21.86</v>
      </c>
      <c r="M16" s="33">
        <v>21.63</v>
      </c>
      <c r="N16" s="33">
        <v>21.63</v>
      </c>
      <c r="O16" s="33">
        <v>21.92</v>
      </c>
      <c r="P16" s="33">
        <v>22.28</v>
      </c>
      <c r="Q16" s="33">
        <v>22.14</v>
      </c>
      <c r="R16" s="33">
        <v>22.51</v>
      </c>
      <c r="S16" s="33">
        <v>22.88</v>
      </c>
      <c r="T16" s="33">
        <v>22.76</v>
      </c>
      <c r="U16" s="33">
        <v>22.93</v>
      </c>
      <c r="V16" s="33">
        <v>22.8</v>
      </c>
      <c r="W16" s="33">
        <v>22.45</v>
      </c>
      <c r="X16" s="33">
        <v>22.02</v>
      </c>
      <c r="Y16" s="33">
        <v>22.02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1477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3">
        <v>9.99</v>
      </c>
      <c r="Y17" s="33">
        <v>15.76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1478</v>
      </c>
      <c r="E18" s="32"/>
      <c r="F18" s="32"/>
      <c r="G18" s="32"/>
      <c r="H18" s="32"/>
      <c r="I18" s="32"/>
      <c r="J18" s="32"/>
      <c r="K18" s="33">
        <v>13.8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1479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3">
        <v>8.92</v>
      </c>
      <c r="Y19" s="33">
        <v>15.76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1480</v>
      </c>
      <c r="E20" s="32"/>
      <c r="F20" s="32"/>
      <c r="G20" s="32"/>
      <c r="H20" s="32"/>
      <c r="I20" s="36">
        <f>20.98+9.63</f>
        <v>30.61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1481</v>
      </c>
      <c r="E21" s="32"/>
      <c r="F21" s="32"/>
      <c r="G21" s="32"/>
      <c r="H21" s="32"/>
      <c r="I21" s="33">
        <v>23.33</v>
      </c>
      <c r="J21" s="33">
        <v>23</v>
      </c>
      <c r="K21" s="33">
        <v>22.66</v>
      </c>
      <c r="L21" s="33">
        <v>23.65</v>
      </c>
      <c r="M21" s="33">
        <v>24.89</v>
      </c>
      <c r="N21" s="33">
        <v>24.89</v>
      </c>
      <c r="O21" s="33">
        <v>24.24</v>
      </c>
      <c r="P21" s="33">
        <v>25.95</v>
      </c>
      <c r="Q21" s="33">
        <v>25.95</v>
      </c>
      <c r="R21" s="33">
        <v>25.86</v>
      </c>
      <c r="S21" s="33">
        <v>26.66</v>
      </c>
      <c r="T21" s="33">
        <v>26.54</v>
      </c>
      <c r="U21" s="33">
        <v>26.73</v>
      </c>
      <c r="V21" s="33">
        <v>26.64</v>
      </c>
      <c r="W21" s="33">
        <v>25.96</v>
      </c>
      <c r="X21" s="33">
        <v>26.41</v>
      </c>
      <c r="Y21" s="33">
        <v>26.28</v>
      </c>
      <c r="Z21" s="33">
        <v>26.41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1482</v>
      </c>
      <c r="E22" s="32"/>
      <c r="F22" s="32"/>
      <c r="G22" s="32"/>
      <c r="H22" s="32"/>
      <c r="I22" s="33">
        <v>27.4</v>
      </c>
      <c r="J22" s="33">
        <v>28.35</v>
      </c>
      <c r="K22" s="33">
        <v>28.13</v>
      </c>
      <c r="L22" s="33">
        <v>28.15</v>
      </c>
      <c r="M22" s="33">
        <v>27.84</v>
      </c>
      <c r="N22" s="33">
        <v>27.52</v>
      </c>
      <c r="O22" s="33">
        <v>30.2</v>
      </c>
      <c r="P22" s="33">
        <v>32.16</v>
      </c>
      <c r="Q22" s="33">
        <v>33.66</v>
      </c>
      <c r="R22" s="33">
        <v>34.69</v>
      </c>
      <c r="S22" s="33">
        <v>31.8</v>
      </c>
      <c r="T22" s="33">
        <v>29.97</v>
      </c>
      <c r="U22" s="33">
        <v>30.57</v>
      </c>
      <c r="V22" s="33">
        <v>32.7</v>
      </c>
      <c r="W22" s="33">
        <v>32.13</v>
      </c>
      <c r="X22" s="33">
        <v>34.18</v>
      </c>
      <c r="Y22" s="33">
        <v>30.77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1483</v>
      </c>
      <c r="E23" s="32"/>
      <c r="F23" s="32"/>
      <c r="G23" s="32"/>
      <c r="H23" s="32"/>
      <c r="I23" s="36">
        <f>105.62+71.62</f>
        <v>177.24</v>
      </c>
      <c r="J23" s="36">
        <f>71.62+93.94</f>
        <v>165.56</v>
      </c>
      <c r="K23" s="36">
        <f>85.26+71.62</f>
        <v>156.88</v>
      </c>
      <c r="L23" s="36">
        <f>71.06+115.43</f>
        <v>186.49</v>
      </c>
      <c r="M23" s="36">
        <f>121.02+71.06</f>
        <v>192.07999999999998</v>
      </c>
      <c r="N23" s="36">
        <f>175.90+71.06</f>
        <v>246.96</v>
      </c>
      <c r="O23" s="36">
        <f>186.34+73.44</f>
        <v>259.78</v>
      </c>
      <c r="P23" s="36">
        <f>194.65+73.44</f>
        <v>268.09000000000003</v>
      </c>
      <c r="Q23" s="36">
        <f>195.68+73.44</f>
        <v>269.12</v>
      </c>
      <c r="R23" s="36">
        <f>116.59+75.13</f>
        <v>191.72</v>
      </c>
      <c r="S23" s="36">
        <f>19.31+75.13</f>
        <v>94.44</v>
      </c>
      <c r="T23" s="36">
        <f>75.13+19.31</f>
        <v>94.44</v>
      </c>
      <c r="U23" s="36">
        <f>19.31+74.57</f>
        <v>93.88</v>
      </c>
      <c r="V23" s="36">
        <f>19.31+74.57</f>
        <v>93.88</v>
      </c>
      <c r="W23" s="36">
        <f>74.57+19.31</f>
        <v>93.88</v>
      </c>
      <c r="X23" s="36">
        <f>74.57+19.31</f>
        <v>93.88</v>
      </c>
      <c r="Y23" s="36">
        <f>74.57+19.31</f>
        <v>93.88</v>
      </c>
      <c r="Z23" s="36">
        <f>74.57+19.31</f>
        <v>93.88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1484</v>
      </c>
      <c r="E24" s="32"/>
      <c r="F24" s="32"/>
      <c r="G24" s="32"/>
      <c r="H24" s="32"/>
      <c r="I24" s="36">
        <f>289.89+126.42</f>
        <v>416.31</v>
      </c>
      <c r="J24" s="36">
        <f>289.89+121.49</f>
        <v>411.38</v>
      </c>
      <c r="K24" s="36">
        <f>289.89+115.69</f>
        <v>405.58</v>
      </c>
      <c r="L24" s="36">
        <f>113.03+287.13</f>
        <v>400.15999999999997</v>
      </c>
      <c r="M24" s="36">
        <f>287.13+104.24</f>
        <v>391.37</v>
      </c>
      <c r="N24" s="36">
        <f>80.82+287.13</f>
        <v>367.95</v>
      </c>
      <c r="O24" s="36">
        <f>313.38+125.55</f>
        <v>438.93</v>
      </c>
      <c r="P24" s="36">
        <f>120.39+299.10</f>
        <v>419.49</v>
      </c>
      <c r="Q24" s="32"/>
      <c r="R24" s="36">
        <f>305.38+112.93</f>
        <v>418.31</v>
      </c>
      <c r="S24" s="36">
        <f>110.97+305.38</f>
        <v>416.35</v>
      </c>
      <c r="T24" s="36">
        <f>71.06+305.38</f>
        <v>376.44</v>
      </c>
      <c r="U24" s="36">
        <f>302.65+70.50</f>
        <v>373.15</v>
      </c>
      <c r="V24" s="36">
        <f>302.65+77.60</f>
        <v>380.25</v>
      </c>
      <c r="W24" s="36">
        <f>61.28+300.58</f>
        <v>361.86</v>
      </c>
      <c r="X24" s="36">
        <f>300.58+60.62</f>
        <v>361.2</v>
      </c>
      <c r="Y24" s="36">
        <f>60.82+300.58</f>
        <v>361.4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1485</v>
      </c>
      <c r="E25" s="32"/>
      <c r="F25" s="32"/>
      <c r="G25" s="32"/>
      <c r="H25" s="32"/>
      <c r="I25" s="33">
        <v>732.39</v>
      </c>
      <c r="J25" s="33">
        <v>908.44</v>
      </c>
      <c r="K25" s="33">
        <v>821.21</v>
      </c>
      <c r="L25" s="33">
        <v>714.96</v>
      </c>
      <c r="M25" s="33">
        <v>426.91</v>
      </c>
      <c r="N25" s="33">
        <v>352.73</v>
      </c>
      <c r="O25" s="33">
        <v>329.42</v>
      </c>
      <c r="P25" s="33">
        <v>211.16</v>
      </c>
      <c r="Q25" s="33">
        <v>182.67</v>
      </c>
      <c r="R25" s="33">
        <v>126.11</v>
      </c>
      <c r="S25" s="33">
        <v>19.31</v>
      </c>
      <c r="T25" s="33">
        <v>19.31</v>
      </c>
      <c r="U25" s="33">
        <v>19.31</v>
      </c>
      <c r="V25" s="33">
        <v>445.78</v>
      </c>
      <c r="W25" s="33">
        <v>434.21</v>
      </c>
      <c r="X25" s="33">
        <v>787.54</v>
      </c>
      <c r="Y25" s="33">
        <v>531.63</v>
      </c>
      <c r="Z25" s="33">
        <v>365.03</v>
      </c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1486</v>
      </c>
      <c r="E26" s="32"/>
      <c r="F26" s="32"/>
      <c r="G26" s="32"/>
      <c r="H26" s="32"/>
      <c r="I26" s="33">
        <v>47.55</v>
      </c>
      <c r="J26" s="33">
        <v>28.88</v>
      </c>
      <c r="K26" s="33">
        <v>29.33</v>
      </c>
      <c r="L26" s="33">
        <v>26.9</v>
      </c>
      <c r="M26" s="33">
        <v>26.68</v>
      </c>
      <c r="N26" s="33">
        <v>27.95</v>
      </c>
      <c r="O26" s="33">
        <v>26.75</v>
      </c>
      <c r="P26" s="33">
        <v>26.75</v>
      </c>
      <c r="Q26" s="33">
        <v>27.45</v>
      </c>
      <c r="R26" s="33">
        <v>25.52</v>
      </c>
      <c r="S26" s="33">
        <v>24.03</v>
      </c>
      <c r="T26" s="33">
        <v>28.73</v>
      </c>
      <c r="U26" s="33">
        <v>31.12</v>
      </c>
      <c r="V26" s="33">
        <v>24.72</v>
      </c>
      <c r="W26" s="33">
        <v>25.39</v>
      </c>
      <c r="X26" s="33">
        <v>25.05</v>
      </c>
      <c r="Y26" s="33">
        <v>25.39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1487</v>
      </c>
      <c r="E27" s="32"/>
      <c r="F27" s="32"/>
      <c r="G27" s="32"/>
      <c r="H27" s="32"/>
      <c r="I27" s="33">
        <v>25.51</v>
      </c>
      <c r="J27" s="33">
        <v>27.31</v>
      </c>
      <c r="K27" s="33">
        <v>30.52</v>
      </c>
      <c r="L27" s="33">
        <v>14.55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1488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>
        <v>24.69</v>
      </c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1489</v>
      </c>
      <c r="E29" s="32"/>
      <c r="F29" s="32"/>
      <c r="G29" s="32"/>
      <c r="H29" s="32"/>
      <c r="I29" s="33">
        <v>18.5</v>
      </c>
      <c r="J29" s="33">
        <v>32.73</v>
      </c>
      <c r="K29" s="33">
        <v>37.25</v>
      </c>
      <c r="L29" s="33">
        <v>22.37</v>
      </c>
      <c r="M29" s="33">
        <v>60.65</v>
      </c>
      <c r="N29" s="33">
        <v>60.83</v>
      </c>
      <c r="O29" s="33">
        <v>45.56</v>
      </c>
      <c r="P29" s="33">
        <v>51.26</v>
      </c>
      <c r="Q29" s="33">
        <v>117.51</v>
      </c>
      <c r="R29" s="33">
        <v>84.71</v>
      </c>
      <c r="S29" s="33">
        <v>73.54</v>
      </c>
      <c r="T29" s="33">
        <v>43.86</v>
      </c>
      <c r="U29" s="33">
        <v>42.37</v>
      </c>
      <c r="V29" s="33">
        <v>43.82</v>
      </c>
      <c r="W29" s="33">
        <v>40.25</v>
      </c>
      <c r="X29" s="33">
        <v>69.81</v>
      </c>
      <c r="Y29" s="33">
        <v>91.88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1490</v>
      </c>
      <c r="E30" s="32"/>
      <c r="F30" s="32"/>
      <c r="G30" s="32"/>
      <c r="H30" s="32"/>
      <c r="I30" s="33">
        <v>92.23</v>
      </c>
      <c r="J30" s="36">
        <f>80.73+22.88</f>
        <v>103.61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1491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3">
        <v>15.2</v>
      </c>
      <c r="R31" s="33">
        <v>15.76</v>
      </c>
      <c r="S31" s="33">
        <v>15.76</v>
      </c>
      <c r="T31" s="33">
        <v>15.76</v>
      </c>
      <c r="U31" s="33">
        <v>15.76</v>
      </c>
      <c r="V31" s="33">
        <v>15.76</v>
      </c>
      <c r="W31" s="33">
        <v>15.76</v>
      </c>
      <c r="X31" s="33">
        <v>15.76</v>
      </c>
      <c r="Y31" s="33">
        <v>15.76</v>
      </c>
      <c r="Z31" s="33">
        <v>15.76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1492</v>
      </c>
      <c r="E32" s="32"/>
      <c r="F32" s="32"/>
      <c r="G32" s="32"/>
      <c r="H32" s="32"/>
      <c r="I32" s="33">
        <v>15.2</v>
      </c>
      <c r="J32" s="33">
        <v>15.2</v>
      </c>
      <c r="K32" s="33">
        <v>15.2</v>
      </c>
      <c r="L32" s="33">
        <v>15.2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1493</v>
      </c>
      <c r="E33" s="32"/>
      <c r="F33" s="32"/>
      <c r="G33" s="32"/>
      <c r="H33" s="32"/>
      <c r="I33" s="32"/>
      <c r="J33" s="32"/>
      <c r="K33" s="32"/>
      <c r="L33" s="32"/>
      <c r="M33" s="33">
        <v>19.23</v>
      </c>
      <c r="N33" s="33">
        <v>20.3</v>
      </c>
      <c r="O33" s="33">
        <v>20.68</v>
      </c>
      <c r="P33" s="33">
        <v>20.89</v>
      </c>
      <c r="Q33" s="32"/>
      <c r="R33" s="33">
        <v>18.24</v>
      </c>
      <c r="S33" s="33">
        <v>15.76</v>
      </c>
      <c r="T33" s="33">
        <v>15.76</v>
      </c>
      <c r="U33" s="33">
        <v>15.76</v>
      </c>
      <c r="V33" s="33">
        <v>15.76</v>
      </c>
      <c r="W33" s="33">
        <v>15.76</v>
      </c>
      <c r="X33" s="33">
        <v>15.76</v>
      </c>
      <c r="Y33" s="33">
        <v>15.76</v>
      </c>
      <c r="Z33" s="33">
        <v>15.76</v>
      </c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1494</v>
      </c>
      <c r="E34" s="32"/>
      <c r="F34" s="32"/>
      <c r="G34" s="32"/>
      <c r="H34" s="32"/>
      <c r="I34" s="33">
        <v>108.29</v>
      </c>
      <c r="J34" s="33">
        <v>26.41</v>
      </c>
      <c r="K34" s="33">
        <v>20.21</v>
      </c>
      <c r="L34" s="33">
        <v>20.4</v>
      </c>
      <c r="M34" s="33">
        <v>20.3</v>
      </c>
      <c r="N34" s="33">
        <v>20.79</v>
      </c>
      <c r="O34" s="33">
        <v>20.89</v>
      </c>
      <c r="P34" s="33">
        <v>48.37</v>
      </c>
      <c r="Q34" s="33">
        <v>43.86</v>
      </c>
      <c r="R34" s="33">
        <v>21.01</v>
      </c>
      <c r="S34" s="33">
        <v>21.33</v>
      </c>
      <c r="T34" s="33">
        <v>21.13</v>
      </c>
      <c r="U34" s="33">
        <v>21.32</v>
      </c>
      <c r="V34" s="33">
        <v>22.39</v>
      </c>
      <c r="W34" s="33">
        <v>20.71</v>
      </c>
      <c r="X34" s="33">
        <v>21.32</v>
      </c>
      <c r="Y34" s="33">
        <v>21.32</v>
      </c>
      <c r="Z34" s="33">
        <v>21.55</v>
      </c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1495</v>
      </c>
      <c r="E35" s="32"/>
      <c r="F35" s="32"/>
      <c r="G35" s="32"/>
      <c r="H35" s="32"/>
      <c r="I35" s="32"/>
      <c r="J35" s="32"/>
      <c r="K35" s="33">
        <v>11.66</v>
      </c>
      <c r="L35" s="32"/>
      <c r="M35" s="32"/>
      <c r="N35" s="32"/>
      <c r="O35" s="33">
        <v>13.68</v>
      </c>
      <c r="P35" s="32"/>
      <c r="Q35" s="32"/>
      <c r="R35" s="32"/>
      <c r="S35" s="32"/>
      <c r="T35" s="32"/>
      <c r="U35" s="32"/>
      <c r="V35" s="32"/>
      <c r="W35" s="32"/>
      <c r="X35" s="33">
        <v>15.87</v>
      </c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1496</v>
      </c>
      <c r="E36" s="32"/>
      <c r="F36" s="32"/>
      <c r="G36" s="32"/>
      <c r="H36" s="32"/>
      <c r="I36" s="33">
        <v>28.11</v>
      </c>
      <c r="J36" s="33">
        <v>27.72</v>
      </c>
      <c r="K36" s="33">
        <v>30.61</v>
      </c>
      <c r="L36" s="33">
        <v>32.07</v>
      </c>
      <c r="M36" s="33">
        <v>38.85</v>
      </c>
      <c r="N36" s="33">
        <v>45.41</v>
      </c>
      <c r="O36" s="33">
        <v>43.98</v>
      </c>
      <c r="P36" s="33">
        <v>45.27</v>
      </c>
      <c r="Q36" s="36">
        <f>51.47+12.63</f>
        <v>64.1</v>
      </c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1497</v>
      </c>
      <c r="E37" s="32"/>
      <c r="F37" s="32"/>
      <c r="G37" s="32"/>
      <c r="H37" s="32"/>
      <c r="I37" s="33">
        <v>15.2</v>
      </c>
      <c r="J37" s="33">
        <v>15.2</v>
      </c>
      <c r="K37" s="33">
        <v>15.2</v>
      </c>
      <c r="L37" s="33">
        <v>15.2</v>
      </c>
      <c r="M37" s="33">
        <v>15.2</v>
      </c>
      <c r="N37" s="33">
        <v>15.2</v>
      </c>
      <c r="O37" s="33">
        <v>15.2</v>
      </c>
      <c r="P37" s="33">
        <v>15.2</v>
      </c>
      <c r="Q37" s="33">
        <v>15.2</v>
      </c>
      <c r="R37" s="33">
        <v>15.76</v>
      </c>
      <c r="S37" s="33">
        <v>15.76</v>
      </c>
      <c r="T37" s="33">
        <v>15.76</v>
      </c>
      <c r="U37" s="33">
        <v>15.76</v>
      </c>
      <c r="V37" s="33">
        <v>15.76</v>
      </c>
      <c r="W37" s="33">
        <v>15.76</v>
      </c>
      <c r="X37" s="33">
        <v>15.76</v>
      </c>
      <c r="Y37" s="33">
        <v>15.76</v>
      </c>
      <c r="Z37" s="33">
        <v>15.76</v>
      </c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1498</v>
      </c>
      <c r="E38" s="32"/>
      <c r="F38" s="32"/>
      <c r="G38" s="32"/>
      <c r="H38" s="32"/>
      <c r="I38" s="33">
        <v>58.09</v>
      </c>
      <c r="J38" s="33">
        <v>63.5</v>
      </c>
      <c r="K38" s="33">
        <v>75.13</v>
      </c>
      <c r="L38" s="33">
        <v>41.5</v>
      </c>
      <c r="M38" s="33">
        <v>75.11</v>
      </c>
      <c r="N38" s="33">
        <v>86.64</v>
      </c>
      <c r="O38" s="33">
        <v>73.18</v>
      </c>
      <c r="P38" s="33">
        <v>67.48</v>
      </c>
      <c r="Q38" s="33">
        <v>59.65</v>
      </c>
      <c r="R38" s="36">
        <f>55.11+6.60</f>
        <v>61.71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1499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3">
        <v>38.17</v>
      </c>
      <c r="R39" s="33">
        <v>39.77</v>
      </c>
      <c r="S39" s="33">
        <v>31.1</v>
      </c>
      <c r="T39" s="33">
        <v>19.85</v>
      </c>
      <c r="U39" s="33">
        <v>19.13</v>
      </c>
      <c r="V39" s="33">
        <v>24.05</v>
      </c>
      <c r="W39" s="33">
        <v>19.33</v>
      </c>
      <c r="X39" s="33">
        <v>19.33</v>
      </c>
      <c r="Y39" s="33">
        <v>19.55</v>
      </c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1500</v>
      </c>
      <c r="E40" s="32"/>
      <c r="F40" s="32"/>
      <c r="G40" s="32"/>
      <c r="H40" s="32"/>
      <c r="I40" s="33">
        <v>15.4</v>
      </c>
      <c r="J40" s="33">
        <v>15.2</v>
      </c>
      <c r="K40" s="33">
        <v>15.2</v>
      </c>
      <c r="L40" s="33">
        <v>15.2</v>
      </c>
      <c r="M40" s="33">
        <v>6.08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1501</v>
      </c>
      <c r="E41" s="32"/>
      <c r="F41" s="32"/>
      <c r="G41" s="32"/>
      <c r="H41" s="32"/>
      <c r="I41" s="33">
        <v>21.92</v>
      </c>
      <c r="J41" s="33">
        <v>23.5</v>
      </c>
      <c r="K41" s="36">
        <f>36.35+5.93</f>
        <v>42.28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1502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>
        <v>42.41</v>
      </c>
      <c r="Q42" s="32"/>
      <c r="R42" s="33">
        <v>32.65</v>
      </c>
      <c r="S42" s="33">
        <v>15.76</v>
      </c>
      <c r="T42" s="33">
        <v>15.76</v>
      </c>
      <c r="U42" s="33">
        <v>15.76</v>
      </c>
      <c r="V42" s="33">
        <v>15.76</v>
      </c>
      <c r="W42" s="33">
        <v>15.76</v>
      </c>
      <c r="X42" s="33">
        <v>15.76</v>
      </c>
      <c r="Y42" s="33">
        <v>15.76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1503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3">
        <v>15.2</v>
      </c>
      <c r="R43" s="33">
        <v>15.76</v>
      </c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1504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3">
        <v>15.27</v>
      </c>
      <c r="Q44" s="32"/>
      <c r="R44" s="33">
        <v>24.49</v>
      </c>
      <c r="S44" s="33">
        <v>20.8</v>
      </c>
      <c r="T44" s="33">
        <v>21.33</v>
      </c>
      <c r="U44" s="33">
        <v>20.48</v>
      </c>
      <c r="V44" s="33">
        <v>25.01</v>
      </c>
      <c r="W44" s="33">
        <v>21.87</v>
      </c>
      <c r="X44" s="33">
        <v>29.01</v>
      </c>
      <c r="Y44" s="33">
        <v>38.07</v>
      </c>
      <c r="Z44" s="33">
        <v>52.45</v>
      </c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1505</v>
      </c>
      <c r="E45" s="32"/>
      <c r="F45" s="32"/>
      <c r="G45" s="32"/>
      <c r="H45" s="32"/>
      <c r="I45" s="33">
        <v>15.99</v>
      </c>
      <c r="J45" s="33">
        <v>16.99</v>
      </c>
      <c r="K45" s="33">
        <v>16.91</v>
      </c>
      <c r="L45" s="33">
        <v>16.95</v>
      </c>
      <c r="M45" s="33">
        <v>27.46</v>
      </c>
      <c r="N45" s="33">
        <v>39.53</v>
      </c>
      <c r="O45" s="33">
        <v>37.65</v>
      </c>
      <c r="P45" s="33">
        <v>28.4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1506</v>
      </c>
      <c r="E46" s="32"/>
      <c r="F46" s="32"/>
      <c r="G46" s="32"/>
      <c r="H46" s="32"/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1507</v>
      </c>
      <c r="E47" s="32"/>
      <c r="F47" s="32"/>
      <c r="G47" s="32"/>
      <c r="H47" s="32"/>
      <c r="I47" s="33">
        <v>25.7</v>
      </c>
      <c r="J47" s="33">
        <v>26.41</v>
      </c>
      <c r="K47" s="33">
        <v>27.72</v>
      </c>
      <c r="L47" s="33">
        <v>29.23</v>
      </c>
      <c r="M47" s="33">
        <v>34.92</v>
      </c>
      <c r="N47" s="33">
        <v>41.7</v>
      </c>
      <c r="O47" s="33">
        <v>40.43</v>
      </c>
      <c r="P47" s="33">
        <v>46.43</v>
      </c>
      <c r="Q47" s="33">
        <v>33.44</v>
      </c>
      <c r="R47" s="33">
        <v>28.3</v>
      </c>
      <c r="S47" s="33">
        <v>14.62</v>
      </c>
      <c r="T47" s="33">
        <v>15.76</v>
      </c>
      <c r="U47" s="33">
        <v>15.76</v>
      </c>
      <c r="V47" s="33">
        <v>15.76</v>
      </c>
      <c r="W47" s="33">
        <v>15.76</v>
      </c>
      <c r="X47" s="33">
        <v>15.76</v>
      </c>
      <c r="Y47" s="33">
        <v>15.76</v>
      </c>
      <c r="Z47" s="33">
        <v>15.76</v>
      </c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1508</v>
      </c>
      <c r="E48" s="32"/>
      <c r="F48" s="32"/>
      <c r="G48" s="32"/>
      <c r="H48" s="32"/>
      <c r="I48" s="33">
        <v>15.2</v>
      </c>
      <c r="J48" s="33">
        <v>15.2</v>
      </c>
      <c r="K48" s="33">
        <v>15.2</v>
      </c>
      <c r="L48" s="33">
        <v>15.2</v>
      </c>
      <c r="M48" s="33">
        <v>15.2</v>
      </c>
      <c r="N48" s="33">
        <v>15.2</v>
      </c>
      <c r="O48" s="33">
        <v>15.2</v>
      </c>
      <c r="P48" s="33">
        <v>15.2</v>
      </c>
      <c r="Q48" s="33">
        <v>15.2</v>
      </c>
      <c r="R48" s="33">
        <v>15.76</v>
      </c>
      <c r="S48" s="33">
        <v>15.76</v>
      </c>
      <c r="T48" s="33">
        <v>15.76</v>
      </c>
      <c r="U48" s="33">
        <v>15.76</v>
      </c>
      <c r="V48" s="33">
        <v>15.76</v>
      </c>
      <c r="W48" s="36">
        <f>15.76+6.84</f>
        <v>22.6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1509</v>
      </c>
      <c r="E49" s="32"/>
      <c r="F49" s="32"/>
      <c r="G49" s="32"/>
      <c r="H49" s="32"/>
      <c r="I49" s="33">
        <v>15.2</v>
      </c>
      <c r="J49" s="33">
        <v>15.2</v>
      </c>
      <c r="K49" s="33">
        <v>15.2</v>
      </c>
      <c r="L49" s="33">
        <v>15.2</v>
      </c>
      <c r="M49" s="33">
        <v>15.2</v>
      </c>
      <c r="N49" s="33">
        <v>15.2</v>
      </c>
      <c r="O49" s="33">
        <v>15.2</v>
      </c>
      <c r="P49" s="32"/>
      <c r="Q49" s="33">
        <v>15.2</v>
      </c>
      <c r="R49" s="33">
        <v>15.76</v>
      </c>
      <c r="S49" s="33">
        <v>14.62</v>
      </c>
      <c r="T49" s="33">
        <v>15.76</v>
      </c>
      <c r="U49" s="33">
        <v>15.76</v>
      </c>
      <c r="V49" s="33">
        <v>15.76</v>
      </c>
      <c r="W49" s="33">
        <v>15.76</v>
      </c>
      <c r="X49" s="33">
        <v>15.76</v>
      </c>
      <c r="Y49" s="33">
        <v>15.76</v>
      </c>
      <c r="Z49" s="33">
        <v>15.76</v>
      </c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1510</v>
      </c>
      <c r="E50" s="32"/>
      <c r="F50" s="32"/>
      <c r="G50" s="32"/>
      <c r="H50" s="32"/>
      <c r="I50" s="33">
        <v>15.2</v>
      </c>
      <c r="J50" s="33">
        <v>15.2</v>
      </c>
      <c r="K50" s="33">
        <v>15.2</v>
      </c>
      <c r="L50" s="33">
        <v>15.2</v>
      </c>
      <c r="M50" s="33">
        <v>15.2</v>
      </c>
      <c r="N50" s="33">
        <v>15.2</v>
      </c>
      <c r="O50" s="33">
        <v>15.2</v>
      </c>
      <c r="P50" s="33">
        <v>15.2</v>
      </c>
      <c r="Q50" s="33">
        <v>15.2</v>
      </c>
      <c r="R50" s="33">
        <v>15.76</v>
      </c>
      <c r="S50" s="33">
        <v>15.76</v>
      </c>
      <c r="T50" s="33">
        <v>15.76</v>
      </c>
      <c r="U50" s="33">
        <v>15.76</v>
      </c>
      <c r="V50" s="33">
        <v>15.76</v>
      </c>
      <c r="W50" s="33">
        <v>15.76</v>
      </c>
      <c r="X50" s="33">
        <v>15.76</v>
      </c>
      <c r="Y50" s="33">
        <v>15.76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1511</v>
      </c>
      <c r="E51" s="32"/>
      <c r="F51" s="32"/>
      <c r="G51" s="32"/>
      <c r="H51" s="32"/>
      <c r="I51" s="33">
        <v>15.2</v>
      </c>
      <c r="J51" s="33">
        <v>15.2</v>
      </c>
      <c r="K51" s="33">
        <v>15.2</v>
      </c>
      <c r="L51" s="33">
        <v>15.2</v>
      </c>
      <c r="M51" s="33">
        <v>15.2</v>
      </c>
      <c r="N51" s="33">
        <v>15.2</v>
      </c>
      <c r="O51" s="33">
        <v>15.2</v>
      </c>
      <c r="P51" s="33">
        <v>15.2</v>
      </c>
      <c r="Q51" s="32"/>
      <c r="R51" s="33">
        <v>15.76</v>
      </c>
      <c r="S51" s="33">
        <v>15.76</v>
      </c>
      <c r="T51" s="33">
        <v>15.76</v>
      </c>
      <c r="U51" s="33">
        <v>15.76</v>
      </c>
      <c r="V51" s="33">
        <v>15.76</v>
      </c>
      <c r="W51" s="33">
        <v>15.76</v>
      </c>
      <c r="X51" s="33">
        <v>15.76</v>
      </c>
      <c r="Y51" s="33">
        <v>15.76</v>
      </c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1512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3">
        <v>27.81</v>
      </c>
      <c r="X52" s="33">
        <v>19.44</v>
      </c>
      <c r="Y52" s="33">
        <v>19.31</v>
      </c>
      <c r="Z52" s="33">
        <v>19.31</v>
      </c>
      <c r="AA52" s="32"/>
      <c r="AB52" s="32"/>
      <c r="AC52" s="32"/>
      <c r="AD52" s="32"/>
      <c r="AE52" s="32"/>
      <c r="AF52" s="32"/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1513</v>
      </c>
      <c r="E53" s="32"/>
      <c r="F53" s="32"/>
      <c r="G53" s="32"/>
      <c r="H53" s="32"/>
      <c r="I53" s="32"/>
      <c r="J53" s="32"/>
      <c r="K53" s="33">
        <v>0.52</v>
      </c>
      <c r="L53" s="33">
        <v>15.2</v>
      </c>
      <c r="M53" s="33">
        <v>15.2</v>
      </c>
      <c r="N53" s="33">
        <v>15.2</v>
      </c>
      <c r="O53" s="33">
        <v>15.2</v>
      </c>
      <c r="P53" s="33">
        <v>15.2</v>
      </c>
      <c r="Q53" s="33">
        <v>15.2</v>
      </c>
      <c r="R53" s="33">
        <v>16.18</v>
      </c>
      <c r="S53" s="33">
        <v>26.8</v>
      </c>
      <c r="T53" s="33">
        <v>42.12</v>
      </c>
      <c r="U53" s="33">
        <v>60.66</v>
      </c>
      <c r="V53" s="33">
        <v>58.99</v>
      </c>
      <c r="W53" s="33">
        <v>42.57</v>
      </c>
      <c r="X53" s="33">
        <v>52.45</v>
      </c>
      <c r="Y53" s="33">
        <v>64.24</v>
      </c>
      <c r="Z53" s="33">
        <v>76.53</v>
      </c>
      <c r="AA53" s="32"/>
      <c r="AB53" s="32"/>
      <c r="AC53" s="32"/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7"/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40"/>
    </row>
    <row r="55" ht="12.75" customHeight="1" spans="2:37" x14ac:dyDescent="0.25">
      <c r="B55" s="20" t="s">
        <v>85</v>
      </c>
      <c r="C55" s="21"/>
      <c r="D55" s="21"/>
      <c r="E55" s="22">
        <f>SUM(E13:E53)</f>
      </c>
      <c r="F55" s="22">
        <f>SUM(F13:F53)</f>
      </c>
      <c r="G55" s="22">
        <f>SUM(G13:G53)</f>
      </c>
      <c r="H55" s="22">
        <f>SUM(H13:H53)</f>
      </c>
      <c r="I55" s="22">
        <f>SUM(I13:I53)</f>
      </c>
      <c r="J55" s="22">
        <f>SUM(J13:J53)</f>
      </c>
      <c r="K55" s="22">
        <f>SUM(K13:K53)</f>
      </c>
      <c r="L55" s="22">
        <f>SUM(L13:L53)</f>
      </c>
      <c r="M55" s="22">
        <f>SUM(M13:M53)</f>
      </c>
      <c r="N55" s="22">
        <f>SUM(N13:N53)</f>
      </c>
      <c r="O55" s="22">
        <f>SUM(O13:O53)</f>
      </c>
      <c r="P55" s="22">
        <f>SUM(P13:P53)</f>
      </c>
      <c r="Q55" s="22">
        <f>SUM(Q13:Q53)</f>
      </c>
      <c r="R55" s="22">
        <f>SUM(R13:R53)</f>
      </c>
      <c r="S55" s="22">
        <f>SUM(S13:S53)</f>
      </c>
      <c r="T55" s="22">
        <f>SUM(T13:T53)</f>
      </c>
      <c r="U55" s="22">
        <f>SUM(U13:U53)</f>
      </c>
      <c r="V55" s="22">
        <f>SUM(V13:V53)</f>
      </c>
      <c r="W55" s="22">
        <f>SUM(W13:W53)</f>
      </c>
      <c r="X55" s="22">
        <f>SUM(X13:X53)</f>
      </c>
      <c r="Y55" s="22">
        <f>SUM(Y13:Y53)</f>
      </c>
      <c r="Z55" s="22">
        <f>SUM(Z13:Z53)</f>
      </c>
      <c r="AA55" s="22">
        <f>SUM(AA13:AA53)</f>
      </c>
      <c r="AB55" s="22">
        <f>SUM(AB13:AB53)</f>
      </c>
      <c r="AC55" s="22">
        <f>SUM(AC13:AC53)</f>
      </c>
      <c r="AD55" s="22">
        <f>SUM(AD13:AD53)</f>
      </c>
      <c r="AE55" s="22">
        <f>SUM(AE13:AE53)</f>
      </c>
      <c r="AF55" s="22">
        <f>SUM(AF13:AF53)</f>
      </c>
      <c r="AG55" s="22">
        <f>SUM(AG13:AG53)</f>
      </c>
      <c r="AH55" s="22">
        <f>SUM(AH13:AH53)</f>
      </c>
      <c r="AI55" s="22">
        <f>SUM(AI13:AI53)</f>
      </c>
      <c r="AJ55" s="22">
        <f>SUM(AJ13:AJ53)</f>
      </c>
      <c r="AK55" s="23"/>
    </row>
    <row r="57" ht="12.75" customHeight="1" spans="2:37" x14ac:dyDescent="0.25">
      <c r="B57" s="26" t="s">
        <v>43</v>
      </c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9"/>
    </row>
    <row r="58" ht="12.75" customHeight="1" spans="2:37" x14ac:dyDescent="0.25">
      <c r="B58" s="30" t="s">
        <v>43</v>
      </c>
      <c r="C58" s="31" t="s">
        <v>3</v>
      </c>
      <c r="D58" s="32" t="s">
        <v>1473</v>
      </c>
      <c r="E58" s="32"/>
      <c r="F58" s="32"/>
      <c r="G58" s="32"/>
      <c r="H58" s="32"/>
      <c r="I58" s="33">
        <v>55.92</v>
      </c>
      <c r="J58" s="33">
        <v>57.01</v>
      </c>
      <c r="K58" s="33">
        <v>55.92</v>
      </c>
      <c r="L58" s="36">
        <f>55.92+50.00</f>
        <v>105.92</v>
      </c>
      <c r="M58" s="36">
        <f>55.92+0.00</f>
        <v>55.92</v>
      </c>
      <c r="N58" s="36">
        <f>55.92+0.00</f>
        <v>55.92</v>
      </c>
      <c r="O58" s="36">
        <f>55.92+0.00</f>
        <v>55.92</v>
      </c>
      <c r="P58" s="36">
        <f>55.92+0.00</f>
        <v>55.92</v>
      </c>
      <c r="Q58" s="36">
        <f>55.92+0.00</f>
        <v>55.92</v>
      </c>
      <c r="R58" s="36">
        <f>58.73+0.00</f>
        <v>58.73</v>
      </c>
      <c r="S58" s="36">
        <f>58.73+0.00</f>
        <v>58.73</v>
      </c>
      <c r="T58" s="33">
        <v>58.73</v>
      </c>
      <c r="U58" s="33">
        <v>58.73</v>
      </c>
      <c r="V58" s="33">
        <v>60.72</v>
      </c>
      <c r="W58" s="33">
        <v>58.73</v>
      </c>
      <c r="X58" s="33">
        <v>58.73</v>
      </c>
      <c r="Y58" s="33">
        <v>58.73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0" t="s">
        <v>43</v>
      </c>
      <c r="C59" s="31" t="s">
        <v>3</v>
      </c>
      <c r="D59" s="32" t="s">
        <v>1474</v>
      </c>
      <c r="E59" s="32"/>
      <c r="F59" s="33">
        <v>4097.81</v>
      </c>
      <c r="G59" s="32"/>
      <c r="H59" s="32"/>
      <c r="I59" s="33">
        <v>2098.11</v>
      </c>
      <c r="J59" s="36">
        <f>4292.69+2362.83</f>
        <v>6655.5199999999995</v>
      </c>
      <c r="K59" s="36">
        <f>4172.05+2198.96</f>
        <v>6371.01</v>
      </c>
      <c r="L59" s="36">
        <f>4515.41+2665.38</f>
        <v>7180.79</v>
      </c>
      <c r="M59" s="36">
        <f>4455.09+2583.44</f>
        <v>7038.530000000001</v>
      </c>
      <c r="N59" s="36">
        <f>4292.69+2362.83</f>
        <v>6655.5199999999995</v>
      </c>
      <c r="O59" s="36">
        <f>3981.81+1940.53</f>
        <v>5922.34</v>
      </c>
      <c r="P59" s="36">
        <f>4301.97+2375.44</f>
        <v>6677.41</v>
      </c>
      <c r="Q59" s="36">
        <f>4547.89+2709.50</f>
        <v>7257.39</v>
      </c>
      <c r="R59" s="36">
        <f>4751.19+2905.11</f>
        <v>7656.299999999999</v>
      </c>
      <c r="S59" s="36">
        <f>5189.49+3533.76</f>
        <v>8723.25</v>
      </c>
      <c r="T59" s="36">
        <f>5515.78+4001.76</f>
        <v>9517.54</v>
      </c>
      <c r="U59" s="36">
        <f>5374.55+3799.19+0.00+0.00</f>
        <v>9173.74</v>
      </c>
      <c r="V59" s="36">
        <f>5418.38+3862.06</f>
        <v>9280.44</v>
      </c>
      <c r="W59" s="36">
        <f>5200.90+3541.53</f>
        <v>8742.43</v>
      </c>
      <c r="X59" s="36">
        <f>5856.68+4490.71</f>
        <v>10347.39</v>
      </c>
      <c r="Y59" s="36">
        <f>5403.77+3841.10</f>
        <v>9244.87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4">
        <f>SUM(E59:AI59)</f>
      </c>
      <c r="AK59" s="35"/>
    </row>
    <row r="60" ht="12.75" customHeight="1" spans="2:37" x14ac:dyDescent="0.25">
      <c r="B60" s="30" t="s">
        <v>43</v>
      </c>
      <c r="C60" s="31" t="s">
        <v>3</v>
      </c>
      <c r="D60" s="32" t="s">
        <v>1514</v>
      </c>
      <c r="E60" s="32"/>
      <c r="F60" s="32"/>
      <c r="G60" s="32"/>
      <c r="H60" s="32"/>
      <c r="I60" s="36">
        <f>6961.67+4563.76</f>
        <v>11525.43</v>
      </c>
      <c r="J60" s="36">
        <f>7049.83+4683.51</f>
        <v>11733.34</v>
      </c>
      <c r="K60" s="36">
        <f>6205.35+3536.37</f>
        <v>9741.720000000001</v>
      </c>
      <c r="L60" s="36">
        <f>6242.47+3586.79</f>
        <v>9829.26</v>
      </c>
      <c r="M60" s="36">
        <f>6163.59+3479.64</f>
        <v>9643.23</v>
      </c>
      <c r="N60" s="36">
        <f>6882.79+4456.61</f>
        <v>11339.4</v>
      </c>
      <c r="O60" s="36">
        <f>6912.13+4544.85</f>
        <v>11456.98</v>
      </c>
      <c r="P60" s="36">
        <f>8113.89+6177.33</f>
        <v>14291.220000000001</v>
      </c>
      <c r="Q60" s="36">
        <f>7278.69+5042.79</f>
        <v>12321.48</v>
      </c>
      <c r="R60" s="36">
        <f>7754.40+5612.88</f>
        <v>13367.279999999999</v>
      </c>
      <c r="S60" s="36">
        <f>8105.04+6115.80</f>
        <v>14220.84</v>
      </c>
      <c r="T60" s="36">
        <f>7544.99+5312.53</f>
        <v>12857.52</v>
      </c>
      <c r="U60" s="36">
        <f>7199.22+4816.59</f>
        <v>12015.810000000001</v>
      </c>
      <c r="V60" s="36">
        <f>5649.77+1635.90</f>
        <v>7285.67</v>
      </c>
      <c r="W60" s="36">
        <f>4048.33+740.66</f>
        <v>4788.99</v>
      </c>
      <c r="X60" s="36">
        <f>4871.36+1477.76</f>
        <v>6349.12</v>
      </c>
      <c r="Y60" s="36">
        <f>7542.03+2099.43</f>
        <v>9641.46</v>
      </c>
      <c r="Z60" s="36">
        <f>8609.33+3657.08</f>
        <v>12266.41</v>
      </c>
      <c r="AA60" s="32"/>
      <c r="AB60" s="32"/>
      <c r="AC60" s="32"/>
      <c r="AD60" s="32"/>
      <c r="AE60" s="32"/>
      <c r="AF60" s="32"/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43</v>
      </c>
      <c r="C61" s="31" t="s">
        <v>3</v>
      </c>
      <c r="D61" s="32" t="s">
        <v>1477</v>
      </c>
      <c r="E61" s="32"/>
      <c r="F61" s="32"/>
      <c r="G61" s="32"/>
      <c r="H61" s="32"/>
      <c r="I61" s="32"/>
      <c r="J61" s="32"/>
      <c r="K61" s="32"/>
      <c r="L61" s="32"/>
      <c r="M61" s="32"/>
      <c r="N61" s="33">
        <v>1.3</v>
      </c>
      <c r="O61" s="33">
        <v>6.52</v>
      </c>
      <c r="P61" s="33">
        <v>6.52</v>
      </c>
      <c r="Q61" s="33">
        <v>6.52</v>
      </c>
      <c r="R61" s="32"/>
      <c r="S61" s="33">
        <v>6.52</v>
      </c>
      <c r="T61" s="33">
        <v>6.52</v>
      </c>
      <c r="U61" s="33">
        <v>6.52</v>
      </c>
      <c r="V61" s="33">
        <v>6.52</v>
      </c>
      <c r="W61" s="33">
        <v>6.52</v>
      </c>
      <c r="X61" s="33">
        <v>6.52</v>
      </c>
      <c r="Y61" s="33">
        <v>6.52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4">
        <f>SUM(E61:AI61)</f>
      </c>
      <c r="AK61" s="35"/>
    </row>
    <row r="62" ht="12.75" customHeight="1" spans="2:37" x14ac:dyDescent="0.25">
      <c r="B62" s="30" t="s">
        <v>43</v>
      </c>
      <c r="C62" s="31" t="s">
        <v>3</v>
      </c>
      <c r="D62" s="32" t="s">
        <v>1478</v>
      </c>
      <c r="E62" s="32"/>
      <c r="F62" s="32"/>
      <c r="G62" s="32"/>
      <c r="H62" s="32"/>
      <c r="I62" s="32"/>
      <c r="J62" s="32"/>
      <c r="K62" s="33">
        <v>5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43</v>
      </c>
      <c r="C63" s="31" t="s">
        <v>3</v>
      </c>
      <c r="D63" s="32" t="s">
        <v>1479</v>
      </c>
      <c r="E63" s="32"/>
      <c r="F63" s="32"/>
      <c r="G63" s="32"/>
      <c r="H63" s="32"/>
      <c r="I63" s="32"/>
      <c r="J63" s="32"/>
      <c r="K63" s="33">
        <v>6.9</v>
      </c>
      <c r="L63" s="32"/>
      <c r="M63" s="33">
        <v>6.52</v>
      </c>
      <c r="N63" s="33">
        <v>6.52</v>
      </c>
      <c r="O63" s="33">
        <v>6.52</v>
      </c>
      <c r="P63" s="33">
        <v>6.52</v>
      </c>
      <c r="Q63" s="33">
        <v>6.52</v>
      </c>
      <c r="R63" s="32"/>
      <c r="S63" s="33">
        <v>6.52</v>
      </c>
      <c r="T63" s="33">
        <v>6.52</v>
      </c>
      <c r="U63" s="33">
        <v>6.52</v>
      </c>
      <c r="V63" s="33">
        <v>6.52</v>
      </c>
      <c r="W63" s="33">
        <v>6.52</v>
      </c>
      <c r="X63" s="33">
        <v>6.52</v>
      </c>
      <c r="Y63" s="33">
        <v>6.52</v>
      </c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43</v>
      </c>
      <c r="C64" s="31" t="s">
        <v>3</v>
      </c>
      <c r="D64" s="32" t="s">
        <v>1480</v>
      </c>
      <c r="E64" s="32"/>
      <c r="F64" s="32"/>
      <c r="G64" s="32"/>
      <c r="H64" s="32"/>
      <c r="I64" s="36">
        <f>8.05+4.13</f>
        <v>12.18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43</v>
      </c>
      <c r="C65" s="31" t="s">
        <v>3</v>
      </c>
      <c r="D65" s="32" t="s">
        <v>1481</v>
      </c>
      <c r="E65" s="36">
        <f>0.00+0.00+0.00+0.00</f>
        <v>0</v>
      </c>
      <c r="F65" s="32"/>
      <c r="G65" s="32"/>
      <c r="H65" s="32"/>
      <c r="I65" s="32"/>
      <c r="J65" s="32"/>
      <c r="K65" s="33">
        <v>0</v>
      </c>
      <c r="L65" s="33">
        <v>50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2"/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43</v>
      </c>
      <c r="C66" s="31" t="s">
        <v>3</v>
      </c>
      <c r="D66" s="32" t="s">
        <v>1482</v>
      </c>
      <c r="E66" s="36">
        <f>0.00+0.00+0.00+0.00</f>
        <v>0</v>
      </c>
      <c r="F66" s="32"/>
      <c r="G66" s="32"/>
      <c r="H66" s="32"/>
      <c r="I66" s="32"/>
      <c r="J66" s="32"/>
      <c r="K66" s="33">
        <v>0</v>
      </c>
      <c r="L66" s="32"/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2"/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0" t="s">
        <v>43</v>
      </c>
      <c r="C67" s="31" t="s">
        <v>3</v>
      </c>
      <c r="D67" s="32" t="s">
        <v>1483</v>
      </c>
      <c r="E67" s="32"/>
      <c r="F67" s="32"/>
      <c r="G67" s="32"/>
      <c r="H67" s="32"/>
      <c r="I67" s="33">
        <v>12.83</v>
      </c>
      <c r="J67" s="33">
        <v>12.83</v>
      </c>
      <c r="K67" s="33">
        <v>12.83</v>
      </c>
      <c r="L67" s="33">
        <v>12.83</v>
      </c>
      <c r="M67" s="33">
        <v>12.83</v>
      </c>
      <c r="N67" s="33">
        <v>12.83</v>
      </c>
      <c r="O67" s="33">
        <v>12.83</v>
      </c>
      <c r="P67" s="33">
        <v>12.83</v>
      </c>
      <c r="Q67" s="33">
        <v>12.83</v>
      </c>
      <c r="R67" s="33">
        <v>12.83</v>
      </c>
      <c r="S67" s="33">
        <v>12.83</v>
      </c>
      <c r="T67" s="33">
        <v>12.83</v>
      </c>
      <c r="U67" s="33">
        <v>12.83</v>
      </c>
      <c r="V67" s="33">
        <v>12.83</v>
      </c>
      <c r="W67" s="33">
        <v>12.83</v>
      </c>
      <c r="X67" s="33">
        <v>12.83</v>
      </c>
      <c r="Y67" s="33">
        <v>12.83</v>
      </c>
      <c r="Z67" s="33">
        <v>12.83</v>
      </c>
      <c r="AA67" s="32"/>
      <c r="AB67" s="32"/>
      <c r="AC67" s="32"/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43</v>
      </c>
      <c r="C68" s="31" t="s">
        <v>3</v>
      </c>
      <c r="D68" s="32" t="s">
        <v>1485</v>
      </c>
      <c r="E68" s="32"/>
      <c r="F68" s="32"/>
      <c r="G68" s="32"/>
      <c r="H68" s="32"/>
      <c r="I68" s="33">
        <v>55.92</v>
      </c>
      <c r="J68" s="33">
        <v>55.92</v>
      </c>
      <c r="K68" s="33">
        <v>55.92</v>
      </c>
      <c r="L68" s="33">
        <v>55.92</v>
      </c>
      <c r="M68" s="33">
        <v>55.92</v>
      </c>
      <c r="N68" s="33">
        <v>55.92</v>
      </c>
      <c r="O68" s="33">
        <v>55.92</v>
      </c>
      <c r="P68" s="33">
        <v>55.92</v>
      </c>
      <c r="Q68" s="33">
        <v>55.92</v>
      </c>
      <c r="R68" s="33">
        <v>58.73</v>
      </c>
      <c r="S68" s="33">
        <v>58.73</v>
      </c>
      <c r="T68" s="33">
        <v>58.73</v>
      </c>
      <c r="U68" s="33">
        <v>58.73</v>
      </c>
      <c r="V68" s="33">
        <v>58.73</v>
      </c>
      <c r="W68" s="33">
        <v>58.73</v>
      </c>
      <c r="X68" s="33">
        <v>58.73</v>
      </c>
      <c r="Y68" s="33">
        <v>58.73</v>
      </c>
      <c r="Z68" s="33">
        <v>58.73</v>
      </c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43</v>
      </c>
      <c r="C69" s="31" t="s">
        <v>3</v>
      </c>
      <c r="D69" s="32" t="s">
        <v>1486</v>
      </c>
      <c r="E69" s="32"/>
      <c r="F69" s="32"/>
      <c r="G69" s="32"/>
      <c r="H69" s="32"/>
      <c r="I69" s="33">
        <v>55.92</v>
      </c>
      <c r="J69" s="33">
        <v>55.92</v>
      </c>
      <c r="K69" s="33">
        <v>55.92</v>
      </c>
      <c r="L69" s="33">
        <v>55.92</v>
      </c>
      <c r="M69" s="33">
        <v>55.92</v>
      </c>
      <c r="N69" s="33">
        <v>55.92</v>
      </c>
      <c r="O69" s="33">
        <v>55.92</v>
      </c>
      <c r="P69" s="33">
        <v>55.92</v>
      </c>
      <c r="Q69" s="33">
        <v>55.92</v>
      </c>
      <c r="R69" s="33">
        <v>58.73</v>
      </c>
      <c r="S69" s="33">
        <v>58.73</v>
      </c>
      <c r="T69" s="33">
        <v>58.73</v>
      </c>
      <c r="U69" s="33">
        <v>58.73</v>
      </c>
      <c r="V69" s="33">
        <v>58.73</v>
      </c>
      <c r="W69" s="33">
        <v>58.73</v>
      </c>
      <c r="X69" s="33">
        <v>58.73</v>
      </c>
      <c r="Y69" s="33">
        <v>58.73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4">
        <f>SUM(E69:AI69)</f>
      </c>
      <c r="AK69" s="35"/>
    </row>
    <row r="70" ht="12.75" customHeight="1" spans="2:37" x14ac:dyDescent="0.25">
      <c r="B70" s="30" t="s">
        <v>43</v>
      </c>
      <c r="C70" s="31" t="s">
        <v>3</v>
      </c>
      <c r="D70" s="32" t="s">
        <v>1487</v>
      </c>
      <c r="E70" s="32"/>
      <c r="F70" s="32"/>
      <c r="G70" s="32"/>
      <c r="H70" s="32"/>
      <c r="I70" s="33">
        <v>6.52</v>
      </c>
      <c r="J70" s="33">
        <v>6.52</v>
      </c>
      <c r="K70" s="33">
        <v>6.52</v>
      </c>
      <c r="L70" s="33">
        <v>2.83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4">
        <f>SUM(E70:AI70)</f>
      </c>
      <c r="AK70" s="35"/>
    </row>
    <row r="71" ht="12.75" customHeight="1" spans="2:37" x14ac:dyDescent="0.25">
      <c r="B71" s="30" t="s">
        <v>43</v>
      </c>
      <c r="C71" s="31" t="s">
        <v>3</v>
      </c>
      <c r="D71" s="32" t="s">
        <v>1488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3">
        <v>6.27</v>
      </c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0" t="s">
        <v>43</v>
      </c>
      <c r="C72" s="31" t="s">
        <v>3</v>
      </c>
      <c r="D72" s="32" t="s">
        <v>1489</v>
      </c>
      <c r="E72" s="32"/>
      <c r="F72" s="32"/>
      <c r="G72" s="32"/>
      <c r="H72" s="32"/>
      <c r="I72" s="33">
        <v>6.52</v>
      </c>
      <c r="J72" s="33">
        <v>6.52</v>
      </c>
      <c r="K72" s="33">
        <v>6.52</v>
      </c>
      <c r="L72" s="33">
        <v>6.52</v>
      </c>
      <c r="M72" s="33">
        <v>6.52</v>
      </c>
      <c r="N72" s="33">
        <v>6.52</v>
      </c>
      <c r="O72" s="33">
        <v>6.52</v>
      </c>
      <c r="P72" s="33">
        <v>6.52</v>
      </c>
      <c r="Q72" s="33">
        <v>6.52</v>
      </c>
      <c r="R72" s="33">
        <v>6.52</v>
      </c>
      <c r="S72" s="33">
        <v>6.52</v>
      </c>
      <c r="T72" s="33">
        <v>6.52</v>
      </c>
      <c r="U72" s="33">
        <v>6.52</v>
      </c>
      <c r="V72" s="33">
        <v>6.52</v>
      </c>
      <c r="W72" s="33">
        <v>6.52</v>
      </c>
      <c r="X72" s="33">
        <v>6.52</v>
      </c>
      <c r="Y72" s="33">
        <v>6.52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4">
        <f>SUM(E72:AI72)</f>
      </c>
      <c r="AK72" s="35"/>
    </row>
    <row r="73" ht="12.75" customHeight="1" spans="2:37" x14ac:dyDescent="0.25">
      <c r="B73" s="30" t="s">
        <v>43</v>
      </c>
      <c r="C73" s="31" t="s">
        <v>3</v>
      </c>
      <c r="D73" s="32" t="s">
        <v>1490</v>
      </c>
      <c r="E73" s="32"/>
      <c r="F73" s="32"/>
      <c r="G73" s="32"/>
      <c r="H73" s="32"/>
      <c r="I73" s="33">
        <v>6.52</v>
      </c>
      <c r="J73" s="36">
        <f>6.52+1.74</f>
        <v>8.26</v>
      </c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43</v>
      </c>
      <c r="C74" s="31" t="s">
        <v>3</v>
      </c>
      <c r="D74" s="32" t="s">
        <v>1492</v>
      </c>
      <c r="E74" s="32"/>
      <c r="F74" s="32"/>
      <c r="G74" s="32"/>
      <c r="H74" s="32"/>
      <c r="I74" s="33">
        <v>6.52</v>
      </c>
      <c r="J74" s="33">
        <v>6.52</v>
      </c>
      <c r="K74" s="33">
        <v>6.52</v>
      </c>
      <c r="L74" s="33">
        <v>6.52</v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4">
        <f>SUM(E74:AI74)</f>
      </c>
      <c r="AK74" s="35"/>
    </row>
    <row r="75" ht="12.75" customHeight="1" spans="2:37" x14ac:dyDescent="0.25">
      <c r="B75" s="30" t="s">
        <v>43</v>
      </c>
      <c r="C75" s="31" t="s">
        <v>3</v>
      </c>
      <c r="D75" s="32" t="s">
        <v>1493</v>
      </c>
      <c r="E75" s="32"/>
      <c r="F75" s="32"/>
      <c r="G75" s="32"/>
      <c r="H75" s="32"/>
      <c r="I75" s="32"/>
      <c r="J75" s="32"/>
      <c r="K75" s="32"/>
      <c r="L75" s="32"/>
      <c r="M75" s="33">
        <v>6.52</v>
      </c>
      <c r="N75" s="33">
        <v>6.52</v>
      </c>
      <c r="O75" s="33">
        <v>6.52</v>
      </c>
      <c r="P75" s="33">
        <v>6.52</v>
      </c>
      <c r="Q75" s="32"/>
      <c r="R75" s="33">
        <v>6.52</v>
      </c>
      <c r="S75" s="33">
        <v>6.52</v>
      </c>
      <c r="T75" s="33">
        <v>6.52</v>
      </c>
      <c r="U75" s="33">
        <v>6.52</v>
      </c>
      <c r="V75" s="33">
        <v>6.52</v>
      </c>
      <c r="W75" s="33">
        <v>6.52</v>
      </c>
      <c r="X75" s="33">
        <v>6.52</v>
      </c>
      <c r="Y75" s="33">
        <v>6.52</v>
      </c>
      <c r="Z75" s="33">
        <v>6.52</v>
      </c>
      <c r="AA75" s="32"/>
      <c r="AB75" s="32"/>
      <c r="AC75" s="32"/>
      <c r="AD75" s="32"/>
      <c r="AE75" s="32"/>
      <c r="AF75" s="32"/>
      <c r="AG75" s="32"/>
      <c r="AH75" s="32"/>
      <c r="AI75" s="32"/>
      <c r="AJ75" s="34">
        <f>SUM(E75:AI75)</f>
      </c>
      <c r="AK75" s="35"/>
    </row>
    <row r="76" ht="12.75" customHeight="1" spans="2:37" x14ac:dyDescent="0.25">
      <c r="B76" s="30" t="s">
        <v>43</v>
      </c>
      <c r="C76" s="31" t="s">
        <v>3</v>
      </c>
      <c r="D76" s="32" t="s">
        <v>1494</v>
      </c>
      <c r="E76" s="32"/>
      <c r="F76" s="32"/>
      <c r="G76" s="32"/>
      <c r="H76" s="32"/>
      <c r="I76" s="33">
        <v>6.52</v>
      </c>
      <c r="J76" s="33">
        <v>6.52</v>
      </c>
      <c r="K76" s="33">
        <v>6.52</v>
      </c>
      <c r="L76" s="33">
        <v>6.52</v>
      </c>
      <c r="M76" s="33">
        <v>6.52</v>
      </c>
      <c r="N76" s="33">
        <v>6.52</v>
      </c>
      <c r="O76" s="33">
        <v>6.52</v>
      </c>
      <c r="P76" s="33">
        <v>6.52</v>
      </c>
      <c r="Q76" s="33">
        <v>6.52</v>
      </c>
      <c r="R76" s="33">
        <v>6.52</v>
      </c>
      <c r="S76" s="33">
        <v>6.52</v>
      </c>
      <c r="T76" s="33">
        <v>6.52</v>
      </c>
      <c r="U76" s="33">
        <v>6.52</v>
      </c>
      <c r="V76" s="33">
        <v>6.52</v>
      </c>
      <c r="W76" s="33">
        <v>6.52</v>
      </c>
      <c r="X76" s="33">
        <v>6.52</v>
      </c>
      <c r="Y76" s="33">
        <v>6.52</v>
      </c>
      <c r="Z76" s="33">
        <v>6.52</v>
      </c>
      <c r="AA76" s="32"/>
      <c r="AB76" s="32"/>
      <c r="AC76" s="32"/>
      <c r="AD76" s="32"/>
      <c r="AE76" s="32"/>
      <c r="AF76" s="32"/>
      <c r="AG76" s="32"/>
      <c r="AH76" s="32"/>
      <c r="AI76" s="32"/>
      <c r="AJ76" s="34">
        <f>SUM(E76:AI76)</f>
      </c>
      <c r="AK76" s="35"/>
    </row>
    <row r="77" ht="12.75" customHeight="1" spans="2:37" x14ac:dyDescent="0.25">
      <c r="B77" s="30" t="s">
        <v>43</v>
      </c>
      <c r="C77" s="31" t="s">
        <v>3</v>
      </c>
      <c r="D77" s="32" t="s">
        <v>1495</v>
      </c>
      <c r="E77" s="32"/>
      <c r="F77" s="32"/>
      <c r="G77" s="32"/>
      <c r="H77" s="32"/>
      <c r="I77" s="32"/>
      <c r="J77" s="32"/>
      <c r="K77" s="33">
        <v>5</v>
      </c>
      <c r="L77" s="32"/>
      <c r="M77" s="32"/>
      <c r="N77" s="32"/>
      <c r="O77" s="33">
        <v>5.87</v>
      </c>
      <c r="P77" s="32"/>
      <c r="Q77" s="32"/>
      <c r="R77" s="32"/>
      <c r="S77" s="32"/>
      <c r="T77" s="32"/>
      <c r="U77" s="32"/>
      <c r="V77" s="32"/>
      <c r="W77" s="32"/>
      <c r="X77" s="33">
        <v>6.52</v>
      </c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4">
        <f>SUM(E77:AI77)</f>
      </c>
      <c r="AK77" s="35"/>
    </row>
    <row r="78" ht="12.75" customHeight="1" spans="2:37" x14ac:dyDescent="0.25">
      <c r="B78" s="30" t="s">
        <v>43</v>
      </c>
      <c r="C78" s="31" t="s">
        <v>3</v>
      </c>
      <c r="D78" s="32" t="s">
        <v>1496</v>
      </c>
      <c r="E78" s="32"/>
      <c r="F78" s="32"/>
      <c r="G78" s="32"/>
      <c r="H78" s="32"/>
      <c r="I78" s="33">
        <v>6.52</v>
      </c>
      <c r="J78" s="33">
        <v>6.52</v>
      </c>
      <c r="K78" s="33">
        <v>6.52</v>
      </c>
      <c r="L78" s="33">
        <v>6.52</v>
      </c>
      <c r="M78" s="33">
        <v>6.52</v>
      </c>
      <c r="N78" s="33">
        <v>6.52</v>
      </c>
      <c r="O78" s="33">
        <v>6.52</v>
      </c>
      <c r="P78" s="33">
        <v>6.52</v>
      </c>
      <c r="Q78" s="36">
        <f>6.52+1.09</f>
        <v>7.609999999999999</v>
      </c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43</v>
      </c>
      <c r="C79" s="31" t="s">
        <v>3</v>
      </c>
      <c r="D79" s="32" t="s">
        <v>1497</v>
      </c>
      <c r="E79" s="32"/>
      <c r="F79" s="32"/>
      <c r="G79" s="32"/>
      <c r="H79" s="32"/>
      <c r="I79" s="33">
        <v>6.52</v>
      </c>
      <c r="J79" s="33">
        <v>6.52</v>
      </c>
      <c r="K79" s="33">
        <v>6.52</v>
      </c>
      <c r="L79" s="33">
        <v>6.52</v>
      </c>
      <c r="M79" s="33">
        <v>6.52</v>
      </c>
      <c r="N79" s="33">
        <v>6.52</v>
      </c>
      <c r="O79" s="33">
        <v>6.52</v>
      </c>
      <c r="P79" s="33">
        <v>6.52</v>
      </c>
      <c r="Q79" s="33">
        <v>6.52</v>
      </c>
      <c r="R79" s="33">
        <v>6.52</v>
      </c>
      <c r="S79" s="33">
        <v>6.52</v>
      </c>
      <c r="T79" s="33">
        <v>6.52</v>
      </c>
      <c r="U79" s="33">
        <v>6.52</v>
      </c>
      <c r="V79" s="33">
        <v>6.52</v>
      </c>
      <c r="W79" s="33">
        <v>6.52</v>
      </c>
      <c r="X79" s="33">
        <v>6.52</v>
      </c>
      <c r="Y79" s="33">
        <v>6.52</v>
      </c>
      <c r="Z79" s="33">
        <v>6.52</v>
      </c>
      <c r="AA79" s="32"/>
      <c r="AB79" s="32"/>
      <c r="AC79" s="32"/>
      <c r="AD79" s="32"/>
      <c r="AE79" s="32"/>
      <c r="AF79" s="32"/>
      <c r="AG79" s="32"/>
      <c r="AH79" s="32"/>
      <c r="AI79" s="32"/>
      <c r="AJ79" s="34">
        <f>SUM(E79:AI79)</f>
      </c>
      <c r="AK79" s="35"/>
    </row>
    <row r="80" ht="12.75" customHeight="1" spans="2:37" x14ac:dyDescent="0.25">
      <c r="B80" s="30" t="s">
        <v>43</v>
      </c>
      <c r="C80" s="31" t="s">
        <v>3</v>
      </c>
      <c r="D80" s="32" t="s">
        <v>1498</v>
      </c>
      <c r="E80" s="32"/>
      <c r="F80" s="32"/>
      <c r="G80" s="32"/>
      <c r="H80" s="32"/>
      <c r="I80" s="33">
        <v>6.52</v>
      </c>
      <c r="J80" s="33">
        <v>6.52</v>
      </c>
      <c r="K80" s="33">
        <v>6.52</v>
      </c>
      <c r="L80" s="33">
        <v>6.52</v>
      </c>
      <c r="M80" s="33">
        <v>6.52</v>
      </c>
      <c r="N80" s="33">
        <v>6.52</v>
      </c>
      <c r="O80" s="33">
        <v>6.52</v>
      </c>
      <c r="P80" s="33">
        <v>6.52</v>
      </c>
      <c r="Q80" s="33">
        <v>6.52</v>
      </c>
      <c r="R80" s="36">
        <f>6.52+0.87</f>
        <v>7.39</v>
      </c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4">
        <f>SUM(E80:AI80)</f>
      </c>
      <c r="AK80" s="35"/>
    </row>
    <row r="81" ht="12.75" customHeight="1" spans="2:37" x14ac:dyDescent="0.25">
      <c r="B81" s="30" t="s">
        <v>43</v>
      </c>
      <c r="C81" s="31" t="s">
        <v>3</v>
      </c>
      <c r="D81" s="32" t="s">
        <v>1499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>
        <v>6.52</v>
      </c>
      <c r="R81" s="33">
        <v>6.52</v>
      </c>
      <c r="S81" s="33">
        <v>6.52</v>
      </c>
      <c r="T81" s="33">
        <v>6.52</v>
      </c>
      <c r="U81" s="33">
        <v>6.52</v>
      </c>
      <c r="V81" s="33">
        <v>6.52</v>
      </c>
      <c r="W81" s="33">
        <v>6.52</v>
      </c>
      <c r="X81" s="33">
        <v>6.52</v>
      </c>
      <c r="Y81" s="33">
        <v>6.52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4">
        <f>SUM(E81:AI81)</f>
      </c>
      <c r="AK81" s="35"/>
    </row>
    <row r="82" ht="12.75" customHeight="1" spans="2:37" x14ac:dyDescent="0.25">
      <c r="B82" s="30" t="s">
        <v>43</v>
      </c>
      <c r="C82" s="31" t="s">
        <v>3</v>
      </c>
      <c r="D82" s="32" t="s">
        <v>1500</v>
      </c>
      <c r="E82" s="32"/>
      <c r="F82" s="32"/>
      <c r="G82" s="32"/>
      <c r="H82" s="32"/>
      <c r="I82" s="33">
        <v>6.52</v>
      </c>
      <c r="J82" s="33">
        <v>6.52</v>
      </c>
      <c r="K82" s="33">
        <v>6.52</v>
      </c>
      <c r="L82" s="33">
        <v>6.52</v>
      </c>
      <c r="M82" s="33">
        <v>2.61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4">
        <f>SUM(E82:AI82)</f>
      </c>
      <c r="AK82" s="35"/>
    </row>
    <row r="83" ht="12.75" customHeight="1" spans="2:37" x14ac:dyDescent="0.25">
      <c r="B83" s="30" t="s">
        <v>43</v>
      </c>
      <c r="C83" s="31" t="s">
        <v>3</v>
      </c>
      <c r="D83" s="32" t="s">
        <v>1501</v>
      </c>
      <c r="E83" s="32"/>
      <c r="F83" s="32"/>
      <c r="G83" s="32"/>
      <c r="H83" s="32"/>
      <c r="I83" s="33">
        <v>6.52</v>
      </c>
      <c r="J83" s="33">
        <v>6.52</v>
      </c>
      <c r="K83" s="36">
        <f>6.52+0.65</f>
        <v>7.17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4">
        <f>SUM(E83:AI83)</f>
      </c>
      <c r="AK83" s="35"/>
    </row>
    <row r="84" ht="12.75" customHeight="1" spans="2:37" x14ac:dyDescent="0.25">
      <c r="B84" s="30" t="s">
        <v>43</v>
      </c>
      <c r="C84" s="31" t="s">
        <v>3</v>
      </c>
      <c r="D84" s="32" t="s">
        <v>1502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>
        <v>5.44</v>
      </c>
      <c r="Q84" s="32"/>
      <c r="R84" s="33">
        <v>6.08</v>
      </c>
      <c r="S84" s="33">
        <v>6.52</v>
      </c>
      <c r="T84" s="33">
        <v>6.52</v>
      </c>
      <c r="U84" s="33">
        <v>6.52</v>
      </c>
      <c r="V84" s="33">
        <v>6.52</v>
      </c>
      <c r="W84" s="33">
        <v>6.52</v>
      </c>
      <c r="X84" s="33">
        <v>6.52</v>
      </c>
      <c r="Y84" s="33">
        <v>6.52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4">
        <f>SUM(E84:AI84)</f>
      </c>
      <c r="AK84" s="35"/>
    </row>
    <row r="85" ht="12.75" customHeight="1" spans="2:37" x14ac:dyDescent="0.25">
      <c r="B85" s="30" t="s">
        <v>43</v>
      </c>
      <c r="C85" s="31" t="s">
        <v>3</v>
      </c>
      <c r="D85" s="32" t="s">
        <v>1504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3">
        <v>5.22</v>
      </c>
      <c r="Q85" s="32"/>
      <c r="R85" s="33">
        <v>7.84</v>
      </c>
      <c r="S85" s="33">
        <v>6.52</v>
      </c>
      <c r="T85" s="33">
        <v>6.52</v>
      </c>
      <c r="U85" s="33">
        <v>6.52</v>
      </c>
      <c r="V85" s="33">
        <v>6.52</v>
      </c>
      <c r="W85" s="33">
        <v>6.52</v>
      </c>
      <c r="X85" s="33">
        <v>6.52</v>
      </c>
      <c r="Y85" s="33">
        <v>6.52</v>
      </c>
      <c r="Z85" s="33">
        <v>6.52</v>
      </c>
      <c r="AA85" s="32"/>
      <c r="AB85" s="32"/>
      <c r="AC85" s="32"/>
      <c r="AD85" s="32"/>
      <c r="AE85" s="32"/>
      <c r="AF85" s="32"/>
      <c r="AG85" s="32"/>
      <c r="AH85" s="32"/>
      <c r="AI85" s="32"/>
      <c r="AJ85" s="34">
        <f>SUM(E85:AI85)</f>
      </c>
      <c r="AK85" s="35"/>
    </row>
    <row r="86" ht="12.75" customHeight="1" spans="2:37" x14ac:dyDescent="0.25">
      <c r="B86" s="30" t="s">
        <v>43</v>
      </c>
      <c r="C86" s="31" t="s">
        <v>3</v>
      </c>
      <c r="D86" s="32" t="s">
        <v>1515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3">
        <v>6.52</v>
      </c>
      <c r="R86" s="33">
        <v>6.52</v>
      </c>
      <c r="S86" s="33">
        <v>6.52</v>
      </c>
      <c r="T86" s="33">
        <v>6.52</v>
      </c>
      <c r="U86" s="33">
        <v>6.52</v>
      </c>
      <c r="V86" s="33">
        <v>6.52</v>
      </c>
      <c r="W86" s="33">
        <v>6.52</v>
      </c>
      <c r="X86" s="33">
        <v>6.52</v>
      </c>
      <c r="Y86" s="33">
        <v>6.52</v>
      </c>
      <c r="Z86" s="33">
        <v>6.52</v>
      </c>
      <c r="AA86" s="32"/>
      <c r="AB86" s="32"/>
      <c r="AC86" s="32"/>
      <c r="AD86" s="32"/>
      <c r="AE86" s="32"/>
      <c r="AF86" s="32"/>
      <c r="AG86" s="32"/>
      <c r="AH86" s="32"/>
      <c r="AI86" s="32"/>
      <c r="AJ86" s="34">
        <f>SUM(E86:AI86)</f>
      </c>
      <c r="AK86" s="35"/>
    </row>
    <row r="87" ht="12.75" customHeight="1" spans="2:37" x14ac:dyDescent="0.25">
      <c r="B87" s="30" t="s">
        <v>43</v>
      </c>
      <c r="C87" s="31" t="s">
        <v>3</v>
      </c>
      <c r="D87" s="32" t="s">
        <v>1505</v>
      </c>
      <c r="E87" s="32"/>
      <c r="F87" s="32"/>
      <c r="G87" s="32"/>
      <c r="H87" s="32"/>
      <c r="I87" s="33">
        <v>6.52</v>
      </c>
      <c r="J87" s="33">
        <v>6.52</v>
      </c>
      <c r="K87" s="33">
        <v>6.52</v>
      </c>
      <c r="L87" s="33">
        <v>6.52</v>
      </c>
      <c r="M87" s="33">
        <v>6.52</v>
      </c>
      <c r="N87" s="33">
        <v>6.52</v>
      </c>
      <c r="O87" s="33">
        <v>6.52</v>
      </c>
      <c r="P87" s="33">
        <v>5</v>
      </c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4">
        <f>SUM(E87:AI87)</f>
      </c>
      <c r="AK87" s="35"/>
    </row>
    <row r="88" ht="12.75" customHeight="1" spans="2:37" x14ac:dyDescent="0.25">
      <c r="B88" s="30" t="s">
        <v>43</v>
      </c>
      <c r="C88" s="31" t="s">
        <v>3</v>
      </c>
      <c r="D88" s="32" t="s">
        <v>1506</v>
      </c>
      <c r="E88" s="32"/>
      <c r="F88" s="32"/>
      <c r="G88" s="32"/>
      <c r="H88" s="32"/>
      <c r="I88" s="33">
        <v>7.1</v>
      </c>
      <c r="J88" s="33">
        <v>6.52</v>
      </c>
      <c r="K88" s="33">
        <v>6.52</v>
      </c>
      <c r="L88" s="33">
        <v>6.52</v>
      </c>
      <c r="M88" s="33">
        <v>6.52</v>
      </c>
      <c r="N88" s="33">
        <v>6.52</v>
      </c>
      <c r="O88" s="33">
        <v>6.52</v>
      </c>
      <c r="P88" s="33">
        <v>6.52</v>
      </c>
      <c r="Q88" s="33">
        <v>6.52</v>
      </c>
      <c r="R88" s="33">
        <v>6.52</v>
      </c>
      <c r="S88" s="32"/>
      <c r="T88" s="36">
        <f>6.52+6.52</f>
        <v>13.04</v>
      </c>
      <c r="U88" s="33">
        <v>6.52</v>
      </c>
      <c r="V88" s="33">
        <v>6.52</v>
      </c>
      <c r="W88" s="33">
        <v>6.52</v>
      </c>
      <c r="X88" s="33">
        <v>6.52</v>
      </c>
      <c r="Y88" s="33">
        <v>6.52</v>
      </c>
      <c r="Z88" s="33">
        <v>6.52</v>
      </c>
      <c r="AA88" s="32"/>
      <c r="AB88" s="32"/>
      <c r="AC88" s="32"/>
      <c r="AD88" s="32"/>
      <c r="AE88" s="32"/>
      <c r="AF88" s="32"/>
      <c r="AG88" s="32"/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43</v>
      </c>
      <c r="C89" s="31" t="s">
        <v>3</v>
      </c>
      <c r="D89" s="32" t="s">
        <v>1507</v>
      </c>
      <c r="E89" s="32"/>
      <c r="F89" s="32"/>
      <c r="G89" s="32"/>
      <c r="H89" s="32"/>
      <c r="I89" s="33">
        <v>6.52</v>
      </c>
      <c r="J89" s="33">
        <v>6.52</v>
      </c>
      <c r="K89" s="33">
        <v>6.52</v>
      </c>
      <c r="L89" s="33">
        <v>6.52</v>
      </c>
      <c r="M89" s="33">
        <v>6.52</v>
      </c>
      <c r="N89" s="33">
        <v>6.52</v>
      </c>
      <c r="O89" s="33">
        <v>6.52</v>
      </c>
      <c r="P89" s="33">
        <v>6.52</v>
      </c>
      <c r="Q89" s="33">
        <v>6.52</v>
      </c>
      <c r="R89" s="33">
        <v>6.52</v>
      </c>
      <c r="S89" s="33">
        <v>6.81</v>
      </c>
      <c r="T89" s="33">
        <v>6.52</v>
      </c>
      <c r="U89" s="33">
        <v>6.52</v>
      </c>
      <c r="V89" s="33">
        <v>6.52</v>
      </c>
      <c r="W89" s="33">
        <v>6.52</v>
      </c>
      <c r="X89" s="33">
        <v>6.52</v>
      </c>
      <c r="Y89" s="33">
        <v>6.52</v>
      </c>
      <c r="Z89" s="33">
        <v>6.52</v>
      </c>
      <c r="AA89" s="32"/>
      <c r="AB89" s="32"/>
      <c r="AC89" s="32"/>
      <c r="AD89" s="32"/>
      <c r="AE89" s="32"/>
      <c r="AF89" s="32"/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43</v>
      </c>
      <c r="C90" s="31" t="s">
        <v>3</v>
      </c>
      <c r="D90" s="32" t="s">
        <v>1508</v>
      </c>
      <c r="E90" s="33">
        <v>0</v>
      </c>
      <c r="F90" s="32"/>
      <c r="G90" s="32"/>
      <c r="H90" s="32"/>
      <c r="I90" s="33">
        <v>6.52</v>
      </c>
      <c r="J90" s="33">
        <v>6.52</v>
      </c>
      <c r="K90" s="33">
        <v>6.52</v>
      </c>
      <c r="L90" s="33">
        <v>6.52</v>
      </c>
      <c r="M90" s="33">
        <v>6.52</v>
      </c>
      <c r="N90" s="33">
        <v>5.87</v>
      </c>
      <c r="O90" s="33">
        <v>0</v>
      </c>
      <c r="P90" s="32"/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6">
        <f>0.00+0.00</f>
        <v>0</v>
      </c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4">
        <f>SUM(E90:AI90)</f>
      </c>
      <c r="AK90" s="35"/>
    </row>
    <row r="91" ht="12.75" customHeight="1" spans="2:37" x14ac:dyDescent="0.25">
      <c r="B91" s="30" t="s">
        <v>43</v>
      </c>
      <c r="C91" s="31" t="s">
        <v>3</v>
      </c>
      <c r="D91" s="32" t="s">
        <v>1509</v>
      </c>
      <c r="E91" s="32"/>
      <c r="F91" s="32"/>
      <c r="G91" s="32"/>
      <c r="H91" s="32"/>
      <c r="I91" s="33">
        <v>6.52</v>
      </c>
      <c r="J91" s="33">
        <v>6.52</v>
      </c>
      <c r="K91" s="33">
        <v>6.52</v>
      </c>
      <c r="L91" s="33">
        <v>6.52</v>
      </c>
      <c r="M91" s="33">
        <v>6.52</v>
      </c>
      <c r="N91" s="33">
        <v>6.52</v>
      </c>
      <c r="O91" s="33">
        <v>6.52</v>
      </c>
      <c r="P91" s="32"/>
      <c r="Q91" s="33">
        <v>6.52</v>
      </c>
      <c r="R91" s="33">
        <v>6.52</v>
      </c>
      <c r="S91" s="33">
        <v>6.81</v>
      </c>
      <c r="T91" s="33">
        <v>6.52</v>
      </c>
      <c r="U91" s="33">
        <v>6.52</v>
      </c>
      <c r="V91" s="33">
        <v>6.52</v>
      </c>
      <c r="W91" s="33">
        <v>6.52</v>
      </c>
      <c r="X91" s="33">
        <v>6.52</v>
      </c>
      <c r="Y91" s="33">
        <v>6.52</v>
      </c>
      <c r="Z91" s="33">
        <v>6.52</v>
      </c>
      <c r="AA91" s="32"/>
      <c r="AB91" s="32"/>
      <c r="AC91" s="32"/>
      <c r="AD91" s="32"/>
      <c r="AE91" s="32"/>
      <c r="AF91" s="32"/>
      <c r="AG91" s="32"/>
      <c r="AH91" s="32"/>
      <c r="AI91" s="32"/>
      <c r="AJ91" s="34">
        <f>SUM(E91:AI91)</f>
      </c>
      <c r="AK91" s="35"/>
    </row>
    <row r="92" ht="12.75" customHeight="1" spans="2:37" x14ac:dyDescent="0.25">
      <c r="B92" s="30" t="s">
        <v>43</v>
      </c>
      <c r="C92" s="31" t="s">
        <v>3</v>
      </c>
      <c r="D92" s="32" t="s">
        <v>1510</v>
      </c>
      <c r="E92" s="33">
        <v>0</v>
      </c>
      <c r="F92" s="32"/>
      <c r="G92" s="32"/>
      <c r="H92" s="32"/>
      <c r="I92" s="33">
        <v>6.52</v>
      </c>
      <c r="J92" s="33">
        <v>6.52</v>
      </c>
      <c r="K92" s="33">
        <v>6.52</v>
      </c>
      <c r="L92" s="33">
        <v>6.52</v>
      </c>
      <c r="M92" s="33">
        <v>6.52</v>
      </c>
      <c r="N92" s="33">
        <v>5.87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2"/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4">
        <f>SUM(E92:AI92)</f>
      </c>
      <c r="AK92" s="35"/>
    </row>
    <row r="93" ht="12.75" customHeight="1" spans="2:37" x14ac:dyDescent="0.25">
      <c r="B93" s="30" t="s">
        <v>43</v>
      </c>
      <c r="C93" s="31" t="s">
        <v>3</v>
      </c>
      <c r="D93" s="32" t="s">
        <v>1511</v>
      </c>
      <c r="E93" s="32"/>
      <c r="F93" s="32"/>
      <c r="G93" s="32"/>
      <c r="H93" s="32"/>
      <c r="I93" s="33">
        <v>6.52</v>
      </c>
      <c r="J93" s="33">
        <v>6.52</v>
      </c>
      <c r="K93" s="33">
        <v>6.52</v>
      </c>
      <c r="L93" s="33">
        <v>6.52</v>
      </c>
      <c r="M93" s="33">
        <v>6.52</v>
      </c>
      <c r="N93" s="33">
        <v>5.87</v>
      </c>
      <c r="O93" s="33">
        <v>0</v>
      </c>
      <c r="P93" s="33">
        <v>0</v>
      </c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4">
        <f>SUM(E93:AI93)</f>
      </c>
      <c r="AK93" s="35"/>
    </row>
    <row r="94" ht="12.75" customHeight="1" spans="2:37" x14ac:dyDescent="0.25">
      <c r="B94" s="37"/>
      <c r="C94" s="38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40"/>
    </row>
    <row r="95" ht="12.75" customHeight="1" spans="2:37" x14ac:dyDescent="0.25">
      <c r="B95" s="20" t="s">
        <v>89</v>
      </c>
      <c r="C95" s="21"/>
      <c r="D95" s="21"/>
      <c r="E95" s="22">
        <f>SUM(E58:E93)</f>
      </c>
      <c r="F95" s="22">
        <f>SUM(F58:F93)</f>
      </c>
      <c r="G95" s="22">
        <f>SUM(G58:G93)</f>
      </c>
      <c r="H95" s="22">
        <f>SUM(H58:H93)</f>
      </c>
      <c r="I95" s="22">
        <f>SUM(I58:I93)</f>
      </c>
      <c r="J95" s="22">
        <f>SUM(J58:J93)</f>
      </c>
      <c r="K95" s="22">
        <f>SUM(K58:K93)</f>
      </c>
      <c r="L95" s="22">
        <f>SUM(L58:L93)</f>
      </c>
      <c r="M95" s="22">
        <f>SUM(M58:M93)</f>
      </c>
      <c r="N95" s="22">
        <f>SUM(N58:N93)</f>
      </c>
      <c r="O95" s="22">
        <f>SUM(O58:O93)</f>
      </c>
      <c r="P95" s="22">
        <f>SUM(P58:P93)</f>
      </c>
      <c r="Q95" s="22">
        <f>SUM(Q58:Q93)</f>
      </c>
      <c r="R95" s="22">
        <f>SUM(R58:R93)</f>
      </c>
      <c r="S95" s="22">
        <f>SUM(S58:S93)</f>
      </c>
      <c r="T95" s="22">
        <f>SUM(T58:T93)</f>
      </c>
      <c r="U95" s="22">
        <f>SUM(U58:U93)</f>
      </c>
      <c r="V95" s="22">
        <f>SUM(V58:V93)</f>
      </c>
      <c r="W95" s="22">
        <f>SUM(W58:W93)</f>
      </c>
      <c r="X95" s="22">
        <f>SUM(X58:X93)</f>
      </c>
      <c r="Y95" s="22">
        <f>SUM(Y58:Y93)</f>
      </c>
      <c r="Z95" s="22">
        <f>SUM(Z58:Z93)</f>
      </c>
      <c r="AA95" s="22">
        <f>SUM(AA58:AA93)</f>
      </c>
      <c r="AB95" s="22">
        <f>SUM(AB58:AB93)</f>
      </c>
      <c r="AC95" s="22">
        <f>SUM(AC58:AC93)</f>
      </c>
      <c r="AD95" s="22">
        <f>SUM(AD58:AD93)</f>
      </c>
      <c r="AE95" s="22">
        <f>SUM(AE58:AE93)</f>
      </c>
      <c r="AF95" s="22">
        <f>SUM(AF58:AF93)</f>
      </c>
      <c r="AG95" s="22">
        <f>SUM(AG58:AG93)</f>
      </c>
      <c r="AH95" s="22">
        <f>SUM(AH58:AH93)</f>
      </c>
      <c r="AI95" s="22">
        <f>SUM(AI58:AI93)</f>
      </c>
      <c r="AJ95" s="22">
        <f>SUM(AJ58:AJ93)</f>
      </c>
      <c r="AK95" s="23"/>
    </row>
    <row r="97" ht="12.75" customHeight="1" spans="2:37" x14ac:dyDescent="0.25">
      <c r="B97" s="26" t="s">
        <v>44</v>
      </c>
      <c r="C97" s="2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9"/>
    </row>
    <row r="98" ht="12.75" customHeight="1" spans="2:37" x14ac:dyDescent="0.25">
      <c r="B98" s="30" t="s">
        <v>44</v>
      </c>
      <c r="C98" s="31" t="s">
        <v>3</v>
      </c>
      <c r="D98" s="32" t="s">
        <v>1473</v>
      </c>
      <c r="E98" s="32"/>
      <c r="F98" s="32"/>
      <c r="G98" s="32"/>
      <c r="H98" s="32"/>
      <c r="I98" s="33">
        <v>44.33</v>
      </c>
      <c r="J98" s="33">
        <v>45.19</v>
      </c>
      <c r="K98" s="33">
        <v>44.33</v>
      </c>
      <c r="L98" s="33">
        <v>44.33</v>
      </c>
      <c r="M98" s="33">
        <v>44.33</v>
      </c>
      <c r="N98" s="33">
        <v>44.33</v>
      </c>
      <c r="O98" s="33">
        <v>44.33</v>
      </c>
      <c r="P98" s="33">
        <v>44.33</v>
      </c>
      <c r="Q98" s="33">
        <v>58.48</v>
      </c>
      <c r="R98" s="33">
        <v>44.33</v>
      </c>
      <c r="S98" s="33">
        <v>44.33</v>
      </c>
      <c r="T98" s="33">
        <v>44.33</v>
      </c>
      <c r="U98" s="33">
        <v>44.33</v>
      </c>
      <c r="V98" s="33">
        <v>45.83</v>
      </c>
      <c r="W98" s="33">
        <v>44.33</v>
      </c>
      <c r="X98" s="33">
        <v>44.33</v>
      </c>
      <c r="Y98" s="33">
        <v>44.33</v>
      </c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4">
        <f>SUM(E98:AI98)</f>
      </c>
      <c r="AK98" s="35"/>
    </row>
    <row r="99" ht="12.75" customHeight="1" spans="2:37" x14ac:dyDescent="0.25">
      <c r="B99" s="30" t="s">
        <v>44</v>
      </c>
      <c r="C99" s="31" t="s">
        <v>3</v>
      </c>
      <c r="D99" s="32" t="s">
        <v>1474</v>
      </c>
      <c r="E99" s="32"/>
      <c r="F99" s="32"/>
      <c r="G99" s="32"/>
      <c r="H99" s="32"/>
      <c r="I99" s="33">
        <v>90.95</v>
      </c>
      <c r="J99" s="33">
        <v>90.95</v>
      </c>
      <c r="K99" s="33">
        <v>90.95</v>
      </c>
      <c r="L99" s="33">
        <v>90.95</v>
      </c>
      <c r="M99" s="33">
        <v>90.95</v>
      </c>
      <c r="N99" s="33">
        <v>90.95</v>
      </c>
      <c r="O99" s="33">
        <v>90.95</v>
      </c>
      <c r="P99" s="33">
        <v>90.95</v>
      </c>
      <c r="Q99" s="33">
        <v>90.95</v>
      </c>
      <c r="R99" s="33">
        <v>90.95</v>
      </c>
      <c r="S99" s="33">
        <v>90.95</v>
      </c>
      <c r="T99" s="33">
        <v>90.95</v>
      </c>
      <c r="U99" s="36">
        <f>90.95+0.00</f>
        <v>90.95</v>
      </c>
      <c r="V99" s="33">
        <v>90.95</v>
      </c>
      <c r="W99" s="33">
        <v>91.14</v>
      </c>
      <c r="X99" s="33">
        <v>385.78</v>
      </c>
      <c r="Y99" s="33">
        <v>422.71</v>
      </c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4">
        <f>SUM(E99:AI99)</f>
      </c>
      <c r="AK99" s="35"/>
    </row>
    <row r="100" ht="12.75" customHeight="1" spans="2:37" x14ac:dyDescent="0.25">
      <c r="B100" s="30" t="s">
        <v>44</v>
      </c>
      <c r="C100" s="31" t="s">
        <v>3</v>
      </c>
      <c r="D100" s="32" t="s">
        <v>1477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3">
        <v>3.81</v>
      </c>
      <c r="O100" s="33">
        <v>19.05</v>
      </c>
      <c r="P100" s="33">
        <v>19.05</v>
      </c>
      <c r="Q100" s="33">
        <v>19.05</v>
      </c>
      <c r="R100" s="32"/>
      <c r="S100" s="33">
        <v>19.05</v>
      </c>
      <c r="T100" s="33">
        <v>19.05</v>
      </c>
      <c r="U100" s="33">
        <v>19.05</v>
      </c>
      <c r="V100" s="33">
        <v>19.05</v>
      </c>
      <c r="W100" s="33">
        <v>19.05</v>
      </c>
      <c r="X100" s="33">
        <v>19.05</v>
      </c>
      <c r="Y100" s="33">
        <v>19.05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4">
        <f>SUM(E100:AI100)</f>
      </c>
      <c r="AK100" s="35"/>
    </row>
    <row r="101" ht="12.75" customHeight="1" spans="2:37" x14ac:dyDescent="0.25">
      <c r="B101" s="30" t="s">
        <v>44</v>
      </c>
      <c r="C101" s="31" t="s">
        <v>3</v>
      </c>
      <c r="D101" s="32" t="s">
        <v>1478</v>
      </c>
      <c r="E101" s="32"/>
      <c r="F101" s="32"/>
      <c r="G101" s="32"/>
      <c r="H101" s="32"/>
      <c r="I101" s="32"/>
      <c r="J101" s="32"/>
      <c r="K101" s="33">
        <v>14.6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4">
        <f>SUM(E101:AI101)</f>
      </c>
      <c r="AK101" s="35"/>
    </row>
    <row r="102" ht="12.75" customHeight="1" spans="2:37" x14ac:dyDescent="0.25">
      <c r="B102" s="30" t="s">
        <v>44</v>
      </c>
      <c r="C102" s="31" t="s">
        <v>3</v>
      </c>
      <c r="D102" s="32" t="s">
        <v>1479</v>
      </c>
      <c r="E102" s="32"/>
      <c r="F102" s="32"/>
      <c r="G102" s="32"/>
      <c r="H102" s="32"/>
      <c r="I102" s="32"/>
      <c r="J102" s="32"/>
      <c r="K102" s="33">
        <v>20.15</v>
      </c>
      <c r="L102" s="32"/>
      <c r="M102" s="33">
        <v>19.05</v>
      </c>
      <c r="N102" s="33">
        <v>19.05</v>
      </c>
      <c r="O102" s="33">
        <v>19.05</v>
      </c>
      <c r="P102" s="33">
        <v>19.05</v>
      </c>
      <c r="Q102" s="33">
        <v>19.05</v>
      </c>
      <c r="R102" s="32"/>
      <c r="S102" s="33">
        <v>19.05</v>
      </c>
      <c r="T102" s="33">
        <v>19.05</v>
      </c>
      <c r="U102" s="33">
        <v>19.05</v>
      </c>
      <c r="V102" s="33">
        <v>19.05</v>
      </c>
      <c r="W102" s="33">
        <v>19.05</v>
      </c>
      <c r="X102" s="33">
        <v>19.05</v>
      </c>
      <c r="Y102" s="33">
        <v>19.05</v>
      </c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4">
        <f>SUM(E102:AI102)</f>
      </c>
      <c r="AK102" s="35"/>
    </row>
    <row r="103" ht="12.75" customHeight="1" spans="2:37" x14ac:dyDescent="0.25">
      <c r="B103" s="30" t="s">
        <v>44</v>
      </c>
      <c r="C103" s="31" t="s">
        <v>3</v>
      </c>
      <c r="D103" s="32" t="s">
        <v>1480</v>
      </c>
      <c r="E103" s="32"/>
      <c r="F103" s="32"/>
      <c r="G103" s="32"/>
      <c r="H103" s="32"/>
      <c r="I103" s="36">
        <f>23.53+12.07</f>
        <v>35.6</v>
      </c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4">
        <f>SUM(E103:AI103)</f>
      </c>
      <c r="AK103" s="35"/>
    </row>
    <row r="104" ht="12.75" customHeight="1" spans="2:37" x14ac:dyDescent="0.25">
      <c r="B104" s="30" t="s">
        <v>44</v>
      </c>
      <c r="C104" s="31" t="s">
        <v>3</v>
      </c>
      <c r="D104" s="32" t="s">
        <v>1482</v>
      </c>
      <c r="E104" s="36">
        <f>0.00+0.00+0.00</f>
        <v>0</v>
      </c>
      <c r="F104" s="32"/>
      <c r="G104" s="32"/>
      <c r="H104" s="32"/>
      <c r="I104" s="32"/>
      <c r="J104" s="32"/>
      <c r="K104" s="33">
        <v>0</v>
      </c>
      <c r="L104" s="32"/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4">
        <f>SUM(E104:AI104)</f>
      </c>
      <c r="AK104" s="35"/>
    </row>
    <row r="105" ht="12.75" customHeight="1" spans="2:37" x14ac:dyDescent="0.25">
      <c r="B105" s="30" t="s">
        <v>44</v>
      </c>
      <c r="C105" s="31" t="s">
        <v>3</v>
      </c>
      <c r="D105" s="32" t="s">
        <v>1483</v>
      </c>
      <c r="E105" s="32"/>
      <c r="F105" s="32"/>
      <c r="G105" s="32"/>
      <c r="H105" s="32"/>
      <c r="I105" s="33">
        <v>17.05</v>
      </c>
      <c r="J105" s="33">
        <v>17.05</v>
      </c>
      <c r="K105" s="33">
        <v>17.05</v>
      </c>
      <c r="L105" s="33">
        <v>17.05</v>
      </c>
      <c r="M105" s="33">
        <v>17.05</v>
      </c>
      <c r="N105" s="33">
        <v>17.05</v>
      </c>
      <c r="O105" s="33">
        <v>17.05</v>
      </c>
      <c r="P105" s="33">
        <v>17.05</v>
      </c>
      <c r="Q105" s="33">
        <v>17.05</v>
      </c>
      <c r="R105" s="33">
        <v>17.05</v>
      </c>
      <c r="S105" s="33">
        <v>17.05</v>
      </c>
      <c r="T105" s="33">
        <v>17.05</v>
      </c>
      <c r="U105" s="33">
        <v>17.05</v>
      </c>
      <c r="V105" s="33">
        <v>17.05</v>
      </c>
      <c r="W105" s="33">
        <v>17.05</v>
      </c>
      <c r="X105" s="33">
        <v>17.05</v>
      </c>
      <c r="Y105" s="33">
        <v>17.05</v>
      </c>
      <c r="Z105" s="33">
        <v>17.05</v>
      </c>
      <c r="AA105" s="32"/>
      <c r="AB105" s="32"/>
      <c r="AC105" s="32"/>
      <c r="AD105" s="32"/>
      <c r="AE105" s="32"/>
      <c r="AF105" s="32"/>
      <c r="AG105" s="32"/>
      <c r="AH105" s="32"/>
      <c r="AI105" s="32"/>
      <c r="AJ105" s="34">
        <f>SUM(E105:AI105)</f>
      </c>
      <c r="AK105" s="35"/>
    </row>
    <row r="106" ht="12.75" customHeight="1" spans="2:37" x14ac:dyDescent="0.25">
      <c r="B106" s="30" t="s">
        <v>44</v>
      </c>
      <c r="C106" s="31" t="s">
        <v>3</v>
      </c>
      <c r="D106" s="32" t="s">
        <v>1487</v>
      </c>
      <c r="E106" s="32"/>
      <c r="F106" s="32"/>
      <c r="G106" s="32"/>
      <c r="H106" s="32"/>
      <c r="I106" s="33">
        <v>17.95</v>
      </c>
      <c r="J106" s="33">
        <v>17.95</v>
      </c>
      <c r="K106" s="33">
        <v>17.95</v>
      </c>
      <c r="L106" s="33">
        <v>7.78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4">
        <f>SUM(E106:AI106)</f>
      </c>
      <c r="AK106" s="35"/>
    </row>
    <row r="107" ht="12.75" customHeight="1" spans="2:37" x14ac:dyDescent="0.25">
      <c r="B107" s="30" t="s">
        <v>44</v>
      </c>
      <c r="C107" s="31" t="s">
        <v>3</v>
      </c>
      <c r="D107" s="32" t="s">
        <v>1488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3">
        <v>18.32</v>
      </c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4">
        <f>SUM(E107:AI107)</f>
      </c>
      <c r="AK107" s="35"/>
    </row>
    <row r="108" ht="12.75" customHeight="1" spans="2:37" x14ac:dyDescent="0.25">
      <c r="B108" s="30" t="s">
        <v>44</v>
      </c>
      <c r="C108" s="31" t="s">
        <v>3</v>
      </c>
      <c r="D108" s="32" t="s">
        <v>1489</v>
      </c>
      <c r="E108" s="32"/>
      <c r="F108" s="32"/>
      <c r="G108" s="32"/>
      <c r="H108" s="32"/>
      <c r="I108" s="33">
        <v>16.85</v>
      </c>
      <c r="J108" s="33">
        <v>16.85</v>
      </c>
      <c r="K108" s="33">
        <v>16.85</v>
      </c>
      <c r="L108" s="33">
        <v>16.85</v>
      </c>
      <c r="M108" s="33">
        <v>16.85</v>
      </c>
      <c r="N108" s="33">
        <v>16.85</v>
      </c>
      <c r="O108" s="33">
        <v>16.85</v>
      </c>
      <c r="P108" s="33">
        <v>16.85</v>
      </c>
      <c r="Q108" s="33">
        <v>16.85</v>
      </c>
      <c r="R108" s="33">
        <v>16.85</v>
      </c>
      <c r="S108" s="33">
        <v>16.85</v>
      </c>
      <c r="T108" s="33">
        <v>16.85</v>
      </c>
      <c r="U108" s="33">
        <v>16.85</v>
      </c>
      <c r="V108" s="33">
        <v>16.85</v>
      </c>
      <c r="W108" s="33">
        <v>16.85</v>
      </c>
      <c r="X108" s="33">
        <v>16.85</v>
      </c>
      <c r="Y108" s="33">
        <v>16.85</v>
      </c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4">
        <f>SUM(E108:AI108)</f>
      </c>
      <c r="AK108" s="35"/>
    </row>
    <row r="109" ht="12.75" customHeight="1" spans="2:37" x14ac:dyDescent="0.25">
      <c r="B109" s="30" t="s">
        <v>44</v>
      </c>
      <c r="C109" s="31" t="s">
        <v>3</v>
      </c>
      <c r="D109" s="32" t="s">
        <v>1490</v>
      </c>
      <c r="E109" s="32"/>
      <c r="F109" s="32"/>
      <c r="G109" s="32"/>
      <c r="H109" s="32"/>
      <c r="I109" s="33">
        <v>19.05</v>
      </c>
      <c r="J109" s="36">
        <f>19.05+5.08</f>
        <v>24.130000000000003</v>
      </c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4">
        <f>SUM(E109:AI109)</f>
      </c>
      <c r="AK109" s="35"/>
    </row>
    <row r="110" ht="12.75" customHeight="1" spans="2:37" x14ac:dyDescent="0.25">
      <c r="B110" s="30" t="s">
        <v>44</v>
      </c>
      <c r="C110" s="31" t="s">
        <v>3</v>
      </c>
      <c r="D110" s="32" t="s">
        <v>1492</v>
      </c>
      <c r="E110" s="32"/>
      <c r="F110" s="32"/>
      <c r="G110" s="32"/>
      <c r="H110" s="32"/>
      <c r="I110" s="33">
        <v>19.05</v>
      </c>
      <c r="J110" s="33">
        <v>19.05</v>
      </c>
      <c r="K110" s="33">
        <v>19.05</v>
      </c>
      <c r="L110" s="33">
        <v>19.05</v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4">
        <f>SUM(E110:AI110)</f>
      </c>
      <c r="AK110" s="35"/>
    </row>
    <row r="111" ht="12.75" customHeight="1" spans="2:37" x14ac:dyDescent="0.25">
      <c r="B111" s="30" t="s">
        <v>44</v>
      </c>
      <c r="C111" s="31" t="s">
        <v>3</v>
      </c>
      <c r="D111" s="32" t="s">
        <v>1493</v>
      </c>
      <c r="E111" s="32"/>
      <c r="F111" s="32"/>
      <c r="G111" s="32"/>
      <c r="H111" s="32"/>
      <c r="I111" s="32"/>
      <c r="J111" s="32"/>
      <c r="K111" s="32"/>
      <c r="L111" s="32"/>
      <c r="M111" s="33">
        <v>19.05</v>
      </c>
      <c r="N111" s="33">
        <v>19.05</v>
      </c>
      <c r="O111" s="33">
        <v>19.05</v>
      </c>
      <c r="P111" s="33">
        <v>19.05</v>
      </c>
      <c r="Q111" s="32"/>
      <c r="R111" s="33">
        <v>19.05</v>
      </c>
      <c r="S111" s="33">
        <v>19.05</v>
      </c>
      <c r="T111" s="33">
        <v>19.05</v>
      </c>
      <c r="U111" s="33">
        <v>19.05</v>
      </c>
      <c r="V111" s="33">
        <v>19.05</v>
      </c>
      <c r="W111" s="33">
        <v>19.05</v>
      </c>
      <c r="X111" s="33">
        <v>19.05</v>
      </c>
      <c r="Y111" s="33">
        <v>19.05</v>
      </c>
      <c r="Z111" s="33">
        <v>19.05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4">
        <f>SUM(E111:AI111)</f>
      </c>
      <c r="AK111" s="35"/>
    </row>
    <row r="112" ht="12.75" customHeight="1" spans="2:37" x14ac:dyDescent="0.25">
      <c r="B112" s="30" t="s">
        <v>44</v>
      </c>
      <c r="C112" s="31" t="s">
        <v>3</v>
      </c>
      <c r="D112" s="32" t="s">
        <v>1494</v>
      </c>
      <c r="E112" s="32"/>
      <c r="F112" s="32"/>
      <c r="G112" s="32"/>
      <c r="H112" s="32"/>
      <c r="I112" s="33">
        <v>19.05</v>
      </c>
      <c r="J112" s="33">
        <v>19.05</v>
      </c>
      <c r="K112" s="33">
        <v>19.05</v>
      </c>
      <c r="L112" s="33">
        <v>19.05</v>
      </c>
      <c r="M112" s="33">
        <v>19.05</v>
      </c>
      <c r="N112" s="33">
        <v>19.05</v>
      </c>
      <c r="O112" s="33">
        <v>19.05</v>
      </c>
      <c r="P112" s="33">
        <v>19.05</v>
      </c>
      <c r="Q112" s="33">
        <v>19.05</v>
      </c>
      <c r="R112" s="33">
        <v>19.05</v>
      </c>
      <c r="S112" s="33">
        <v>19.05</v>
      </c>
      <c r="T112" s="33">
        <v>19.05</v>
      </c>
      <c r="U112" s="33">
        <v>19.05</v>
      </c>
      <c r="V112" s="33">
        <v>19.05</v>
      </c>
      <c r="W112" s="33">
        <v>19.05</v>
      </c>
      <c r="X112" s="33">
        <v>19.05</v>
      </c>
      <c r="Y112" s="33">
        <v>19.05</v>
      </c>
      <c r="Z112" s="33">
        <v>19.05</v>
      </c>
      <c r="AA112" s="32"/>
      <c r="AB112" s="32"/>
      <c r="AC112" s="32"/>
      <c r="AD112" s="32"/>
      <c r="AE112" s="32"/>
      <c r="AF112" s="32"/>
      <c r="AG112" s="32"/>
      <c r="AH112" s="32"/>
      <c r="AI112" s="32"/>
      <c r="AJ112" s="34">
        <f>SUM(E112:AI112)</f>
      </c>
      <c r="AK112" s="35"/>
    </row>
    <row r="113" ht="12.75" customHeight="1" spans="2:37" x14ac:dyDescent="0.25">
      <c r="B113" s="30" t="s">
        <v>44</v>
      </c>
      <c r="C113" s="31" t="s">
        <v>3</v>
      </c>
      <c r="D113" s="32" t="s">
        <v>1495</v>
      </c>
      <c r="E113" s="32"/>
      <c r="F113" s="32"/>
      <c r="G113" s="32"/>
      <c r="H113" s="32"/>
      <c r="I113" s="32"/>
      <c r="J113" s="32"/>
      <c r="K113" s="33">
        <v>14.6</v>
      </c>
      <c r="L113" s="32"/>
      <c r="M113" s="32"/>
      <c r="N113" s="32"/>
      <c r="O113" s="33">
        <v>17.15</v>
      </c>
      <c r="P113" s="32"/>
      <c r="Q113" s="32"/>
      <c r="R113" s="32"/>
      <c r="S113" s="32"/>
      <c r="T113" s="32"/>
      <c r="U113" s="32"/>
      <c r="V113" s="32"/>
      <c r="W113" s="32"/>
      <c r="X113" s="33">
        <v>19.05</v>
      </c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4">
        <f>SUM(E113:AI113)</f>
      </c>
      <c r="AK113" s="35"/>
    </row>
    <row r="114" ht="12.75" customHeight="1" spans="2:37" x14ac:dyDescent="0.25">
      <c r="B114" s="30" t="s">
        <v>44</v>
      </c>
      <c r="C114" s="31" t="s">
        <v>3</v>
      </c>
      <c r="D114" s="32" t="s">
        <v>1496</v>
      </c>
      <c r="E114" s="32"/>
      <c r="F114" s="32"/>
      <c r="G114" s="32"/>
      <c r="H114" s="32"/>
      <c r="I114" s="33">
        <v>17.95</v>
      </c>
      <c r="J114" s="33">
        <v>17.95</v>
      </c>
      <c r="K114" s="33">
        <v>17.95</v>
      </c>
      <c r="L114" s="33">
        <v>17.95</v>
      </c>
      <c r="M114" s="33">
        <v>17.95</v>
      </c>
      <c r="N114" s="33">
        <v>17.95</v>
      </c>
      <c r="O114" s="33">
        <v>17.95</v>
      </c>
      <c r="P114" s="33">
        <v>17.95</v>
      </c>
      <c r="Q114" s="36">
        <f>17.95+2.99</f>
        <v>20.939999999999998</v>
      </c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4">
        <f>SUM(E114:AI114)</f>
      </c>
      <c r="AK114" s="35"/>
    </row>
    <row r="115" ht="12.75" customHeight="1" spans="2:37" x14ac:dyDescent="0.25">
      <c r="B115" s="30" t="s">
        <v>44</v>
      </c>
      <c r="C115" s="31" t="s">
        <v>3</v>
      </c>
      <c r="D115" s="32" t="s">
        <v>1497</v>
      </c>
      <c r="E115" s="32"/>
      <c r="F115" s="32"/>
      <c r="G115" s="32"/>
      <c r="H115" s="32"/>
      <c r="I115" s="33">
        <v>19.05</v>
      </c>
      <c r="J115" s="33">
        <v>19.05</v>
      </c>
      <c r="K115" s="33">
        <v>19.05</v>
      </c>
      <c r="L115" s="33">
        <v>19.05</v>
      </c>
      <c r="M115" s="33">
        <v>19.05</v>
      </c>
      <c r="N115" s="33">
        <v>19.05</v>
      </c>
      <c r="O115" s="33">
        <v>19.05</v>
      </c>
      <c r="P115" s="33">
        <v>19.05</v>
      </c>
      <c r="Q115" s="33">
        <v>19.05</v>
      </c>
      <c r="R115" s="33">
        <v>19.05</v>
      </c>
      <c r="S115" s="33">
        <v>19.05</v>
      </c>
      <c r="T115" s="33">
        <v>19.05</v>
      </c>
      <c r="U115" s="33">
        <v>19.05</v>
      </c>
      <c r="V115" s="33">
        <v>19.05</v>
      </c>
      <c r="W115" s="33">
        <v>19.05</v>
      </c>
      <c r="X115" s="33">
        <v>19.05</v>
      </c>
      <c r="Y115" s="33">
        <v>19.05</v>
      </c>
      <c r="Z115" s="33">
        <v>19.05</v>
      </c>
      <c r="AA115" s="32"/>
      <c r="AB115" s="32"/>
      <c r="AC115" s="32"/>
      <c r="AD115" s="32"/>
      <c r="AE115" s="32"/>
      <c r="AF115" s="32"/>
      <c r="AG115" s="32"/>
      <c r="AH115" s="32"/>
      <c r="AI115" s="32"/>
      <c r="AJ115" s="34">
        <f>SUM(E115:AI115)</f>
      </c>
      <c r="AK115" s="35"/>
    </row>
    <row r="116" ht="12.75" customHeight="1" spans="2:37" x14ac:dyDescent="0.25">
      <c r="B116" s="30" t="s">
        <v>44</v>
      </c>
      <c r="C116" s="31" t="s">
        <v>3</v>
      </c>
      <c r="D116" s="32" t="s">
        <v>1498</v>
      </c>
      <c r="E116" s="32"/>
      <c r="F116" s="32"/>
      <c r="G116" s="32"/>
      <c r="H116" s="32"/>
      <c r="I116" s="33">
        <v>16.85</v>
      </c>
      <c r="J116" s="33">
        <v>16.85</v>
      </c>
      <c r="K116" s="33">
        <v>16.85</v>
      </c>
      <c r="L116" s="33">
        <v>16.85</v>
      </c>
      <c r="M116" s="33">
        <v>18.85</v>
      </c>
      <c r="N116" s="33">
        <v>16.85</v>
      </c>
      <c r="O116" s="33">
        <v>16.85</v>
      </c>
      <c r="P116" s="33">
        <v>16.85</v>
      </c>
      <c r="Q116" s="33">
        <v>16.85</v>
      </c>
      <c r="R116" s="36">
        <f>16.85+2.25</f>
        <v>19.1</v>
      </c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4">
        <f>SUM(E116:AI116)</f>
      </c>
      <c r="AK116" s="35"/>
    </row>
    <row r="117" ht="12.75" customHeight="1" spans="2:37" x14ac:dyDescent="0.25">
      <c r="B117" s="30" t="s">
        <v>44</v>
      </c>
      <c r="C117" s="31" t="s">
        <v>3</v>
      </c>
      <c r="D117" s="32" t="s">
        <v>1499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3">
        <v>19.05</v>
      </c>
      <c r="R117" s="33">
        <v>19.05</v>
      </c>
      <c r="S117" s="33">
        <v>19.05</v>
      </c>
      <c r="T117" s="33">
        <v>19.05</v>
      </c>
      <c r="U117" s="33">
        <v>19.05</v>
      </c>
      <c r="V117" s="33">
        <v>19.05</v>
      </c>
      <c r="W117" s="33">
        <v>19.05</v>
      </c>
      <c r="X117" s="33">
        <v>19.05</v>
      </c>
      <c r="Y117" s="33">
        <v>19.05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4">
        <f>SUM(E117:AI117)</f>
      </c>
      <c r="AK117" s="35"/>
    </row>
    <row r="118" ht="12.75" customHeight="1" spans="2:37" x14ac:dyDescent="0.25">
      <c r="B118" s="30" t="s">
        <v>44</v>
      </c>
      <c r="C118" s="31" t="s">
        <v>3</v>
      </c>
      <c r="D118" s="32" t="s">
        <v>1500</v>
      </c>
      <c r="E118" s="32"/>
      <c r="F118" s="32"/>
      <c r="G118" s="32"/>
      <c r="H118" s="32"/>
      <c r="I118" s="33">
        <v>19.05</v>
      </c>
      <c r="J118" s="33">
        <v>19.05</v>
      </c>
      <c r="K118" s="33">
        <v>19.05</v>
      </c>
      <c r="L118" s="33">
        <v>19.05</v>
      </c>
      <c r="M118" s="33">
        <v>7.62</v>
      </c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4">
        <f>SUM(E118:AI118)</f>
      </c>
      <c r="AK118" s="35"/>
    </row>
    <row r="119" ht="12.75" customHeight="1" spans="2:37" x14ac:dyDescent="0.25">
      <c r="B119" s="30" t="s">
        <v>44</v>
      </c>
      <c r="C119" s="31" t="s">
        <v>3</v>
      </c>
      <c r="D119" s="32" t="s">
        <v>1501</v>
      </c>
      <c r="E119" s="32"/>
      <c r="F119" s="32"/>
      <c r="G119" s="32"/>
      <c r="H119" s="32"/>
      <c r="I119" s="33">
        <v>17.95</v>
      </c>
      <c r="J119" s="33">
        <v>17.95</v>
      </c>
      <c r="K119" s="36">
        <f>17.95+1.80</f>
        <v>19.75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4">
        <f>SUM(E119:AI119)</f>
      </c>
      <c r="AK119" s="35"/>
    </row>
    <row r="120" ht="12.75" customHeight="1" spans="2:37" x14ac:dyDescent="0.25">
      <c r="B120" s="30" t="s">
        <v>44</v>
      </c>
      <c r="C120" s="31" t="s">
        <v>3</v>
      </c>
      <c r="D120" s="32" t="s">
        <v>1502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3">
        <v>15.88</v>
      </c>
      <c r="Q120" s="32"/>
      <c r="R120" s="33">
        <v>17.74</v>
      </c>
      <c r="S120" s="33">
        <v>19.05</v>
      </c>
      <c r="T120" s="33">
        <v>19.05</v>
      </c>
      <c r="U120" s="33">
        <v>19.05</v>
      </c>
      <c r="V120" s="33">
        <v>19.05</v>
      </c>
      <c r="W120" s="33">
        <v>19.05</v>
      </c>
      <c r="X120" s="33">
        <v>19.05</v>
      </c>
      <c r="Y120" s="33">
        <v>19.05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4">
        <f>SUM(E120:AI120)</f>
      </c>
      <c r="AK120" s="35"/>
    </row>
    <row r="121" ht="12.75" customHeight="1" spans="2:37" x14ac:dyDescent="0.25">
      <c r="B121" s="30" t="s">
        <v>44</v>
      </c>
      <c r="C121" s="31" t="s">
        <v>3</v>
      </c>
      <c r="D121" s="32" t="s">
        <v>1504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3">
        <v>15.24</v>
      </c>
      <c r="Q121" s="32"/>
      <c r="R121" s="33">
        <v>22.89</v>
      </c>
      <c r="S121" s="33">
        <v>19.05</v>
      </c>
      <c r="T121" s="33">
        <v>19.05</v>
      </c>
      <c r="U121" s="33">
        <v>19.05</v>
      </c>
      <c r="V121" s="33">
        <v>19.05</v>
      </c>
      <c r="W121" s="33">
        <v>19.05</v>
      </c>
      <c r="X121" s="33">
        <v>19.05</v>
      </c>
      <c r="Y121" s="33">
        <v>19.05</v>
      </c>
      <c r="Z121" s="33">
        <v>19.05</v>
      </c>
      <c r="AA121" s="32"/>
      <c r="AB121" s="32"/>
      <c r="AC121" s="32"/>
      <c r="AD121" s="32"/>
      <c r="AE121" s="32"/>
      <c r="AF121" s="32"/>
      <c r="AG121" s="32"/>
      <c r="AH121" s="32"/>
      <c r="AI121" s="32"/>
      <c r="AJ121" s="34">
        <f>SUM(E121:AI121)</f>
      </c>
      <c r="AK121" s="35"/>
    </row>
    <row r="122" ht="12.75" customHeight="1" spans="2:37" x14ac:dyDescent="0.25">
      <c r="B122" s="30" t="s">
        <v>44</v>
      </c>
      <c r="C122" s="31" t="s">
        <v>3</v>
      </c>
      <c r="D122" s="32" t="s">
        <v>1515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3">
        <v>16.85</v>
      </c>
      <c r="R122" s="33">
        <v>16.85</v>
      </c>
      <c r="S122" s="33">
        <v>16.85</v>
      </c>
      <c r="T122" s="33">
        <v>16.85</v>
      </c>
      <c r="U122" s="33">
        <v>16.85</v>
      </c>
      <c r="V122" s="33">
        <v>16.85</v>
      </c>
      <c r="W122" s="33">
        <v>16.85</v>
      </c>
      <c r="X122" s="33">
        <v>16.85</v>
      </c>
      <c r="Y122" s="33">
        <v>16.85</v>
      </c>
      <c r="Z122" s="33">
        <v>16.85</v>
      </c>
      <c r="AA122" s="32"/>
      <c r="AB122" s="32"/>
      <c r="AC122" s="32"/>
      <c r="AD122" s="32"/>
      <c r="AE122" s="32"/>
      <c r="AF122" s="32"/>
      <c r="AG122" s="32"/>
      <c r="AH122" s="32"/>
      <c r="AI122" s="32"/>
      <c r="AJ122" s="34">
        <f>SUM(E122:AI122)</f>
      </c>
      <c r="AK122" s="35"/>
    </row>
    <row r="123" ht="12.75" customHeight="1" spans="2:37" x14ac:dyDescent="0.25">
      <c r="B123" s="30" t="s">
        <v>44</v>
      </c>
      <c r="C123" s="31" t="s">
        <v>3</v>
      </c>
      <c r="D123" s="32" t="s">
        <v>1505</v>
      </c>
      <c r="E123" s="32"/>
      <c r="F123" s="32"/>
      <c r="G123" s="32"/>
      <c r="H123" s="32"/>
      <c r="I123" s="33">
        <v>17.95</v>
      </c>
      <c r="J123" s="33">
        <v>17.95</v>
      </c>
      <c r="K123" s="33">
        <v>17.95</v>
      </c>
      <c r="L123" s="33">
        <v>17.95</v>
      </c>
      <c r="M123" s="33">
        <v>17.95</v>
      </c>
      <c r="N123" s="33">
        <v>17.95</v>
      </c>
      <c r="O123" s="33">
        <v>17.95</v>
      </c>
      <c r="P123" s="33">
        <v>13.76</v>
      </c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4">
        <f>SUM(E123:AI123)</f>
      </c>
      <c r="AK123" s="35"/>
    </row>
    <row r="124" ht="12.75" customHeight="1" spans="2:37" x14ac:dyDescent="0.25">
      <c r="B124" s="30" t="s">
        <v>44</v>
      </c>
      <c r="C124" s="31" t="s">
        <v>3</v>
      </c>
      <c r="D124" s="32" t="s">
        <v>1506</v>
      </c>
      <c r="E124" s="32"/>
      <c r="F124" s="32"/>
      <c r="G124" s="32"/>
      <c r="H124" s="32"/>
      <c r="I124" s="33">
        <v>17.37</v>
      </c>
      <c r="J124" s="33">
        <v>17.95</v>
      </c>
      <c r="K124" s="33">
        <v>17.95</v>
      </c>
      <c r="L124" s="33">
        <v>17.95</v>
      </c>
      <c r="M124" s="33">
        <v>17.95</v>
      </c>
      <c r="N124" s="33">
        <v>17.95</v>
      </c>
      <c r="O124" s="33">
        <v>17.95</v>
      </c>
      <c r="P124" s="33">
        <v>17.95</v>
      </c>
      <c r="Q124" s="33">
        <v>17.95</v>
      </c>
      <c r="R124" s="33">
        <v>17.95</v>
      </c>
      <c r="S124" s="33">
        <v>17.95</v>
      </c>
      <c r="T124" s="33">
        <v>17.95</v>
      </c>
      <c r="U124" s="33">
        <v>17.95</v>
      </c>
      <c r="V124" s="33">
        <v>17.95</v>
      </c>
      <c r="W124" s="33">
        <v>17.95</v>
      </c>
      <c r="X124" s="33">
        <v>17.95</v>
      </c>
      <c r="Y124" s="33">
        <v>17.95</v>
      </c>
      <c r="Z124" s="33">
        <v>17.95</v>
      </c>
      <c r="AA124" s="32"/>
      <c r="AB124" s="32"/>
      <c r="AC124" s="32"/>
      <c r="AD124" s="32"/>
      <c r="AE124" s="32"/>
      <c r="AF124" s="32"/>
      <c r="AG124" s="32"/>
      <c r="AH124" s="32"/>
      <c r="AI124" s="32"/>
      <c r="AJ124" s="34">
        <f>SUM(E124:AI124)</f>
      </c>
      <c r="AK124" s="35"/>
    </row>
    <row r="125" ht="12.75" customHeight="1" spans="2:37" x14ac:dyDescent="0.25">
      <c r="B125" s="30" t="s">
        <v>44</v>
      </c>
      <c r="C125" s="31" t="s">
        <v>3</v>
      </c>
      <c r="D125" s="32" t="s">
        <v>1507</v>
      </c>
      <c r="E125" s="32"/>
      <c r="F125" s="32"/>
      <c r="G125" s="32"/>
      <c r="H125" s="32"/>
      <c r="I125" s="33">
        <v>19.05</v>
      </c>
      <c r="J125" s="33">
        <v>19.05</v>
      </c>
      <c r="K125" s="33">
        <v>19.05</v>
      </c>
      <c r="L125" s="33">
        <v>19.05</v>
      </c>
      <c r="M125" s="33">
        <v>19.05</v>
      </c>
      <c r="N125" s="33">
        <v>19.05</v>
      </c>
      <c r="O125" s="33">
        <v>19.05</v>
      </c>
      <c r="P125" s="33">
        <v>19.05</v>
      </c>
      <c r="Q125" s="33">
        <v>19.05</v>
      </c>
      <c r="R125" s="33">
        <v>19.05</v>
      </c>
      <c r="S125" s="33">
        <v>19.9</v>
      </c>
      <c r="T125" s="33">
        <v>19.05</v>
      </c>
      <c r="U125" s="33">
        <v>19.05</v>
      </c>
      <c r="V125" s="33">
        <v>19.05</v>
      </c>
      <c r="W125" s="33">
        <v>19.05</v>
      </c>
      <c r="X125" s="33">
        <v>19.05</v>
      </c>
      <c r="Y125" s="33">
        <v>19.05</v>
      </c>
      <c r="Z125" s="33">
        <v>19.05</v>
      </c>
      <c r="AA125" s="32"/>
      <c r="AB125" s="32"/>
      <c r="AC125" s="32"/>
      <c r="AD125" s="32"/>
      <c r="AE125" s="32"/>
      <c r="AF125" s="32"/>
      <c r="AG125" s="32"/>
      <c r="AH125" s="32"/>
      <c r="AI125" s="32"/>
      <c r="AJ125" s="34">
        <f>SUM(E125:AI125)</f>
      </c>
      <c r="AK125" s="35"/>
    </row>
    <row r="126" ht="12.75" customHeight="1" spans="2:37" x14ac:dyDescent="0.25">
      <c r="B126" s="30" t="s">
        <v>44</v>
      </c>
      <c r="C126" s="31" t="s">
        <v>3</v>
      </c>
      <c r="D126" s="32" t="s">
        <v>1508</v>
      </c>
      <c r="E126" s="33">
        <v>0</v>
      </c>
      <c r="F126" s="32"/>
      <c r="G126" s="32"/>
      <c r="H126" s="32"/>
      <c r="I126" s="33">
        <v>19.05</v>
      </c>
      <c r="J126" s="33">
        <v>19.05</v>
      </c>
      <c r="K126" s="33">
        <v>19.05</v>
      </c>
      <c r="L126" s="33">
        <v>19.05</v>
      </c>
      <c r="M126" s="33">
        <v>19.05</v>
      </c>
      <c r="N126" s="33">
        <v>17.15</v>
      </c>
      <c r="O126" s="33">
        <v>0</v>
      </c>
      <c r="P126" s="32"/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3">
        <v>0</v>
      </c>
      <c r="W126" s="36">
        <f>0.00+0.00</f>
        <v>0</v>
      </c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4">
        <f>SUM(E126:AI126)</f>
      </c>
      <c r="AK126" s="35"/>
    </row>
    <row r="127" ht="12.75" customHeight="1" spans="2:37" x14ac:dyDescent="0.25">
      <c r="B127" s="30" t="s">
        <v>44</v>
      </c>
      <c r="C127" s="31" t="s">
        <v>3</v>
      </c>
      <c r="D127" s="32" t="s">
        <v>1509</v>
      </c>
      <c r="E127" s="32"/>
      <c r="F127" s="32"/>
      <c r="G127" s="32"/>
      <c r="H127" s="32"/>
      <c r="I127" s="33">
        <v>19.05</v>
      </c>
      <c r="J127" s="33">
        <v>19.05</v>
      </c>
      <c r="K127" s="33">
        <v>19.05</v>
      </c>
      <c r="L127" s="33">
        <v>19.05</v>
      </c>
      <c r="M127" s="33">
        <v>19.05</v>
      </c>
      <c r="N127" s="33">
        <v>19.05</v>
      </c>
      <c r="O127" s="33">
        <v>19.05</v>
      </c>
      <c r="P127" s="32"/>
      <c r="Q127" s="33">
        <v>19.05</v>
      </c>
      <c r="R127" s="33">
        <v>19.05</v>
      </c>
      <c r="S127" s="33">
        <v>19.9</v>
      </c>
      <c r="T127" s="33">
        <v>19.05</v>
      </c>
      <c r="U127" s="33">
        <v>19.05</v>
      </c>
      <c r="V127" s="33">
        <v>19.05</v>
      </c>
      <c r="W127" s="33">
        <v>19.05</v>
      </c>
      <c r="X127" s="33">
        <v>19.05</v>
      </c>
      <c r="Y127" s="33">
        <v>19.05</v>
      </c>
      <c r="Z127" s="33">
        <v>19.05</v>
      </c>
      <c r="AA127" s="32"/>
      <c r="AB127" s="32"/>
      <c r="AC127" s="32"/>
      <c r="AD127" s="32"/>
      <c r="AE127" s="32"/>
      <c r="AF127" s="32"/>
      <c r="AG127" s="32"/>
      <c r="AH127" s="32"/>
      <c r="AI127" s="32"/>
      <c r="AJ127" s="34">
        <f>SUM(E127:AI127)</f>
      </c>
      <c r="AK127" s="35"/>
    </row>
    <row r="128" ht="12.75" customHeight="1" spans="2:37" x14ac:dyDescent="0.25">
      <c r="B128" s="30" t="s">
        <v>44</v>
      </c>
      <c r="C128" s="31" t="s">
        <v>3</v>
      </c>
      <c r="D128" s="32" t="s">
        <v>1510</v>
      </c>
      <c r="E128" s="33">
        <v>0</v>
      </c>
      <c r="F128" s="32"/>
      <c r="G128" s="32"/>
      <c r="H128" s="32"/>
      <c r="I128" s="33">
        <v>19.05</v>
      </c>
      <c r="J128" s="33">
        <v>19.05</v>
      </c>
      <c r="K128" s="33">
        <v>19.05</v>
      </c>
      <c r="L128" s="33">
        <v>19.05</v>
      </c>
      <c r="M128" s="33">
        <v>19.05</v>
      </c>
      <c r="N128" s="33">
        <v>17.15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2"/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4">
        <f>SUM(E128:AI128)</f>
      </c>
      <c r="AK128" s="35"/>
    </row>
    <row r="129" ht="12.75" customHeight="1" spans="2:37" x14ac:dyDescent="0.25">
      <c r="B129" s="30" t="s">
        <v>44</v>
      </c>
      <c r="C129" s="31" t="s">
        <v>3</v>
      </c>
      <c r="D129" s="32" t="s">
        <v>1511</v>
      </c>
      <c r="E129" s="32"/>
      <c r="F129" s="32"/>
      <c r="G129" s="32"/>
      <c r="H129" s="32"/>
      <c r="I129" s="33">
        <v>16.85</v>
      </c>
      <c r="J129" s="33">
        <v>16.85</v>
      </c>
      <c r="K129" s="33">
        <v>16.85</v>
      </c>
      <c r="L129" s="33">
        <v>16.85</v>
      </c>
      <c r="M129" s="33">
        <v>16.85</v>
      </c>
      <c r="N129" s="33">
        <v>15.17</v>
      </c>
      <c r="O129" s="33">
        <v>0</v>
      </c>
      <c r="P129" s="33">
        <v>0</v>
      </c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4">
        <f>SUM(E129:AI129)</f>
      </c>
      <c r="AK129" s="35"/>
    </row>
    <row r="130" ht="12.75" customHeight="1" spans="2:37" x14ac:dyDescent="0.25">
      <c r="B130" s="37"/>
      <c r="C130" s="3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40"/>
    </row>
    <row r="131" ht="12.75" customHeight="1" spans="2:37" x14ac:dyDescent="0.25">
      <c r="B131" s="20" t="s">
        <v>90</v>
      </c>
      <c r="C131" s="21"/>
      <c r="D131" s="21"/>
      <c r="E131" s="22">
        <f>SUM(E98:E129)</f>
      </c>
      <c r="F131" s="22">
        <f>SUM(F98:F129)</f>
      </c>
      <c r="G131" s="22">
        <f>SUM(G98:G129)</f>
      </c>
      <c r="H131" s="22">
        <f>SUM(H98:H129)</f>
      </c>
      <c r="I131" s="22">
        <f>SUM(I98:I129)</f>
      </c>
      <c r="J131" s="22">
        <f>SUM(J98:J129)</f>
      </c>
      <c r="K131" s="22">
        <f>SUM(K98:K129)</f>
      </c>
      <c r="L131" s="22">
        <f>SUM(L98:L129)</f>
      </c>
      <c r="M131" s="22">
        <f>SUM(M98:M129)</f>
      </c>
      <c r="N131" s="22">
        <f>SUM(N98:N129)</f>
      </c>
      <c r="O131" s="22">
        <f>SUM(O98:O129)</f>
      </c>
      <c r="P131" s="22">
        <f>SUM(P98:P129)</f>
      </c>
      <c r="Q131" s="22">
        <f>SUM(Q98:Q129)</f>
      </c>
      <c r="R131" s="22">
        <f>SUM(R98:R129)</f>
      </c>
      <c r="S131" s="22">
        <f>SUM(S98:S129)</f>
      </c>
      <c r="T131" s="22">
        <f>SUM(T98:T129)</f>
      </c>
      <c r="U131" s="22">
        <f>SUM(U98:U129)</f>
      </c>
      <c r="V131" s="22">
        <f>SUM(V98:V129)</f>
      </c>
      <c r="W131" s="22">
        <f>SUM(W98:W129)</f>
      </c>
      <c r="X131" s="22">
        <f>SUM(X98:X129)</f>
      </c>
      <c r="Y131" s="22">
        <f>SUM(Y98:Y129)</f>
      </c>
      <c r="Z131" s="22">
        <f>SUM(Z98:Z129)</f>
      </c>
      <c r="AA131" s="22">
        <f>SUM(AA98:AA129)</f>
      </c>
      <c r="AB131" s="22">
        <f>SUM(AB98:AB129)</f>
      </c>
      <c r="AC131" s="22">
        <f>SUM(AC98:AC129)</f>
      </c>
      <c r="AD131" s="22">
        <f>SUM(AD98:AD129)</f>
      </c>
      <c r="AE131" s="22">
        <f>SUM(AE98:AE129)</f>
      </c>
      <c r="AF131" s="22">
        <f>SUM(AF98:AF129)</f>
      </c>
      <c r="AG131" s="22">
        <f>SUM(AG98:AG129)</f>
      </c>
      <c r="AH131" s="22">
        <f>SUM(AH98:AH129)</f>
      </c>
      <c r="AI131" s="22">
        <f>SUM(AI98:AI129)</f>
      </c>
      <c r="AJ131" s="22">
        <f>SUM(AJ98:AJ129)</f>
      </c>
      <c r="AK131" s="23"/>
    </row>
    <row r="134" ht="12.75" customHeight="1" spans="2:37" x14ac:dyDescent="0.25">
      <c r="B134" s="11" t="s">
        <v>40</v>
      </c>
      <c r="C134" s="12"/>
      <c r="D134" s="13"/>
      <c r="E134" s="14" t="s">
        <v>7</v>
      </c>
      <c r="F134" s="14" t="s">
        <v>8</v>
      </c>
      <c r="G134" s="14" t="s">
        <v>9</v>
      </c>
      <c r="H134" s="14" t="s">
        <v>10</v>
      </c>
      <c r="I134" s="14" t="s">
        <v>11</v>
      </c>
      <c r="J134" s="14" t="s">
        <v>12</v>
      </c>
      <c r="K134" s="14" t="s">
        <v>13</v>
      </c>
      <c r="L134" s="14" t="s">
        <v>14</v>
      </c>
      <c r="M134" s="14" t="s">
        <v>15</v>
      </c>
      <c r="N134" s="14" t="s">
        <v>16</v>
      </c>
      <c r="O134" s="14" t="s">
        <v>17</v>
      </c>
      <c r="P134" s="14" t="s">
        <v>18</v>
      </c>
      <c r="Q134" s="14" t="s">
        <v>19</v>
      </c>
      <c r="R134" s="14" t="s">
        <v>20</v>
      </c>
      <c r="S134" s="14" t="s">
        <v>21</v>
      </c>
      <c r="T134" s="14" t="s">
        <v>22</v>
      </c>
      <c r="U134" s="14" t="s">
        <v>23</v>
      </c>
      <c r="V134" s="14" t="s">
        <v>24</v>
      </c>
      <c r="W134" s="14" t="s">
        <v>25</v>
      </c>
      <c r="X134" s="14" t="s">
        <v>26</v>
      </c>
      <c r="Y134" s="14" t="s">
        <v>27</v>
      </c>
      <c r="Z134" s="14" t="s">
        <v>28</v>
      </c>
      <c r="AA134" s="14" t="s">
        <v>29</v>
      </c>
      <c r="AB134" s="14" t="s">
        <v>30</v>
      </c>
      <c r="AC134" s="14" t="s">
        <v>31</v>
      </c>
      <c r="AD134" s="14" t="s">
        <v>32</v>
      </c>
      <c r="AE134" s="14" t="s">
        <v>33</v>
      </c>
      <c r="AF134" s="14" t="s">
        <v>34</v>
      </c>
      <c r="AG134" s="14" t="s">
        <v>35</v>
      </c>
      <c r="AH134" s="14" t="s">
        <v>36</v>
      </c>
      <c r="AI134" s="14" t="s">
        <v>37</v>
      </c>
      <c r="AJ134" s="14" t="s">
        <v>38</v>
      </c>
      <c r="AK134" s="15"/>
    </row>
    <row r="135" ht="12.75" customHeight="1" spans="2:37" x14ac:dyDescent="0.25">
      <c r="B135" s="16" t="s">
        <v>41</v>
      </c>
      <c r="C135" s="17"/>
      <c r="D135" s="17"/>
      <c r="E135" s="18">
        <f>E10</f>
      </c>
      <c r="F135" s="18">
        <f>F10</f>
      </c>
      <c r="G135" s="18">
        <f>G10</f>
      </c>
      <c r="H135" s="18">
        <f>H10</f>
      </c>
      <c r="I135" s="18">
        <f>I10</f>
      </c>
      <c r="J135" s="18">
        <f>J10</f>
      </c>
      <c r="K135" s="18">
        <f>K10</f>
      </c>
      <c r="L135" s="18">
        <f>L10</f>
      </c>
      <c r="M135" s="18">
        <f>M10</f>
      </c>
      <c r="N135" s="18">
        <f>N10</f>
      </c>
      <c r="O135" s="18">
        <f>O10</f>
      </c>
      <c r="P135" s="18">
        <f>P10</f>
      </c>
      <c r="Q135" s="18">
        <f>Q10</f>
      </c>
      <c r="R135" s="18">
        <f>R10</f>
      </c>
      <c r="S135" s="18">
        <f>S10</f>
      </c>
      <c r="T135" s="18">
        <f>T10</f>
      </c>
      <c r="U135" s="18">
        <f>U10</f>
      </c>
      <c r="V135" s="18">
        <f>V10</f>
      </c>
      <c r="W135" s="18">
        <f>W10</f>
      </c>
      <c r="X135" s="18">
        <f>X10</f>
      </c>
      <c r="Y135" s="18">
        <f>Y10</f>
      </c>
      <c r="Z135" s="18">
        <f>Z10</f>
      </c>
      <c r="AA135" s="18">
        <f>AA10</f>
      </c>
      <c r="AB135" s="18">
        <f>AB10</f>
      </c>
      <c r="AC135" s="18">
        <f>AC10</f>
      </c>
      <c r="AD135" s="18">
        <f>AD10</f>
      </c>
      <c r="AE135" s="18">
        <f>AE10</f>
      </c>
      <c r="AF135" s="18">
        <f>AF10</f>
      </c>
      <c r="AG135" s="18">
        <f>AG10</f>
      </c>
      <c r="AH135" s="18">
        <f>AH10</f>
      </c>
      <c r="AI135" s="18">
        <f>AI10</f>
      </c>
      <c r="AJ135" s="18">
        <f>AJ10</f>
      </c>
      <c r="AK135" s="19"/>
    </row>
    <row r="136" ht="12.75" customHeight="1" spans="2:37" x14ac:dyDescent="0.25">
      <c r="B136" s="16" t="s">
        <v>42</v>
      </c>
      <c r="C136" s="17"/>
      <c r="D136" s="17"/>
      <c r="E136" s="18">
        <f>E55</f>
      </c>
      <c r="F136" s="18">
        <f>F55</f>
      </c>
      <c r="G136" s="18">
        <f>G55</f>
      </c>
      <c r="H136" s="18">
        <f>H55</f>
      </c>
      <c r="I136" s="18">
        <f>I55</f>
      </c>
      <c r="J136" s="18">
        <f>J55</f>
      </c>
      <c r="K136" s="18">
        <f>K55</f>
      </c>
      <c r="L136" s="18">
        <f>L55</f>
      </c>
      <c r="M136" s="18">
        <f>M55</f>
      </c>
      <c r="N136" s="18">
        <f>N55</f>
      </c>
      <c r="O136" s="18">
        <f>O55</f>
      </c>
      <c r="P136" s="18">
        <f>P55</f>
      </c>
      <c r="Q136" s="18">
        <f>Q55</f>
      </c>
      <c r="R136" s="18">
        <f>R55</f>
      </c>
      <c r="S136" s="18">
        <f>S55</f>
      </c>
      <c r="T136" s="18">
        <f>T55</f>
      </c>
      <c r="U136" s="18">
        <f>U55</f>
      </c>
      <c r="V136" s="18">
        <f>V55</f>
      </c>
      <c r="W136" s="18">
        <f>W55</f>
      </c>
      <c r="X136" s="18">
        <f>X55</f>
      </c>
      <c r="Y136" s="18">
        <f>Y55</f>
      </c>
      <c r="Z136" s="18">
        <f>Z55</f>
      </c>
      <c r="AA136" s="18">
        <f>AA55</f>
      </c>
      <c r="AB136" s="18">
        <f>AB55</f>
      </c>
      <c r="AC136" s="18">
        <f>AC55</f>
      </c>
      <c r="AD136" s="18">
        <f>AD55</f>
      </c>
      <c r="AE136" s="18">
        <f>AE55</f>
      </c>
      <c r="AF136" s="18">
        <f>AF55</f>
      </c>
      <c r="AG136" s="18">
        <f>AG55</f>
      </c>
      <c r="AH136" s="18">
        <f>AH55</f>
      </c>
      <c r="AI136" s="18">
        <f>AI55</f>
      </c>
      <c r="AJ136" s="18">
        <f>AJ55</f>
      </c>
      <c r="AK136" s="19"/>
    </row>
    <row r="137" ht="12.75" customHeight="1" spans="2:37" x14ac:dyDescent="0.25">
      <c r="B137" s="16" t="s">
        <v>43</v>
      </c>
      <c r="C137" s="17"/>
      <c r="D137" s="17"/>
      <c r="E137" s="18">
        <f>E95</f>
      </c>
      <c r="F137" s="18">
        <f>F95</f>
      </c>
      <c r="G137" s="18">
        <f>G95</f>
      </c>
      <c r="H137" s="18">
        <f>H95</f>
      </c>
      <c r="I137" s="18">
        <f>I95</f>
      </c>
      <c r="J137" s="18">
        <f>J95</f>
      </c>
      <c r="K137" s="18">
        <f>K95</f>
      </c>
      <c r="L137" s="18">
        <f>L95</f>
      </c>
      <c r="M137" s="18">
        <f>M95</f>
      </c>
      <c r="N137" s="18">
        <f>N95</f>
      </c>
      <c r="O137" s="18">
        <f>O95</f>
      </c>
      <c r="P137" s="18">
        <f>P95</f>
      </c>
      <c r="Q137" s="18">
        <f>Q95</f>
      </c>
      <c r="R137" s="18">
        <f>R95</f>
      </c>
      <c r="S137" s="18">
        <f>S95</f>
      </c>
      <c r="T137" s="18">
        <f>T95</f>
      </c>
      <c r="U137" s="18">
        <f>U95</f>
      </c>
      <c r="V137" s="18">
        <f>V95</f>
      </c>
      <c r="W137" s="18">
        <f>W95</f>
      </c>
      <c r="X137" s="18">
        <f>X95</f>
      </c>
      <c r="Y137" s="18">
        <f>Y95</f>
      </c>
      <c r="Z137" s="18">
        <f>Z95</f>
      </c>
      <c r="AA137" s="18">
        <f>AA95</f>
      </c>
      <c r="AB137" s="18">
        <f>AB95</f>
      </c>
      <c r="AC137" s="18">
        <f>AC95</f>
      </c>
      <c r="AD137" s="18">
        <f>AD95</f>
      </c>
      <c r="AE137" s="18">
        <f>AE95</f>
      </c>
      <c r="AF137" s="18">
        <f>AF95</f>
      </c>
      <c r="AG137" s="18">
        <f>AG95</f>
      </c>
      <c r="AH137" s="18">
        <f>AH95</f>
      </c>
      <c r="AI137" s="18">
        <f>AI95</f>
      </c>
      <c r="AJ137" s="18">
        <f>AJ95</f>
      </c>
      <c r="AK137" s="19"/>
    </row>
    <row r="138" ht="12.75" customHeight="1" spans="2:37" x14ac:dyDescent="0.25">
      <c r="B138" s="16" t="s">
        <v>44</v>
      </c>
      <c r="C138" s="17"/>
      <c r="D138" s="17"/>
      <c r="E138" s="18">
        <f>E131</f>
      </c>
      <c r="F138" s="18">
        <f>F131</f>
      </c>
      <c r="G138" s="18">
        <f>G131</f>
      </c>
      <c r="H138" s="18">
        <f>H131</f>
      </c>
      <c r="I138" s="18">
        <f>I131</f>
      </c>
      <c r="J138" s="18">
        <f>J131</f>
      </c>
      <c r="K138" s="18">
        <f>K131</f>
      </c>
      <c r="L138" s="18">
        <f>L131</f>
      </c>
      <c r="M138" s="18">
        <f>M131</f>
      </c>
      <c r="N138" s="18">
        <f>N131</f>
      </c>
      <c r="O138" s="18">
        <f>O131</f>
      </c>
      <c r="P138" s="18">
        <f>P131</f>
      </c>
      <c r="Q138" s="18">
        <f>Q131</f>
      </c>
      <c r="R138" s="18">
        <f>R131</f>
      </c>
      <c r="S138" s="18">
        <f>S131</f>
      </c>
      <c r="T138" s="18">
        <f>T131</f>
      </c>
      <c r="U138" s="18">
        <f>U131</f>
      </c>
      <c r="V138" s="18">
        <f>V131</f>
      </c>
      <c r="W138" s="18">
        <f>W131</f>
      </c>
      <c r="X138" s="18">
        <f>X131</f>
      </c>
      <c r="Y138" s="18">
        <f>Y131</f>
      </c>
      <c r="Z138" s="18">
        <f>Z131</f>
      </c>
      <c r="AA138" s="18">
        <f>AA131</f>
      </c>
      <c r="AB138" s="18">
        <f>AB131</f>
      </c>
      <c r="AC138" s="18">
        <f>AC131</f>
      </c>
      <c r="AD138" s="18">
        <f>AD131</f>
      </c>
      <c r="AE138" s="18">
        <f>AE131</f>
      </c>
      <c r="AF138" s="18">
        <f>AF131</f>
      </c>
      <c r="AG138" s="18">
        <f>AG131</f>
      </c>
      <c r="AH138" s="18">
        <f>AH131</f>
      </c>
      <c r="AI138" s="18">
        <f>AI131</f>
      </c>
      <c r="AJ138" s="18">
        <f>AJ131</f>
      </c>
      <c r="AK138" s="19"/>
    </row>
    <row r="139" ht="12.75" customHeight="1" spans="2:37" x14ac:dyDescent="0.25">
      <c r="B139" s="20" t="s">
        <v>45</v>
      </c>
      <c r="C139" s="21"/>
      <c r="D139" s="21"/>
      <c r="E139" s="22">
        <f>E135+E136+E137+E138</f>
      </c>
      <c r="F139" s="22">
        <f>F135+F136+F137+F138</f>
      </c>
      <c r="G139" s="22">
        <f>G135+G136+G137+G138</f>
      </c>
      <c r="H139" s="22">
        <f>H135+H136+H137+H138</f>
      </c>
      <c r="I139" s="22">
        <f>I135+I136+I137+I138</f>
      </c>
      <c r="J139" s="22">
        <f>J135+J136+J137+J138</f>
      </c>
      <c r="K139" s="22">
        <f>K135+K136+K137+K138</f>
      </c>
      <c r="L139" s="22">
        <f>L135+L136+L137+L138</f>
      </c>
      <c r="M139" s="22">
        <f>M135+M136+M137+M138</f>
      </c>
      <c r="N139" s="22">
        <f>N135+N136+N137+N138</f>
      </c>
      <c r="O139" s="22">
        <f>O135+O136+O137+O138</f>
      </c>
      <c r="P139" s="22">
        <f>P135+P136+P137+P138</f>
      </c>
      <c r="Q139" s="22">
        <f>Q135+Q136+Q137+Q138</f>
      </c>
      <c r="R139" s="22">
        <f>R135+R136+R137+R138</f>
      </c>
      <c r="S139" s="22">
        <f>S135+S136+S137+S138</f>
      </c>
      <c r="T139" s="22">
        <f>T135+T136+T137+T138</f>
      </c>
      <c r="U139" s="22">
        <f>U135+U136+U137+U138</f>
      </c>
      <c r="V139" s="22">
        <f>V135+V136+V137+V138</f>
      </c>
      <c r="W139" s="22">
        <f>W135+W136+W137+W138</f>
      </c>
      <c r="X139" s="22">
        <f>X135+X136+X137+X138</f>
      </c>
      <c r="Y139" s="22">
        <f>Y135+Y136+Y137+Y138</f>
      </c>
      <c r="Z139" s="22">
        <f>Z135+Z136+Z137+Z138</f>
      </c>
      <c r="AA139" s="22">
        <f>AA135+AA136+AA137+AA138</f>
      </c>
      <c r="AB139" s="22">
        <f>AB135+AB136+AB137+AB138</f>
      </c>
      <c r="AC139" s="22">
        <f>AC135+AC136+AC137+AC138</f>
      </c>
      <c r="AD139" s="22">
        <f>AD135+AD136+AD137+AD138</f>
      </c>
      <c r="AE139" s="22">
        <f>AE135+AE136+AE137+AE138</f>
      </c>
      <c r="AF139" s="22">
        <f>AF135+AF136+AF137+AF138</f>
      </c>
      <c r="AG139" s="22">
        <f>AG135+AG136+AG137+AG138</f>
      </c>
      <c r="AH139" s="22">
        <f>AH135+AH136+AH137+AH138</f>
      </c>
      <c r="AI139" s="22">
        <f>AI135+AI136+AI137+AI138</f>
      </c>
      <c r="AJ139" s="22">
        <f>AJ135+AJ136+AJ137+AJ138</f>
      </c>
      <c r="AK139" s="23"/>
    </row>
    <row r="141" ht="12.75" customHeight="1" spans="2:37" x14ac:dyDescent="0.25">
      <c r="B141" s="11" t="s">
        <v>46</v>
      </c>
      <c r="C141" s="12"/>
      <c r="D141" s="13"/>
      <c r="E141" s="14" t="s">
        <v>7</v>
      </c>
      <c r="F141" s="14" t="s">
        <v>8</v>
      </c>
      <c r="G141" s="14" t="s">
        <v>9</v>
      </c>
      <c r="H141" s="14" t="s">
        <v>10</v>
      </c>
      <c r="I141" s="14" t="s">
        <v>11</v>
      </c>
      <c r="J141" s="14" t="s">
        <v>12</v>
      </c>
      <c r="K141" s="14" t="s">
        <v>13</v>
      </c>
      <c r="L141" s="14" t="s">
        <v>14</v>
      </c>
      <c r="M141" s="14" t="s">
        <v>15</v>
      </c>
      <c r="N141" s="14" t="s">
        <v>16</v>
      </c>
      <c r="O141" s="14" t="s">
        <v>17</v>
      </c>
      <c r="P141" s="14" t="s">
        <v>18</v>
      </c>
      <c r="Q141" s="14" t="s">
        <v>19</v>
      </c>
      <c r="R141" s="14" t="s">
        <v>20</v>
      </c>
      <c r="S141" s="14" t="s">
        <v>21</v>
      </c>
      <c r="T141" s="14" t="s">
        <v>22</v>
      </c>
      <c r="U141" s="14" t="s">
        <v>23</v>
      </c>
      <c r="V141" s="14" t="s">
        <v>24</v>
      </c>
      <c r="W141" s="14" t="s">
        <v>25</v>
      </c>
      <c r="X141" s="14" t="s">
        <v>26</v>
      </c>
      <c r="Y141" s="14" t="s">
        <v>27</v>
      </c>
      <c r="Z141" s="14" t="s">
        <v>28</v>
      </c>
      <c r="AA141" s="14" t="s">
        <v>29</v>
      </c>
      <c r="AB141" s="14" t="s">
        <v>30</v>
      </c>
      <c r="AC141" s="14" t="s">
        <v>31</v>
      </c>
      <c r="AD141" s="14" t="s">
        <v>32</v>
      </c>
      <c r="AE141" s="14" t="s">
        <v>33</v>
      </c>
      <c r="AF141" s="14" t="s">
        <v>34</v>
      </c>
      <c r="AG141" s="14" t="s">
        <v>35</v>
      </c>
      <c r="AH141" s="14" t="s">
        <v>36</v>
      </c>
      <c r="AI141" s="14" t="s">
        <v>37</v>
      </c>
      <c r="AJ141" s="14" t="s">
        <v>38</v>
      </c>
      <c r="AK141" s="15"/>
    </row>
    <row r="142" ht="12.75" customHeight="1" spans="2:37" x14ac:dyDescent="0.25">
      <c r="B142" s="16" t="s">
        <v>41</v>
      </c>
      <c r="C142" s="17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9"/>
    </row>
    <row r="143" ht="12.75" customHeight="1" spans="2:37" x14ac:dyDescent="0.25">
      <c r="B143" s="16" t="s">
        <v>42</v>
      </c>
      <c r="C143" s="17"/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9"/>
    </row>
    <row r="144" ht="12.75" customHeight="1" spans="2:37" x14ac:dyDescent="0.25">
      <c r="B144" s="16" t="s">
        <v>43</v>
      </c>
      <c r="C144" s="17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</row>
    <row r="145" ht="12.75" customHeight="1" spans="2:37" x14ac:dyDescent="0.25">
      <c r="B145" s="16" t="s">
        <v>44</v>
      </c>
      <c r="C145" s="17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9"/>
    </row>
    <row r="146" ht="12.75" customHeight="1" spans="2:37" x14ac:dyDescent="0.25">
      <c r="B146" s="20" t="s">
        <v>45</v>
      </c>
      <c r="C146" s="21"/>
      <c r="D146" s="21"/>
      <c r="E146" s="22">
        <f>E142+E143+E144+E145</f>
      </c>
      <c r="F146" s="22">
        <f>F142+F143+F144+F145</f>
      </c>
      <c r="G146" s="22">
        <f>G142+G143+G144+G145</f>
      </c>
      <c r="H146" s="22">
        <f>H142+H143+H144+H145</f>
      </c>
      <c r="I146" s="22">
        <f>I142+I143+I144+I145</f>
      </c>
      <c r="J146" s="22">
        <f>J142+J143+J144+J145</f>
      </c>
      <c r="K146" s="22">
        <f>K142+K143+K144+K145</f>
      </c>
      <c r="L146" s="22">
        <f>L142+L143+L144+L145</f>
      </c>
      <c r="M146" s="22">
        <f>M142+M143+M144+M145</f>
      </c>
      <c r="N146" s="22">
        <f>N142+N143+N144+N145</f>
      </c>
      <c r="O146" s="22">
        <f>O142+O143+O144+O145</f>
      </c>
      <c r="P146" s="22">
        <f>P142+P143+P144+P145</f>
      </c>
      <c r="Q146" s="22">
        <f>Q142+Q143+Q144+Q145</f>
      </c>
      <c r="R146" s="22">
        <f>R142+R143+R144+R145</f>
      </c>
      <c r="S146" s="22">
        <f>S142+S143+S144+S145</f>
      </c>
      <c r="T146" s="22">
        <f>T142+T143+T144+T145</f>
      </c>
      <c r="U146" s="22">
        <f>U142+U143+U144+U145</f>
      </c>
      <c r="V146" s="22">
        <f>V142+V143+V144+V145</f>
      </c>
      <c r="W146" s="22">
        <f>W142+W143+W144+W145</f>
      </c>
      <c r="X146" s="22">
        <f>X142+X143+X144+X145</f>
      </c>
      <c r="Y146" s="22">
        <f>Y142+Y143+Y144+Y145</f>
      </c>
      <c r="Z146" s="22">
        <f>Z142+Z143+Z144+Z145</f>
      </c>
      <c r="AA146" s="22">
        <f>AA142+AA143+AA144+AA145</f>
      </c>
      <c r="AB146" s="22">
        <f>AB142+AB143+AB144+AB145</f>
      </c>
      <c r="AC146" s="22">
        <f>AC142+AC143+AC144+AC145</f>
      </c>
      <c r="AD146" s="22">
        <f>AD142+AD143+AD144+AD145</f>
      </c>
      <c r="AE146" s="22">
        <f>AE142+AE143+AE144+AE145</f>
      </c>
      <c r="AF146" s="22">
        <f>AF142+AF143+AF144+AF145</f>
      </c>
      <c r="AG146" s="22">
        <f>AG142+AG143+AG144+AG145</f>
      </c>
      <c r="AH146" s="22">
        <f>AH142+AH143+AH144+AH145</f>
      </c>
      <c r="AI146" s="22">
        <f>AI142+AI143+AI144+AI145</f>
      </c>
      <c r="AJ146" s="22">
        <f>AJ142+AJ143+AJ144+AJ145</f>
      </c>
      <c r="AK146" s="23"/>
    </row>
    <row r="148" ht="12.75" customHeight="1" spans="2:37" x14ac:dyDescent="0.25">
      <c r="B148" s="11" t="s">
        <v>47</v>
      </c>
      <c r="C148" s="12"/>
      <c r="D148" s="13"/>
      <c r="E148" s="14" t="s">
        <v>7</v>
      </c>
      <c r="F148" s="14" t="s">
        <v>8</v>
      </c>
      <c r="G148" s="14" t="s">
        <v>9</v>
      </c>
      <c r="H148" s="14" t="s">
        <v>10</v>
      </c>
      <c r="I148" s="14" t="s">
        <v>11</v>
      </c>
      <c r="J148" s="14" t="s">
        <v>12</v>
      </c>
      <c r="K148" s="14" t="s">
        <v>13</v>
      </c>
      <c r="L148" s="14" t="s">
        <v>14</v>
      </c>
      <c r="M148" s="14" t="s">
        <v>15</v>
      </c>
      <c r="N148" s="14" t="s">
        <v>16</v>
      </c>
      <c r="O148" s="14" t="s">
        <v>17</v>
      </c>
      <c r="P148" s="14" t="s">
        <v>18</v>
      </c>
      <c r="Q148" s="14" t="s">
        <v>19</v>
      </c>
      <c r="R148" s="14" t="s">
        <v>20</v>
      </c>
      <c r="S148" s="14" t="s">
        <v>21</v>
      </c>
      <c r="T148" s="14" t="s">
        <v>22</v>
      </c>
      <c r="U148" s="14" t="s">
        <v>23</v>
      </c>
      <c r="V148" s="14" t="s">
        <v>24</v>
      </c>
      <c r="W148" s="14" t="s">
        <v>25</v>
      </c>
      <c r="X148" s="14" t="s">
        <v>26</v>
      </c>
      <c r="Y148" s="14" t="s">
        <v>27</v>
      </c>
      <c r="Z148" s="14" t="s">
        <v>28</v>
      </c>
      <c r="AA148" s="14" t="s">
        <v>29</v>
      </c>
      <c r="AB148" s="14" t="s">
        <v>30</v>
      </c>
      <c r="AC148" s="14" t="s">
        <v>31</v>
      </c>
      <c r="AD148" s="14" t="s">
        <v>32</v>
      </c>
      <c r="AE148" s="14" t="s">
        <v>33</v>
      </c>
      <c r="AF148" s="14" t="s">
        <v>34</v>
      </c>
      <c r="AG148" s="14" t="s">
        <v>35</v>
      </c>
      <c r="AH148" s="14" t="s">
        <v>36</v>
      </c>
      <c r="AI148" s="14" t="s">
        <v>37</v>
      </c>
      <c r="AJ148" s="14" t="s">
        <v>38</v>
      </c>
      <c r="AK148" s="15"/>
    </row>
    <row r="149" ht="12.75" customHeight="1" spans="2:37" x14ac:dyDescent="0.25">
      <c r="B149" s="16" t="s">
        <v>41</v>
      </c>
      <c r="C149" s="17"/>
      <c r="D149" s="17"/>
      <c r="E149" s="24">
        <f>E142-E135</f>
      </c>
      <c r="F149" s="24">
        <f>F142-F135</f>
      </c>
      <c r="G149" s="24">
        <f>G142-G135</f>
      </c>
      <c r="H149" s="24">
        <f>H142-H135</f>
      </c>
      <c r="I149" s="24">
        <f>I142-I135</f>
      </c>
      <c r="J149" s="24">
        <f>J142-J135</f>
      </c>
      <c r="K149" s="24">
        <f>K142-K135</f>
      </c>
      <c r="L149" s="24">
        <f>L142-L135</f>
      </c>
      <c r="M149" s="24">
        <f>M142-M135</f>
      </c>
      <c r="N149" s="24">
        <f>N142-N135</f>
      </c>
      <c r="O149" s="24">
        <f>O142-O135</f>
      </c>
      <c r="P149" s="24">
        <f>P142-P135</f>
      </c>
      <c r="Q149" s="24">
        <f>Q142-Q135</f>
      </c>
      <c r="R149" s="24">
        <f>R142-R135</f>
      </c>
      <c r="S149" s="24">
        <f>S142-S135</f>
      </c>
      <c r="T149" s="24">
        <f>T142-T135</f>
      </c>
      <c r="U149" s="24">
        <f>U142-U135</f>
      </c>
      <c r="V149" s="24">
        <f>V142-V135</f>
      </c>
      <c r="W149" s="24">
        <f>W142-W135</f>
      </c>
      <c r="X149" s="24">
        <f>X142-X135</f>
      </c>
      <c r="Y149" s="24">
        <f>Y142-Y135</f>
      </c>
      <c r="Z149" s="24">
        <f>Z142-Z135</f>
      </c>
      <c r="AA149" s="24">
        <f>AA142-AA135</f>
      </c>
      <c r="AB149" s="24">
        <f>AB142-AB135</f>
      </c>
      <c r="AC149" s="24">
        <f>AC142-AC135</f>
      </c>
      <c r="AD149" s="24">
        <f>AD142-AD135</f>
      </c>
      <c r="AE149" s="24">
        <f>AE142-AE135</f>
      </c>
      <c r="AF149" s="24">
        <f>AF142-AF135</f>
      </c>
      <c r="AG149" s="24">
        <f>AG142-AG135</f>
      </c>
      <c r="AH149" s="24">
        <f>AH142-AH135</f>
      </c>
      <c r="AI149" s="24">
        <f>AI142-AI135</f>
      </c>
      <c r="AJ149" s="24">
        <f>AJ142-AJ135</f>
      </c>
      <c r="AK149" s="19"/>
    </row>
    <row r="150" ht="12.75" customHeight="1" spans="2:37" x14ac:dyDescent="0.25">
      <c r="B150" s="16" t="s">
        <v>42</v>
      </c>
      <c r="C150" s="17"/>
      <c r="D150" s="17"/>
      <c r="E150" s="24">
        <f>E143-E136</f>
      </c>
      <c r="F150" s="24">
        <f>F143-F136</f>
      </c>
      <c r="G150" s="24">
        <f>G143-G136</f>
      </c>
      <c r="H150" s="24">
        <f>H143-H136</f>
      </c>
      <c r="I150" s="24">
        <f>I143-I136</f>
      </c>
      <c r="J150" s="24">
        <f>J143-J136</f>
      </c>
      <c r="K150" s="24">
        <f>K143-K136</f>
      </c>
      <c r="L150" s="24">
        <f>L143-L136</f>
      </c>
      <c r="M150" s="24">
        <f>M143-M136</f>
      </c>
      <c r="N150" s="24">
        <f>N143-N136</f>
      </c>
      <c r="O150" s="24">
        <f>O143-O136</f>
      </c>
      <c r="P150" s="24">
        <f>P143-P136</f>
      </c>
      <c r="Q150" s="24">
        <f>Q143-Q136</f>
      </c>
      <c r="R150" s="24">
        <f>R143-R136</f>
      </c>
      <c r="S150" s="24">
        <f>S143-S136</f>
      </c>
      <c r="T150" s="24">
        <f>T143-T136</f>
      </c>
      <c r="U150" s="24">
        <f>U143-U136</f>
      </c>
      <c r="V150" s="24">
        <f>V143-V136</f>
      </c>
      <c r="W150" s="24">
        <f>W143-W136</f>
      </c>
      <c r="X150" s="24">
        <f>X143-X136</f>
      </c>
      <c r="Y150" s="24">
        <f>Y143-Y136</f>
      </c>
      <c r="Z150" s="24">
        <f>Z143-Z136</f>
      </c>
      <c r="AA150" s="24">
        <f>AA143-AA136</f>
      </c>
      <c r="AB150" s="24">
        <f>AB143-AB136</f>
      </c>
      <c r="AC150" s="24">
        <f>AC143-AC136</f>
      </c>
      <c r="AD150" s="24">
        <f>AD143-AD136</f>
      </c>
      <c r="AE150" s="24">
        <f>AE143-AE136</f>
      </c>
      <c r="AF150" s="24">
        <f>AF143-AF136</f>
      </c>
      <c r="AG150" s="24">
        <f>AG143-AG136</f>
      </c>
      <c r="AH150" s="24">
        <f>AH143-AH136</f>
      </c>
      <c r="AI150" s="24">
        <f>AI143-AI136</f>
      </c>
      <c r="AJ150" s="24">
        <f>AJ143-AJ136</f>
      </c>
      <c r="AK150" s="19"/>
    </row>
    <row r="151" ht="12.75" customHeight="1" spans="2:37" x14ac:dyDescent="0.25">
      <c r="B151" s="16" t="s">
        <v>43</v>
      </c>
      <c r="C151" s="17"/>
      <c r="D151" s="17"/>
      <c r="E151" s="24">
        <f>E144-E137</f>
      </c>
      <c r="F151" s="24">
        <f>F144-F137</f>
      </c>
      <c r="G151" s="24">
        <f>G144-G137</f>
      </c>
      <c r="H151" s="24">
        <f>H144-H137</f>
      </c>
      <c r="I151" s="24">
        <f>I144-I137</f>
      </c>
      <c r="J151" s="24">
        <f>J144-J137</f>
      </c>
      <c r="K151" s="24">
        <f>K144-K137</f>
      </c>
      <c r="L151" s="24">
        <f>L144-L137</f>
      </c>
      <c r="M151" s="24">
        <f>M144-M137</f>
      </c>
      <c r="N151" s="24">
        <f>N144-N137</f>
      </c>
      <c r="O151" s="24">
        <f>O144-O137</f>
      </c>
      <c r="P151" s="24">
        <f>P144-P137</f>
      </c>
      <c r="Q151" s="24">
        <f>Q144-Q137</f>
      </c>
      <c r="R151" s="24">
        <f>R144-R137</f>
      </c>
      <c r="S151" s="24">
        <f>S144-S137</f>
      </c>
      <c r="T151" s="24">
        <f>T144-T137</f>
      </c>
      <c r="U151" s="24">
        <f>U144-U137</f>
      </c>
      <c r="V151" s="24">
        <f>V144-V137</f>
      </c>
      <c r="W151" s="24">
        <f>W144-W137</f>
      </c>
      <c r="X151" s="24">
        <f>X144-X137</f>
      </c>
      <c r="Y151" s="24">
        <f>Y144-Y137</f>
      </c>
      <c r="Z151" s="24">
        <f>Z144-Z137</f>
      </c>
      <c r="AA151" s="24">
        <f>AA144-AA137</f>
      </c>
      <c r="AB151" s="24">
        <f>AB144-AB137</f>
      </c>
      <c r="AC151" s="24">
        <f>AC144-AC137</f>
      </c>
      <c r="AD151" s="24">
        <f>AD144-AD137</f>
      </c>
      <c r="AE151" s="24">
        <f>AE144-AE137</f>
      </c>
      <c r="AF151" s="24">
        <f>AF144-AF137</f>
      </c>
      <c r="AG151" s="24">
        <f>AG144-AG137</f>
      </c>
      <c r="AH151" s="24">
        <f>AH144-AH137</f>
      </c>
      <c r="AI151" s="24">
        <f>AI144-AI137</f>
      </c>
      <c r="AJ151" s="24">
        <f>AJ144-AJ137</f>
      </c>
      <c r="AK151" s="19"/>
    </row>
    <row r="152" ht="12.75" customHeight="1" spans="2:37" x14ac:dyDescent="0.25">
      <c r="B152" s="16" t="s">
        <v>44</v>
      </c>
      <c r="C152" s="17"/>
      <c r="D152" s="17"/>
      <c r="E152" s="24">
        <f>E145-E138</f>
      </c>
      <c r="F152" s="24">
        <f>F145-F138</f>
      </c>
      <c r="G152" s="24">
        <f>G145-G138</f>
      </c>
      <c r="H152" s="24">
        <f>H145-H138</f>
      </c>
      <c r="I152" s="24">
        <f>I145-I138</f>
      </c>
      <c r="J152" s="24">
        <f>J145-J138</f>
      </c>
      <c r="K152" s="24">
        <f>K145-K138</f>
      </c>
      <c r="L152" s="24">
        <f>L145-L138</f>
      </c>
      <c r="M152" s="24">
        <f>M145-M138</f>
      </c>
      <c r="N152" s="24">
        <f>N145-N138</f>
      </c>
      <c r="O152" s="24">
        <f>O145-O138</f>
      </c>
      <c r="P152" s="24">
        <f>P145-P138</f>
      </c>
      <c r="Q152" s="24">
        <f>Q145-Q138</f>
      </c>
      <c r="R152" s="24">
        <f>R145-R138</f>
      </c>
      <c r="S152" s="24">
        <f>S145-S138</f>
      </c>
      <c r="T152" s="24">
        <f>T145-T138</f>
      </c>
      <c r="U152" s="24">
        <f>U145-U138</f>
      </c>
      <c r="V152" s="24">
        <f>V145-V138</f>
      </c>
      <c r="W152" s="24">
        <f>W145-W138</f>
      </c>
      <c r="X152" s="24">
        <f>X145-X138</f>
      </c>
      <c r="Y152" s="24">
        <f>Y145-Y138</f>
      </c>
      <c r="Z152" s="24">
        <f>Z145-Z138</f>
      </c>
      <c r="AA152" s="24">
        <f>AA145-AA138</f>
      </c>
      <c r="AB152" s="24">
        <f>AB145-AB138</f>
      </c>
      <c r="AC152" s="24">
        <f>AC145-AC138</f>
      </c>
      <c r="AD152" s="24">
        <f>AD145-AD138</f>
      </c>
      <c r="AE152" s="24">
        <f>AE145-AE138</f>
      </c>
      <c r="AF152" s="24">
        <f>AF145-AF138</f>
      </c>
      <c r="AG152" s="24">
        <f>AG145-AG138</f>
      </c>
      <c r="AH152" s="24">
        <f>AH145-AH138</f>
      </c>
      <c r="AI152" s="24">
        <f>AI145-AI138</f>
      </c>
      <c r="AJ152" s="24">
        <f>AJ145-AJ138</f>
      </c>
      <c r="AK152" s="19"/>
    </row>
    <row r="153" ht="12.75" customHeight="1" spans="2:37" x14ac:dyDescent="0.25">
      <c r="B153" s="20" t="s">
        <v>45</v>
      </c>
      <c r="C153" s="21"/>
      <c r="D153" s="21"/>
      <c r="E153" s="25">
        <f>E149+E150+E151+E152</f>
      </c>
      <c r="F153" s="25">
        <f>F149+F150+F151+F152</f>
      </c>
      <c r="G153" s="25">
        <f>G149+G150+G151+G152</f>
      </c>
      <c r="H153" s="25">
        <f>H149+H150+H151+H152</f>
      </c>
      <c r="I153" s="25">
        <f>I149+I150+I151+I152</f>
      </c>
      <c r="J153" s="25">
        <f>J149+J150+J151+J152</f>
      </c>
      <c r="K153" s="25">
        <f>K149+K150+K151+K152</f>
      </c>
      <c r="L153" s="25">
        <f>L149+L150+L151+L152</f>
      </c>
      <c r="M153" s="25">
        <f>M149+M150+M151+M152</f>
      </c>
      <c r="N153" s="25">
        <f>N149+N150+N151+N152</f>
      </c>
      <c r="O153" s="25">
        <f>O149+O150+O151+O152</f>
      </c>
      <c r="P153" s="25">
        <f>P149+P150+P151+P152</f>
      </c>
      <c r="Q153" s="25">
        <f>Q149+Q150+Q151+Q152</f>
      </c>
      <c r="R153" s="25">
        <f>R149+R150+R151+R152</f>
      </c>
      <c r="S153" s="25">
        <f>S149+S150+S151+S152</f>
      </c>
      <c r="T153" s="25">
        <f>T149+T150+T151+T152</f>
      </c>
      <c r="U153" s="25">
        <f>U149+U150+U151+U152</f>
      </c>
      <c r="V153" s="25">
        <f>V149+V150+V151+V152</f>
      </c>
      <c r="W153" s="25">
        <f>W149+W150+W151+W152</f>
      </c>
      <c r="X153" s="25">
        <f>X149+X150+X151+X152</f>
      </c>
      <c r="Y153" s="25">
        <f>Y149+Y150+Y151+Y152</f>
      </c>
      <c r="Z153" s="25">
        <f>Z149+Z150+Z151+Z152</f>
      </c>
      <c r="AA153" s="25">
        <f>AA149+AA150+AA151+AA152</f>
      </c>
      <c r="AB153" s="25">
        <f>AB149+AB150+AB151+AB152</f>
      </c>
      <c r="AC153" s="25">
        <f>AC149+AC150+AC151+AC152</f>
      </c>
      <c r="AD153" s="25">
        <f>AD149+AD150+AD151+AD152</f>
      </c>
      <c r="AE153" s="25">
        <f>AE149+AE150+AE151+AE152</f>
      </c>
      <c r="AF153" s="25">
        <f>AF149+AF150+AF151+AF152</f>
      </c>
      <c r="AG153" s="25">
        <f>AG149+AG150+AG151+AG152</f>
      </c>
      <c r="AH153" s="25">
        <f>AH149+AH150+AH151+AH152</f>
      </c>
      <c r="AI153" s="25">
        <f>AI149+AI150+AI151+AI152</f>
      </c>
      <c r="AJ153" s="25">
        <f>AJ149+AJ150+AJ151+AJ152</f>
      </c>
      <c r="AK153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1472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1516</v>
      </c>
      <c r="I8" s="44" t="s">
        <v>3</v>
      </c>
      <c r="J8" s="44" t="s">
        <v>3</v>
      </c>
      <c r="K8" s="44" t="s">
        <v>1517</v>
      </c>
      <c r="L8" s="44" t="s">
        <v>1518</v>
      </c>
      <c r="M8" s="44" t="s">
        <v>1519</v>
      </c>
      <c r="N8" s="44" t="s">
        <v>1520</v>
      </c>
      <c r="O8" s="44" t="s">
        <v>1521</v>
      </c>
      <c r="P8" s="44" t="s">
        <v>1522</v>
      </c>
      <c r="Q8" s="44" t="s">
        <v>1523</v>
      </c>
      <c r="R8" s="44" t="s">
        <v>1524</v>
      </c>
      <c r="S8" s="44" t="s">
        <v>1525</v>
      </c>
      <c r="T8" s="44" t="s">
        <v>1526</v>
      </c>
      <c r="U8" s="44" t="s">
        <v>1527</v>
      </c>
      <c r="V8" s="44" t="s">
        <v>1528</v>
      </c>
      <c r="W8" s="44" t="s">
        <v>1529</v>
      </c>
      <c r="X8" s="44" t="s">
        <v>1530</v>
      </c>
      <c r="Y8" s="44" t="s">
        <v>1531</v>
      </c>
      <c r="Z8" s="44" t="s">
        <v>1532</v>
      </c>
      <c r="AA8" s="44" t="s">
        <v>1533</v>
      </c>
      <c r="AB8" s="44" t="s">
        <v>1070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1472</v>
      </c>
      <c r="D14" s="50" t="s">
        <v>42</v>
      </c>
      <c r="E14" s="32" t="s">
        <v>3</v>
      </c>
      <c r="F14" s="32" t="s">
        <v>1473</v>
      </c>
      <c r="G14" s="32"/>
      <c r="H14" s="32"/>
      <c r="I14" s="32"/>
      <c r="J14" s="32"/>
      <c r="K14" s="33">
        <v>267.21</v>
      </c>
      <c r="L14" s="33">
        <v>420.76</v>
      </c>
      <c r="M14" s="33">
        <v>232.71</v>
      </c>
      <c r="N14" s="33">
        <v>289.56</v>
      </c>
      <c r="O14" s="33">
        <v>492.82</v>
      </c>
      <c r="P14" s="33">
        <v>738.56</v>
      </c>
      <c r="Q14" s="33">
        <v>778.22</v>
      </c>
      <c r="R14" s="33">
        <v>698.14</v>
      </c>
      <c r="S14" s="33">
        <v>808.09</v>
      </c>
      <c r="T14" s="33">
        <v>516.25</v>
      </c>
      <c r="U14" s="33">
        <v>440.53</v>
      </c>
      <c r="V14" s="33">
        <f>0.00+381.69</f>
        <v>381.69</v>
      </c>
      <c r="W14" s="33">
        <f>367.60+0.00</f>
        <v>367.6</v>
      </c>
      <c r="X14" s="33">
        <f>503.47+0.00</f>
        <v>503.47</v>
      </c>
      <c r="Y14" s="33">
        <f>0.00+173.77</f>
        <v>173.77</v>
      </c>
      <c r="Z14" s="33">
        <f>350.84+0.00</f>
        <v>350.84</v>
      </c>
      <c r="AA14" s="33">
        <f>0.00+695.74</f>
        <v>695.74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1472</v>
      </c>
      <c r="D15" s="50" t="s">
        <v>42</v>
      </c>
      <c r="E15" s="32" t="s">
        <v>3</v>
      </c>
      <c r="F15" s="32" t="s">
        <v>1474</v>
      </c>
      <c r="G15" s="32"/>
      <c r="H15" s="32"/>
      <c r="I15" s="32"/>
      <c r="J15" s="32"/>
      <c r="K15" s="33">
        <v>272.79</v>
      </c>
      <c r="L15" s="33">
        <v>272.79</v>
      </c>
      <c r="M15" s="33">
        <v>272.79</v>
      </c>
      <c r="N15" s="33">
        <v>270.56</v>
      </c>
      <c r="O15" s="33">
        <v>270.56</v>
      </c>
      <c r="P15" s="33">
        <v>270.56</v>
      </c>
      <c r="Q15" s="33">
        <v>280.44</v>
      </c>
      <c r="R15" s="33">
        <v>280.44</v>
      </c>
      <c r="S15" s="33">
        <v>280.44</v>
      </c>
      <c r="T15" s="33">
        <v>286.77</v>
      </c>
      <c r="U15" s="33">
        <v>286.77</v>
      </c>
      <c r="V15" s="33">
        <v>286.77</v>
      </c>
      <c r="W15" s="33">
        <f>284.56+22.80</f>
        <v>307.36</v>
      </c>
      <c r="X15" s="33">
        <v>284.56</v>
      </c>
      <c r="Y15" s="33">
        <v>285.19</v>
      </c>
      <c r="Z15" s="33">
        <v>284.56</v>
      </c>
      <c r="AA15" s="33">
        <v>284.56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1472</v>
      </c>
      <c r="D16" s="50" t="s">
        <v>42</v>
      </c>
      <c r="E16" s="32" t="s">
        <v>3</v>
      </c>
      <c r="F16" s="32" t="s">
        <v>1475</v>
      </c>
      <c r="G16" s="32"/>
      <c r="H16" s="32"/>
      <c r="I16" s="32"/>
      <c r="J16" s="32"/>
      <c r="K16" s="33">
        <v>22.57</v>
      </c>
      <c r="L16" s="33">
        <v>22.12</v>
      </c>
      <c r="M16" s="33">
        <v>20.86</v>
      </c>
      <c r="N16" s="33">
        <v>21.63</v>
      </c>
      <c r="O16" s="33">
        <v>21.03</v>
      </c>
      <c r="P16" s="33">
        <v>20.92</v>
      </c>
      <c r="Q16" s="33">
        <v>35.96</v>
      </c>
      <c r="R16" s="33">
        <v>22.74</v>
      </c>
      <c r="S16" s="33">
        <v>22.86</v>
      </c>
      <c r="T16" s="33">
        <v>32.52</v>
      </c>
      <c r="U16" s="33">
        <v>24.93</v>
      </c>
      <c r="V16" s="33">
        <v>23.11</v>
      </c>
      <c r="W16" s="33">
        <v>22.8</v>
      </c>
      <c r="X16" s="33">
        <v>22.12</v>
      </c>
      <c r="Y16" s="33">
        <v>36.86</v>
      </c>
      <c r="Z16" s="33">
        <v>20.89</v>
      </c>
      <c r="AA16" s="33">
        <v>20.89</v>
      </c>
      <c r="AB16" s="33">
        <v>21.13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1472</v>
      </c>
      <c r="D17" s="50" t="s">
        <v>42</v>
      </c>
      <c r="E17" s="32" t="s">
        <v>3</v>
      </c>
      <c r="F17" s="32" t="s">
        <v>1476</v>
      </c>
      <c r="G17" s="32"/>
      <c r="H17" s="32"/>
      <c r="I17" s="32"/>
      <c r="J17" s="32"/>
      <c r="K17" s="33">
        <v>22.04</v>
      </c>
      <c r="L17" s="33">
        <v>21.92</v>
      </c>
      <c r="M17" s="33">
        <v>21.71</v>
      </c>
      <c r="N17" s="33">
        <v>21.86</v>
      </c>
      <c r="O17" s="33">
        <v>21.63</v>
      </c>
      <c r="P17" s="33">
        <v>21.63</v>
      </c>
      <c r="Q17" s="33">
        <v>21.92</v>
      </c>
      <c r="R17" s="33">
        <v>22.28</v>
      </c>
      <c r="S17" s="33">
        <v>22.14</v>
      </c>
      <c r="T17" s="33">
        <v>22.51</v>
      </c>
      <c r="U17" s="33">
        <v>22.88</v>
      </c>
      <c r="V17" s="33">
        <v>22.76</v>
      </c>
      <c r="W17" s="33">
        <v>22.93</v>
      </c>
      <c r="X17" s="33">
        <v>22.8</v>
      </c>
      <c r="Y17" s="33">
        <v>22.45</v>
      </c>
      <c r="Z17" s="33">
        <v>22.02</v>
      </c>
      <c r="AA17" s="33">
        <v>22.02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1472</v>
      </c>
      <c r="D18" s="50" t="s">
        <v>42</v>
      </c>
      <c r="E18" s="32" t="s">
        <v>3</v>
      </c>
      <c r="F18" s="32" t="s">
        <v>1477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>
        <v>9.99</v>
      </c>
      <c r="AA18" s="33">
        <v>15.76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1472</v>
      </c>
      <c r="D19" s="50" t="s">
        <v>42</v>
      </c>
      <c r="E19" s="32" t="s">
        <v>3</v>
      </c>
      <c r="F19" s="32" t="s">
        <v>1478</v>
      </c>
      <c r="G19" s="32"/>
      <c r="H19" s="32"/>
      <c r="I19" s="32"/>
      <c r="J19" s="32"/>
      <c r="K19" s="32"/>
      <c r="L19" s="32"/>
      <c r="M19" s="33">
        <v>13.8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1472</v>
      </c>
      <c r="D20" s="50" t="s">
        <v>42</v>
      </c>
      <c r="E20" s="32" t="s">
        <v>3</v>
      </c>
      <c r="F20" s="32" t="s">
        <v>1479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>
        <v>8.92</v>
      </c>
      <c r="AA20" s="33">
        <v>15.76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1472</v>
      </c>
      <c r="D21" s="50" t="s">
        <v>42</v>
      </c>
      <c r="E21" s="32" t="s">
        <v>3</v>
      </c>
      <c r="F21" s="32" t="s">
        <v>1480</v>
      </c>
      <c r="G21" s="32"/>
      <c r="H21" s="32"/>
      <c r="I21" s="32"/>
      <c r="J21" s="32"/>
      <c r="K21" s="33">
        <f>20.98+9.63</f>
        <v>30.61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1472</v>
      </c>
      <c r="D22" s="50" t="s">
        <v>42</v>
      </c>
      <c r="E22" s="32" t="s">
        <v>3</v>
      </c>
      <c r="F22" s="32" t="s">
        <v>1481</v>
      </c>
      <c r="G22" s="32"/>
      <c r="H22" s="32"/>
      <c r="I22" s="32"/>
      <c r="J22" s="32"/>
      <c r="K22" s="33">
        <v>23.33</v>
      </c>
      <c r="L22" s="33">
        <v>23</v>
      </c>
      <c r="M22" s="33">
        <v>22.66</v>
      </c>
      <c r="N22" s="33">
        <v>23.65</v>
      </c>
      <c r="O22" s="33">
        <v>24.89</v>
      </c>
      <c r="P22" s="33">
        <v>24.89</v>
      </c>
      <c r="Q22" s="33">
        <v>24.24</v>
      </c>
      <c r="R22" s="33">
        <v>25.95</v>
      </c>
      <c r="S22" s="33">
        <v>25.95</v>
      </c>
      <c r="T22" s="33">
        <v>25.86</v>
      </c>
      <c r="U22" s="33">
        <v>26.66</v>
      </c>
      <c r="V22" s="33">
        <v>26.54</v>
      </c>
      <c r="W22" s="33">
        <v>26.73</v>
      </c>
      <c r="X22" s="33">
        <v>26.64</v>
      </c>
      <c r="Y22" s="33">
        <v>25.96</v>
      </c>
      <c r="Z22" s="33">
        <v>26.41</v>
      </c>
      <c r="AA22" s="33">
        <v>26.28</v>
      </c>
      <c r="AB22" s="33">
        <v>26.41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1472</v>
      </c>
      <c r="D23" s="50" t="s">
        <v>42</v>
      </c>
      <c r="E23" s="32" t="s">
        <v>3</v>
      </c>
      <c r="F23" s="32" t="s">
        <v>1482</v>
      </c>
      <c r="G23" s="32"/>
      <c r="H23" s="32"/>
      <c r="I23" s="32"/>
      <c r="J23" s="32"/>
      <c r="K23" s="33">
        <v>27.4</v>
      </c>
      <c r="L23" s="33">
        <v>28.35</v>
      </c>
      <c r="M23" s="33">
        <v>28.13</v>
      </c>
      <c r="N23" s="33">
        <v>28.15</v>
      </c>
      <c r="O23" s="33">
        <v>27.84</v>
      </c>
      <c r="P23" s="33">
        <v>27.52</v>
      </c>
      <c r="Q23" s="33">
        <v>30.2</v>
      </c>
      <c r="R23" s="33">
        <v>32.16</v>
      </c>
      <c r="S23" s="33">
        <v>33.66</v>
      </c>
      <c r="T23" s="33">
        <v>34.69</v>
      </c>
      <c r="U23" s="33">
        <v>31.8</v>
      </c>
      <c r="V23" s="33">
        <v>29.97</v>
      </c>
      <c r="W23" s="33">
        <v>30.57</v>
      </c>
      <c r="X23" s="33">
        <v>32.7</v>
      </c>
      <c r="Y23" s="33">
        <v>32.13</v>
      </c>
      <c r="Z23" s="33">
        <v>34.18</v>
      </c>
      <c r="AA23" s="33">
        <v>30.77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1472</v>
      </c>
      <c r="D24" s="50" t="s">
        <v>42</v>
      </c>
      <c r="E24" s="32" t="s">
        <v>3</v>
      </c>
      <c r="F24" s="32" t="s">
        <v>1483</v>
      </c>
      <c r="G24" s="32"/>
      <c r="H24" s="32"/>
      <c r="I24" s="32"/>
      <c r="J24" s="32"/>
      <c r="K24" s="33">
        <f>105.62+71.62</f>
        <v>177.24</v>
      </c>
      <c r="L24" s="33">
        <f>71.62+93.94</f>
        <v>165.56</v>
      </c>
      <c r="M24" s="33">
        <f>85.26+71.62</f>
        <v>156.88</v>
      </c>
      <c r="N24" s="33">
        <f>71.06+115.43</f>
        <v>186.49</v>
      </c>
      <c r="O24" s="33">
        <f>121.02+71.06</f>
        <v>192.07999999999998</v>
      </c>
      <c r="P24" s="33">
        <f>175.90+71.06</f>
        <v>246.96</v>
      </c>
      <c r="Q24" s="33">
        <f>186.34+73.44</f>
        <v>259.78</v>
      </c>
      <c r="R24" s="33">
        <f>194.65+73.44</f>
        <v>268.09000000000003</v>
      </c>
      <c r="S24" s="33">
        <f>195.68+73.44</f>
        <v>269.12</v>
      </c>
      <c r="T24" s="33">
        <f>116.59+75.13</f>
        <v>191.72</v>
      </c>
      <c r="U24" s="33">
        <f>19.31+75.13</f>
        <v>94.44</v>
      </c>
      <c r="V24" s="33">
        <f>75.13+19.31</f>
        <v>94.44</v>
      </c>
      <c r="W24" s="33">
        <f>19.31+74.57</f>
        <v>93.88</v>
      </c>
      <c r="X24" s="33">
        <f>19.31+74.57</f>
        <v>93.88</v>
      </c>
      <c r="Y24" s="33">
        <f>74.57+19.31</f>
        <v>93.88</v>
      </c>
      <c r="Z24" s="33">
        <f>74.57+19.31</f>
        <v>93.88</v>
      </c>
      <c r="AA24" s="33">
        <f>74.57+19.31</f>
        <v>93.88</v>
      </c>
      <c r="AB24" s="33">
        <f>74.57+19.31</f>
        <v>93.88</v>
      </c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1472</v>
      </c>
      <c r="D25" s="50" t="s">
        <v>42</v>
      </c>
      <c r="E25" s="32" t="s">
        <v>3</v>
      </c>
      <c r="F25" s="32" t="s">
        <v>1484</v>
      </c>
      <c r="G25" s="32"/>
      <c r="H25" s="32"/>
      <c r="I25" s="32"/>
      <c r="J25" s="32"/>
      <c r="K25" s="33">
        <f>289.89+126.42</f>
        <v>416.31</v>
      </c>
      <c r="L25" s="33">
        <f>289.89+121.49</f>
        <v>411.38</v>
      </c>
      <c r="M25" s="33">
        <f>289.89+115.69</f>
        <v>405.58</v>
      </c>
      <c r="N25" s="33">
        <f>113.03+287.13</f>
        <v>400.15999999999997</v>
      </c>
      <c r="O25" s="33">
        <f>287.13+104.24</f>
        <v>391.37</v>
      </c>
      <c r="P25" s="33">
        <f>80.82+287.13</f>
        <v>367.95</v>
      </c>
      <c r="Q25" s="33">
        <f>313.38+125.55</f>
        <v>438.93</v>
      </c>
      <c r="R25" s="33">
        <f>120.39+299.10</f>
        <v>419.49</v>
      </c>
      <c r="S25" s="32"/>
      <c r="T25" s="33">
        <f>305.38+112.93</f>
        <v>418.31</v>
      </c>
      <c r="U25" s="33">
        <f>110.97+305.38</f>
        <v>416.35</v>
      </c>
      <c r="V25" s="33">
        <f>71.06+305.38</f>
        <v>376.44</v>
      </c>
      <c r="W25" s="33">
        <f>302.65+70.50</f>
        <v>373.15</v>
      </c>
      <c r="X25" s="33">
        <f>302.65+77.60</f>
        <v>380.25</v>
      </c>
      <c r="Y25" s="33">
        <f>61.28+300.58</f>
        <v>361.86</v>
      </c>
      <c r="Z25" s="33">
        <f>300.58+60.62</f>
        <v>361.2</v>
      </c>
      <c r="AA25" s="33">
        <f>60.82+300.58</f>
        <v>361.4</v>
      </c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1472</v>
      </c>
      <c r="D26" s="50" t="s">
        <v>42</v>
      </c>
      <c r="E26" s="32" t="s">
        <v>3</v>
      </c>
      <c r="F26" s="32" t="s">
        <v>1485</v>
      </c>
      <c r="G26" s="32"/>
      <c r="H26" s="32"/>
      <c r="I26" s="32"/>
      <c r="J26" s="32"/>
      <c r="K26" s="33">
        <v>732.39</v>
      </c>
      <c r="L26" s="33">
        <v>908.44</v>
      </c>
      <c r="M26" s="33">
        <v>821.21</v>
      </c>
      <c r="N26" s="33">
        <v>714.96</v>
      </c>
      <c r="O26" s="33">
        <v>426.91</v>
      </c>
      <c r="P26" s="33">
        <v>352.73</v>
      </c>
      <c r="Q26" s="33">
        <v>329.42</v>
      </c>
      <c r="R26" s="33">
        <v>211.16</v>
      </c>
      <c r="S26" s="33">
        <v>182.67</v>
      </c>
      <c r="T26" s="33">
        <v>126.11</v>
      </c>
      <c r="U26" s="33">
        <v>19.31</v>
      </c>
      <c r="V26" s="33">
        <v>19.31</v>
      </c>
      <c r="W26" s="33">
        <v>19.31</v>
      </c>
      <c r="X26" s="33">
        <v>445.78</v>
      </c>
      <c r="Y26" s="33">
        <v>434.21</v>
      </c>
      <c r="Z26" s="33">
        <v>787.54</v>
      </c>
      <c r="AA26" s="33">
        <v>531.63</v>
      </c>
      <c r="AB26" s="33">
        <v>365.03</v>
      </c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1472</v>
      </c>
      <c r="D27" s="50" t="s">
        <v>42</v>
      </c>
      <c r="E27" s="32" t="s">
        <v>3</v>
      </c>
      <c r="F27" s="32" t="s">
        <v>1486</v>
      </c>
      <c r="G27" s="32"/>
      <c r="H27" s="32"/>
      <c r="I27" s="32"/>
      <c r="J27" s="32"/>
      <c r="K27" s="33">
        <v>47.55</v>
      </c>
      <c r="L27" s="33">
        <v>28.88</v>
      </c>
      <c r="M27" s="33">
        <v>29.33</v>
      </c>
      <c r="N27" s="33">
        <v>26.9</v>
      </c>
      <c r="O27" s="33">
        <v>26.68</v>
      </c>
      <c r="P27" s="33">
        <v>27.95</v>
      </c>
      <c r="Q27" s="33">
        <v>26.75</v>
      </c>
      <c r="R27" s="33">
        <v>26.75</v>
      </c>
      <c r="S27" s="33">
        <v>27.45</v>
      </c>
      <c r="T27" s="33">
        <v>25.52</v>
      </c>
      <c r="U27" s="33">
        <v>24.03</v>
      </c>
      <c r="V27" s="33">
        <v>28.73</v>
      </c>
      <c r="W27" s="33">
        <v>31.12</v>
      </c>
      <c r="X27" s="33">
        <v>24.72</v>
      </c>
      <c r="Y27" s="33">
        <v>25.39</v>
      </c>
      <c r="Z27" s="33">
        <v>25.05</v>
      </c>
      <c r="AA27" s="33">
        <v>25.39</v>
      </c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1472</v>
      </c>
      <c r="D28" s="50" t="s">
        <v>42</v>
      </c>
      <c r="E28" s="32" t="s">
        <v>3</v>
      </c>
      <c r="F28" s="32" t="s">
        <v>1487</v>
      </c>
      <c r="G28" s="32"/>
      <c r="H28" s="32"/>
      <c r="I28" s="32"/>
      <c r="J28" s="32"/>
      <c r="K28" s="33">
        <v>25.51</v>
      </c>
      <c r="L28" s="33">
        <v>27.31</v>
      </c>
      <c r="M28" s="33">
        <v>30.52</v>
      </c>
      <c r="N28" s="33">
        <v>14.55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1472</v>
      </c>
      <c r="D29" s="50" t="s">
        <v>42</v>
      </c>
      <c r="E29" s="32" t="s">
        <v>3</v>
      </c>
      <c r="F29" s="32" t="s">
        <v>1488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>
        <v>24.69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1472</v>
      </c>
      <c r="D30" s="50" t="s">
        <v>42</v>
      </c>
      <c r="E30" s="32" t="s">
        <v>3</v>
      </c>
      <c r="F30" s="32" t="s">
        <v>1489</v>
      </c>
      <c r="G30" s="32"/>
      <c r="H30" s="32"/>
      <c r="I30" s="32"/>
      <c r="J30" s="32"/>
      <c r="K30" s="33">
        <v>18.5</v>
      </c>
      <c r="L30" s="33">
        <v>32.73</v>
      </c>
      <c r="M30" s="33">
        <v>37.25</v>
      </c>
      <c r="N30" s="33">
        <v>22.37</v>
      </c>
      <c r="O30" s="33">
        <v>60.65</v>
      </c>
      <c r="P30" s="33">
        <v>60.83</v>
      </c>
      <c r="Q30" s="33">
        <v>45.56</v>
      </c>
      <c r="R30" s="33">
        <v>51.26</v>
      </c>
      <c r="S30" s="33">
        <v>117.51</v>
      </c>
      <c r="T30" s="33">
        <v>84.71</v>
      </c>
      <c r="U30" s="33">
        <v>73.54</v>
      </c>
      <c r="V30" s="33">
        <v>43.86</v>
      </c>
      <c r="W30" s="33">
        <v>42.37</v>
      </c>
      <c r="X30" s="33">
        <v>43.82</v>
      </c>
      <c r="Y30" s="33">
        <v>40.25</v>
      </c>
      <c r="Z30" s="33">
        <v>69.81</v>
      </c>
      <c r="AA30" s="33">
        <v>91.88</v>
      </c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1472</v>
      </c>
      <c r="D31" s="50" t="s">
        <v>42</v>
      </c>
      <c r="E31" s="32" t="s">
        <v>3</v>
      </c>
      <c r="F31" s="32" t="s">
        <v>1490</v>
      </c>
      <c r="G31" s="32"/>
      <c r="H31" s="32"/>
      <c r="I31" s="32"/>
      <c r="J31" s="32"/>
      <c r="K31" s="33">
        <v>92.23</v>
      </c>
      <c r="L31" s="33">
        <f>80.73+22.88</f>
        <v>103.61</v>
      </c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1472</v>
      </c>
      <c r="D32" s="50" t="s">
        <v>42</v>
      </c>
      <c r="E32" s="32" t="s">
        <v>3</v>
      </c>
      <c r="F32" s="32" t="s">
        <v>1491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3">
        <v>15.2</v>
      </c>
      <c r="T32" s="33">
        <v>15.76</v>
      </c>
      <c r="U32" s="33">
        <v>15.76</v>
      </c>
      <c r="V32" s="33">
        <v>15.76</v>
      </c>
      <c r="W32" s="33">
        <v>15.76</v>
      </c>
      <c r="X32" s="33">
        <v>15.76</v>
      </c>
      <c r="Y32" s="33">
        <v>15.76</v>
      </c>
      <c r="Z32" s="33">
        <v>15.76</v>
      </c>
      <c r="AA32" s="33">
        <v>15.76</v>
      </c>
      <c r="AB32" s="33">
        <v>15.76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1472</v>
      </c>
      <c r="D33" s="50" t="s">
        <v>42</v>
      </c>
      <c r="E33" s="32" t="s">
        <v>3</v>
      </c>
      <c r="F33" s="32" t="s">
        <v>1492</v>
      </c>
      <c r="G33" s="32"/>
      <c r="H33" s="32"/>
      <c r="I33" s="32"/>
      <c r="J33" s="32"/>
      <c r="K33" s="33">
        <v>15.2</v>
      </c>
      <c r="L33" s="33">
        <v>15.2</v>
      </c>
      <c r="M33" s="33">
        <v>15.2</v>
      </c>
      <c r="N33" s="33">
        <v>15.2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1472</v>
      </c>
      <c r="D34" s="50" t="s">
        <v>42</v>
      </c>
      <c r="E34" s="32" t="s">
        <v>3</v>
      </c>
      <c r="F34" s="32" t="s">
        <v>1493</v>
      </c>
      <c r="G34" s="32"/>
      <c r="H34" s="32"/>
      <c r="I34" s="32"/>
      <c r="J34" s="32"/>
      <c r="K34" s="32"/>
      <c r="L34" s="32"/>
      <c r="M34" s="32"/>
      <c r="N34" s="32"/>
      <c r="O34" s="33">
        <v>19.23</v>
      </c>
      <c r="P34" s="33">
        <v>20.3</v>
      </c>
      <c r="Q34" s="33">
        <v>20.68</v>
      </c>
      <c r="R34" s="33">
        <v>20.89</v>
      </c>
      <c r="S34" s="32"/>
      <c r="T34" s="33">
        <v>18.24</v>
      </c>
      <c r="U34" s="33">
        <v>15.76</v>
      </c>
      <c r="V34" s="33">
        <v>15.76</v>
      </c>
      <c r="W34" s="33">
        <v>15.76</v>
      </c>
      <c r="X34" s="33">
        <v>15.76</v>
      </c>
      <c r="Y34" s="33">
        <v>15.76</v>
      </c>
      <c r="Z34" s="33">
        <v>15.76</v>
      </c>
      <c r="AA34" s="33">
        <v>15.76</v>
      </c>
      <c r="AB34" s="33">
        <v>15.76</v>
      </c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1472</v>
      </c>
      <c r="D35" s="50" t="s">
        <v>42</v>
      </c>
      <c r="E35" s="32" t="s">
        <v>3</v>
      </c>
      <c r="F35" s="32" t="s">
        <v>1494</v>
      </c>
      <c r="G35" s="32"/>
      <c r="H35" s="32"/>
      <c r="I35" s="32"/>
      <c r="J35" s="32"/>
      <c r="K35" s="33">
        <v>108.29</v>
      </c>
      <c r="L35" s="33">
        <v>26.41</v>
      </c>
      <c r="M35" s="33">
        <v>20.21</v>
      </c>
      <c r="N35" s="33">
        <v>20.4</v>
      </c>
      <c r="O35" s="33">
        <v>20.3</v>
      </c>
      <c r="P35" s="33">
        <v>20.79</v>
      </c>
      <c r="Q35" s="33">
        <v>20.89</v>
      </c>
      <c r="R35" s="33">
        <v>48.37</v>
      </c>
      <c r="S35" s="33">
        <v>43.86</v>
      </c>
      <c r="T35" s="33">
        <v>21.01</v>
      </c>
      <c r="U35" s="33">
        <v>21.33</v>
      </c>
      <c r="V35" s="33">
        <v>21.13</v>
      </c>
      <c r="W35" s="33">
        <v>21.32</v>
      </c>
      <c r="X35" s="33">
        <v>22.39</v>
      </c>
      <c r="Y35" s="33">
        <v>20.71</v>
      </c>
      <c r="Z35" s="33">
        <v>21.32</v>
      </c>
      <c r="AA35" s="33">
        <v>21.32</v>
      </c>
      <c r="AB35" s="33">
        <v>21.55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1472</v>
      </c>
      <c r="D36" s="50" t="s">
        <v>42</v>
      </c>
      <c r="E36" s="32" t="s">
        <v>3</v>
      </c>
      <c r="F36" s="32" t="s">
        <v>1495</v>
      </c>
      <c r="G36" s="32"/>
      <c r="H36" s="32"/>
      <c r="I36" s="32"/>
      <c r="J36" s="32"/>
      <c r="K36" s="32"/>
      <c r="L36" s="32"/>
      <c r="M36" s="33">
        <v>11.66</v>
      </c>
      <c r="N36" s="32"/>
      <c r="O36" s="32"/>
      <c r="P36" s="32"/>
      <c r="Q36" s="33">
        <v>13.68</v>
      </c>
      <c r="R36" s="32"/>
      <c r="S36" s="32"/>
      <c r="T36" s="32"/>
      <c r="U36" s="32"/>
      <c r="V36" s="32"/>
      <c r="W36" s="32"/>
      <c r="X36" s="32"/>
      <c r="Y36" s="32"/>
      <c r="Z36" s="33">
        <v>15.87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1472</v>
      </c>
      <c r="D37" s="50" t="s">
        <v>42</v>
      </c>
      <c r="E37" s="32" t="s">
        <v>3</v>
      </c>
      <c r="F37" s="32" t="s">
        <v>1496</v>
      </c>
      <c r="G37" s="32"/>
      <c r="H37" s="32"/>
      <c r="I37" s="32"/>
      <c r="J37" s="32"/>
      <c r="K37" s="33">
        <v>28.11</v>
      </c>
      <c r="L37" s="33">
        <v>27.72</v>
      </c>
      <c r="M37" s="33">
        <v>30.61</v>
      </c>
      <c r="N37" s="33">
        <v>32.07</v>
      </c>
      <c r="O37" s="33">
        <v>38.85</v>
      </c>
      <c r="P37" s="33">
        <v>45.41</v>
      </c>
      <c r="Q37" s="33">
        <v>43.98</v>
      </c>
      <c r="R37" s="33">
        <v>45.27</v>
      </c>
      <c r="S37" s="33">
        <f>51.47+12.63</f>
        <v>64.1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1472</v>
      </c>
      <c r="D38" s="50" t="s">
        <v>42</v>
      </c>
      <c r="E38" s="32" t="s">
        <v>3</v>
      </c>
      <c r="F38" s="32" t="s">
        <v>1497</v>
      </c>
      <c r="G38" s="32"/>
      <c r="H38" s="32"/>
      <c r="I38" s="32"/>
      <c r="J38" s="32"/>
      <c r="K38" s="33">
        <v>15.2</v>
      </c>
      <c r="L38" s="33">
        <v>15.2</v>
      </c>
      <c r="M38" s="33">
        <v>15.2</v>
      </c>
      <c r="N38" s="33">
        <v>15.2</v>
      </c>
      <c r="O38" s="33">
        <v>15.2</v>
      </c>
      <c r="P38" s="33">
        <v>15.2</v>
      </c>
      <c r="Q38" s="33">
        <v>15.2</v>
      </c>
      <c r="R38" s="33">
        <v>15.2</v>
      </c>
      <c r="S38" s="33">
        <v>15.2</v>
      </c>
      <c r="T38" s="33">
        <v>15.76</v>
      </c>
      <c r="U38" s="33">
        <v>15.76</v>
      </c>
      <c r="V38" s="33">
        <v>15.76</v>
      </c>
      <c r="W38" s="33">
        <v>15.76</v>
      </c>
      <c r="X38" s="33">
        <v>15.76</v>
      </c>
      <c r="Y38" s="33">
        <v>15.76</v>
      </c>
      <c r="Z38" s="33">
        <v>15.76</v>
      </c>
      <c r="AA38" s="33">
        <v>15.76</v>
      </c>
      <c r="AB38" s="33">
        <v>15.76</v>
      </c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1472</v>
      </c>
      <c r="D39" s="50" t="s">
        <v>42</v>
      </c>
      <c r="E39" s="32" t="s">
        <v>3</v>
      </c>
      <c r="F39" s="32" t="s">
        <v>1498</v>
      </c>
      <c r="G39" s="32"/>
      <c r="H39" s="32"/>
      <c r="I39" s="32"/>
      <c r="J39" s="32"/>
      <c r="K39" s="33">
        <v>58.09</v>
      </c>
      <c r="L39" s="33">
        <v>63.5</v>
      </c>
      <c r="M39" s="33">
        <v>75.13</v>
      </c>
      <c r="N39" s="33">
        <v>41.5</v>
      </c>
      <c r="O39" s="33">
        <v>75.11</v>
      </c>
      <c r="P39" s="33">
        <v>86.64</v>
      </c>
      <c r="Q39" s="33">
        <v>73.18</v>
      </c>
      <c r="R39" s="33">
        <v>67.48</v>
      </c>
      <c r="S39" s="33">
        <v>59.65</v>
      </c>
      <c r="T39" s="33">
        <f>55.11+6.60</f>
        <v>61.71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1472</v>
      </c>
      <c r="D40" s="50" t="s">
        <v>42</v>
      </c>
      <c r="E40" s="32" t="s">
        <v>3</v>
      </c>
      <c r="F40" s="32" t="s">
        <v>1499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3">
        <v>38.17</v>
      </c>
      <c r="T40" s="33">
        <v>39.77</v>
      </c>
      <c r="U40" s="33">
        <v>31.1</v>
      </c>
      <c r="V40" s="33">
        <v>19.85</v>
      </c>
      <c r="W40" s="33">
        <v>19.13</v>
      </c>
      <c r="X40" s="33">
        <v>24.05</v>
      </c>
      <c r="Y40" s="33">
        <v>19.33</v>
      </c>
      <c r="Z40" s="33">
        <v>19.33</v>
      </c>
      <c r="AA40" s="33">
        <v>19.55</v>
      </c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1472</v>
      </c>
      <c r="D41" s="50" t="s">
        <v>42</v>
      </c>
      <c r="E41" s="32" t="s">
        <v>3</v>
      </c>
      <c r="F41" s="32" t="s">
        <v>1500</v>
      </c>
      <c r="G41" s="32"/>
      <c r="H41" s="32"/>
      <c r="I41" s="32"/>
      <c r="J41" s="32"/>
      <c r="K41" s="33">
        <v>15.4</v>
      </c>
      <c r="L41" s="33">
        <v>15.2</v>
      </c>
      <c r="M41" s="33">
        <v>15.2</v>
      </c>
      <c r="N41" s="33">
        <v>15.2</v>
      </c>
      <c r="O41" s="33">
        <v>6.08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1472</v>
      </c>
      <c r="D42" s="50" t="s">
        <v>42</v>
      </c>
      <c r="E42" s="32" t="s">
        <v>3</v>
      </c>
      <c r="F42" s="32" t="s">
        <v>1501</v>
      </c>
      <c r="G42" s="32"/>
      <c r="H42" s="32"/>
      <c r="I42" s="32"/>
      <c r="J42" s="32"/>
      <c r="K42" s="33">
        <v>21.92</v>
      </c>
      <c r="L42" s="33">
        <v>23.5</v>
      </c>
      <c r="M42" s="33">
        <f>36.35+5.93</f>
        <v>42.28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1472</v>
      </c>
      <c r="D43" s="50" t="s">
        <v>42</v>
      </c>
      <c r="E43" s="32" t="s">
        <v>3</v>
      </c>
      <c r="F43" s="32" t="s">
        <v>1502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3">
        <v>42.41</v>
      </c>
      <c r="S43" s="32"/>
      <c r="T43" s="33">
        <v>32.65</v>
      </c>
      <c r="U43" s="33">
        <v>15.76</v>
      </c>
      <c r="V43" s="33">
        <v>15.76</v>
      </c>
      <c r="W43" s="33">
        <v>15.76</v>
      </c>
      <c r="X43" s="33">
        <v>15.76</v>
      </c>
      <c r="Y43" s="33">
        <v>15.76</v>
      </c>
      <c r="Z43" s="33">
        <v>15.76</v>
      </c>
      <c r="AA43" s="33">
        <v>15.76</v>
      </c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1472</v>
      </c>
      <c r="D44" s="50" t="s">
        <v>42</v>
      </c>
      <c r="E44" s="32" t="s">
        <v>3</v>
      </c>
      <c r="F44" s="32" t="s">
        <v>1503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3">
        <v>15.2</v>
      </c>
      <c r="T44" s="33">
        <v>15.76</v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1472</v>
      </c>
      <c r="D45" s="50" t="s">
        <v>42</v>
      </c>
      <c r="E45" s="32" t="s">
        <v>3</v>
      </c>
      <c r="F45" s="32" t="s">
        <v>1504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3">
        <v>15.27</v>
      </c>
      <c r="S45" s="32"/>
      <c r="T45" s="33">
        <v>24.49</v>
      </c>
      <c r="U45" s="33">
        <v>20.8</v>
      </c>
      <c r="V45" s="33">
        <v>21.33</v>
      </c>
      <c r="W45" s="33">
        <v>20.48</v>
      </c>
      <c r="X45" s="33">
        <v>25.01</v>
      </c>
      <c r="Y45" s="33">
        <v>21.87</v>
      </c>
      <c r="Z45" s="33">
        <v>29.01</v>
      </c>
      <c r="AA45" s="33">
        <v>38.07</v>
      </c>
      <c r="AB45" s="33">
        <v>52.45</v>
      </c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1472</v>
      </c>
      <c r="D46" s="50" t="s">
        <v>42</v>
      </c>
      <c r="E46" s="32" t="s">
        <v>3</v>
      </c>
      <c r="F46" s="32" t="s">
        <v>1505</v>
      </c>
      <c r="G46" s="32"/>
      <c r="H46" s="32"/>
      <c r="I46" s="32"/>
      <c r="J46" s="32"/>
      <c r="K46" s="33">
        <v>15.99</v>
      </c>
      <c r="L46" s="33">
        <v>16.99</v>
      </c>
      <c r="M46" s="33">
        <v>16.91</v>
      </c>
      <c r="N46" s="33">
        <v>16.95</v>
      </c>
      <c r="O46" s="33">
        <v>27.46</v>
      </c>
      <c r="P46" s="33">
        <v>39.53</v>
      </c>
      <c r="Q46" s="33">
        <v>37.65</v>
      </c>
      <c r="R46" s="33">
        <v>28.4</v>
      </c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1472</v>
      </c>
      <c r="D47" s="50" t="s">
        <v>42</v>
      </c>
      <c r="E47" s="32" t="s">
        <v>3</v>
      </c>
      <c r="F47" s="32" t="s">
        <v>1506</v>
      </c>
      <c r="G47" s="32"/>
      <c r="H47" s="32"/>
      <c r="I47" s="32"/>
      <c r="J47" s="32"/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1472</v>
      </c>
      <c r="D48" s="50" t="s">
        <v>42</v>
      </c>
      <c r="E48" s="32" t="s">
        <v>3</v>
      </c>
      <c r="F48" s="32" t="s">
        <v>1507</v>
      </c>
      <c r="G48" s="32"/>
      <c r="H48" s="32"/>
      <c r="I48" s="32"/>
      <c r="J48" s="32"/>
      <c r="K48" s="33">
        <v>25.7</v>
      </c>
      <c r="L48" s="33">
        <v>26.41</v>
      </c>
      <c r="M48" s="33">
        <v>27.72</v>
      </c>
      <c r="N48" s="33">
        <v>29.23</v>
      </c>
      <c r="O48" s="33">
        <v>34.92</v>
      </c>
      <c r="P48" s="33">
        <v>41.7</v>
      </c>
      <c r="Q48" s="33">
        <v>40.43</v>
      </c>
      <c r="R48" s="33">
        <v>46.43</v>
      </c>
      <c r="S48" s="33">
        <v>33.44</v>
      </c>
      <c r="T48" s="33">
        <v>28.3</v>
      </c>
      <c r="U48" s="33">
        <v>14.62</v>
      </c>
      <c r="V48" s="33">
        <v>15.76</v>
      </c>
      <c r="W48" s="33">
        <v>15.76</v>
      </c>
      <c r="X48" s="33">
        <v>15.76</v>
      </c>
      <c r="Y48" s="33">
        <v>15.76</v>
      </c>
      <c r="Z48" s="33">
        <v>15.76</v>
      </c>
      <c r="AA48" s="33">
        <v>15.76</v>
      </c>
      <c r="AB48" s="33">
        <v>15.76</v>
      </c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1472</v>
      </c>
      <c r="D49" s="50" t="s">
        <v>42</v>
      </c>
      <c r="E49" s="32" t="s">
        <v>3</v>
      </c>
      <c r="F49" s="32" t="s">
        <v>1508</v>
      </c>
      <c r="G49" s="32"/>
      <c r="H49" s="32"/>
      <c r="I49" s="32"/>
      <c r="J49" s="32"/>
      <c r="K49" s="33">
        <v>15.2</v>
      </c>
      <c r="L49" s="33">
        <v>15.2</v>
      </c>
      <c r="M49" s="33">
        <v>15.2</v>
      </c>
      <c r="N49" s="33">
        <v>15.2</v>
      </c>
      <c r="O49" s="33">
        <v>15.2</v>
      </c>
      <c r="P49" s="33">
        <v>15.2</v>
      </c>
      <c r="Q49" s="33">
        <v>15.2</v>
      </c>
      <c r="R49" s="33">
        <v>15.2</v>
      </c>
      <c r="S49" s="33">
        <v>15.2</v>
      </c>
      <c r="T49" s="33">
        <v>15.76</v>
      </c>
      <c r="U49" s="33">
        <v>15.76</v>
      </c>
      <c r="V49" s="33">
        <v>15.76</v>
      </c>
      <c r="W49" s="33">
        <v>15.76</v>
      </c>
      <c r="X49" s="33">
        <v>15.76</v>
      </c>
      <c r="Y49" s="33">
        <f>15.76+6.84</f>
        <v>22.6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1472</v>
      </c>
      <c r="D50" s="50" t="s">
        <v>42</v>
      </c>
      <c r="E50" s="32" t="s">
        <v>3</v>
      </c>
      <c r="F50" s="32" t="s">
        <v>1509</v>
      </c>
      <c r="G50" s="32"/>
      <c r="H50" s="32"/>
      <c r="I50" s="32"/>
      <c r="J50" s="32"/>
      <c r="K50" s="33">
        <v>15.2</v>
      </c>
      <c r="L50" s="33">
        <v>15.2</v>
      </c>
      <c r="M50" s="33">
        <v>15.2</v>
      </c>
      <c r="N50" s="33">
        <v>15.2</v>
      </c>
      <c r="O50" s="33">
        <v>15.2</v>
      </c>
      <c r="P50" s="33">
        <v>15.2</v>
      </c>
      <c r="Q50" s="33">
        <v>15.2</v>
      </c>
      <c r="R50" s="32"/>
      <c r="S50" s="33">
        <v>15.2</v>
      </c>
      <c r="T50" s="33">
        <v>15.76</v>
      </c>
      <c r="U50" s="33">
        <v>14.62</v>
      </c>
      <c r="V50" s="33">
        <v>15.76</v>
      </c>
      <c r="W50" s="33">
        <v>15.76</v>
      </c>
      <c r="X50" s="33">
        <v>15.76</v>
      </c>
      <c r="Y50" s="33">
        <v>15.76</v>
      </c>
      <c r="Z50" s="33">
        <v>15.76</v>
      </c>
      <c r="AA50" s="33">
        <v>15.76</v>
      </c>
      <c r="AB50" s="33">
        <v>15.76</v>
      </c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1472</v>
      </c>
      <c r="D51" s="50" t="s">
        <v>42</v>
      </c>
      <c r="E51" s="32" t="s">
        <v>3</v>
      </c>
      <c r="F51" s="32" t="s">
        <v>1510</v>
      </c>
      <c r="G51" s="32"/>
      <c r="H51" s="32"/>
      <c r="I51" s="32"/>
      <c r="J51" s="32"/>
      <c r="K51" s="33">
        <v>15.2</v>
      </c>
      <c r="L51" s="33">
        <v>15.2</v>
      </c>
      <c r="M51" s="33">
        <v>15.2</v>
      </c>
      <c r="N51" s="33">
        <v>15.2</v>
      </c>
      <c r="O51" s="33">
        <v>15.2</v>
      </c>
      <c r="P51" s="33">
        <v>15.2</v>
      </c>
      <c r="Q51" s="33">
        <v>15.2</v>
      </c>
      <c r="R51" s="33">
        <v>15.2</v>
      </c>
      <c r="S51" s="33">
        <v>15.2</v>
      </c>
      <c r="T51" s="33">
        <v>15.76</v>
      </c>
      <c r="U51" s="33">
        <v>15.76</v>
      </c>
      <c r="V51" s="33">
        <v>15.76</v>
      </c>
      <c r="W51" s="33">
        <v>15.76</v>
      </c>
      <c r="X51" s="33">
        <v>15.76</v>
      </c>
      <c r="Y51" s="33">
        <v>15.76</v>
      </c>
      <c r="Z51" s="33">
        <v>15.76</v>
      </c>
      <c r="AA51" s="33">
        <v>15.76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1472</v>
      </c>
      <c r="D52" s="50" t="s">
        <v>42</v>
      </c>
      <c r="E52" s="32" t="s">
        <v>3</v>
      </c>
      <c r="F52" s="32" t="s">
        <v>1511</v>
      </c>
      <c r="G52" s="32"/>
      <c r="H52" s="32"/>
      <c r="I52" s="32"/>
      <c r="J52" s="32"/>
      <c r="K52" s="33">
        <v>15.2</v>
      </c>
      <c r="L52" s="33">
        <v>15.2</v>
      </c>
      <c r="M52" s="33">
        <v>15.2</v>
      </c>
      <c r="N52" s="33">
        <v>15.2</v>
      </c>
      <c r="O52" s="33">
        <v>15.2</v>
      </c>
      <c r="P52" s="33">
        <v>15.2</v>
      </c>
      <c r="Q52" s="33">
        <v>15.2</v>
      </c>
      <c r="R52" s="33">
        <v>15.2</v>
      </c>
      <c r="S52" s="32"/>
      <c r="T52" s="33">
        <v>15.76</v>
      </c>
      <c r="U52" s="33">
        <v>15.76</v>
      </c>
      <c r="V52" s="33">
        <v>15.76</v>
      </c>
      <c r="W52" s="33">
        <v>15.76</v>
      </c>
      <c r="X52" s="33">
        <v>15.76</v>
      </c>
      <c r="Y52" s="33">
        <v>15.76</v>
      </c>
      <c r="Z52" s="33">
        <v>15.76</v>
      </c>
      <c r="AA52" s="33">
        <v>15.76</v>
      </c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1472</v>
      </c>
      <c r="D53" s="50" t="s">
        <v>42</v>
      </c>
      <c r="E53" s="32" t="s">
        <v>3</v>
      </c>
      <c r="F53" s="32" t="s">
        <v>1512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3">
        <v>27.81</v>
      </c>
      <c r="Z53" s="33">
        <v>19.44</v>
      </c>
      <c r="AA53" s="33">
        <v>19.31</v>
      </c>
      <c r="AB53" s="33">
        <v>19.31</v>
      </c>
      <c r="AC53" s="32"/>
      <c r="AD53" s="32"/>
      <c r="AE53" s="32"/>
      <c r="AF53" s="32"/>
      <c r="AG53" s="32"/>
      <c r="AH53" s="32"/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1472</v>
      </c>
      <c r="D54" s="50" t="s">
        <v>42</v>
      </c>
      <c r="E54" s="32" t="s">
        <v>3</v>
      </c>
      <c r="F54" s="32" t="s">
        <v>1513</v>
      </c>
      <c r="G54" s="32"/>
      <c r="H54" s="32"/>
      <c r="I54" s="32"/>
      <c r="J54" s="32"/>
      <c r="K54" s="32"/>
      <c r="L54" s="32"/>
      <c r="M54" s="33">
        <v>0.52</v>
      </c>
      <c r="N54" s="33">
        <v>15.2</v>
      </c>
      <c r="O54" s="33">
        <v>15.2</v>
      </c>
      <c r="P54" s="33">
        <v>15.2</v>
      </c>
      <c r="Q54" s="33">
        <v>15.2</v>
      </c>
      <c r="R54" s="33">
        <v>15.2</v>
      </c>
      <c r="S54" s="33">
        <v>15.2</v>
      </c>
      <c r="T54" s="33">
        <v>16.18</v>
      </c>
      <c r="U54" s="33">
        <v>26.8</v>
      </c>
      <c r="V54" s="33">
        <v>42.12</v>
      </c>
      <c r="W54" s="33">
        <v>60.66</v>
      </c>
      <c r="X54" s="33">
        <v>58.99</v>
      </c>
      <c r="Y54" s="33">
        <v>42.57</v>
      </c>
      <c r="Z54" s="33">
        <v>52.45</v>
      </c>
      <c r="AA54" s="33">
        <v>64.24</v>
      </c>
      <c r="AB54" s="33">
        <v>76.53</v>
      </c>
      <c r="AC54" s="32"/>
      <c r="AD54" s="32"/>
      <c r="AE54" s="32"/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51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40"/>
    </row>
    <row r="56" ht="13.5" customHeight="1" spans="2:39" x14ac:dyDescent="0.25">
      <c r="B56" s="20"/>
      <c r="C56" s="21"/>
      <c r="D56" s="21" t="s">
        <v>85</v>
      </c>
      <c r="E56" s="21"/>
      <c r="F56" s="21"/>
      <c r="G56" s="22">
        <f>SUM(G14:G54)</f>
      </c>
      <c r="H56" s="22">
        <f>SUM(H14:H54)</f>
      </c>
      <c r="I56" s="22">
        <f>SUM(I14:I54)</f>
      </c>
      <c r="J56" s="22">
        <f>SUM(J14:J54)</f>
      </c>
      <c r="K56" s="22">
        <f>SUM(K14:K54)</f>
      </c>
      <c r="L56" s="22">
        <f>SUM(L14:L54)</f>
      </c>
      <c r="M56" s="22">
        <f>SUM(M14:M54)</f>
      </c>
      <c r="N56" s="22">
        <f>SUM(N14:N54)</f>
      </c>
      <c r="O56" s="22">
        <f>SUM(O14:O54)</f>
      </c>
      <c r="P56" s="22">
        <f>SUM(P14:P54)</f>
      </c>
      <c r="Q56" s="22">
        <f>SUM(Q14:Q54)</f>
      </c>
      <c r="R56" s="22">
        <f>SUM(R14:R54)</f>
      </c>
      <c r="S56" s="22">
        <f>SUM(S14:S54)</f>
      </c>
      <c r="T56" s="22">
        <f>SUM(T14:T54)</f>
      </c>
      <c r="U56" s="22">
        <f>SUM(U14:U54)</f>
      </c>
      <c r="V56" s="22">
        <f>SUM(V14:V54)</f>
      </c>
      <c r="W56" s="22">
        <f>SUM(W14:W54)</f>
      </c>
      <c r="X56" s="22">
        <f>SUM(X14:X54)</f>
      </c>
      <c r="Y56" s="22">
        <f>SUM(Y14:Y54)</f>
      </c>
      <c r="Z56" s="22">
        <f>SUM(Z14:Z54)</f>
      </c>
      <c r="AA56" s="22">
        <f>SUM(AA14:AA54)</f>
      </c>
      <c r="AB56" s="22">
        <f>SUM(AB14:AB54)</f>
      </c>
      <c r="AC56" s="22">
        <f>SUM(AC14:AC54)</f>
      </c>
      <c r="AD56" s="22">
        <f>SUM(AD14:AD54)</f>
      </c>
      <c r="AE56" s="22">
        <f>SUM(AE14:AE54)</f>
      </c>
      <c r="AF56" s="22">
        <f>SUM(AF14:AF54)</f>
      </c>
      <c r="AG56" s="22">
        <f>SUM(AG14:AG54)</f>
      </c>
      <c r="AH56" s="22">
        <f>SUM(AH14:AH54)</f>
      </c>
      <c r="AI56" s="22">
        <f>SUM(AI14:AI54)</f>
      </c>
      <c r="AJ56" s="22">
        <f>SUM(AJ14:AJ54)</f>
      </c>
      <c r="AK56" s="22">
        <f>SUM(AK14:AK54)</f>
      </c>
      <c r="AL56" s="22">
        <f>SUM(AL14:AL54)</f>
      </c>
      <c r="AM56" s="23"/>
    </row>
    <row r="58" ht="13.5" customHeight="1" spans="2:39" x14ac:dyDescent="0.25">
      <c r="B58" s="46"/>
      <c r="C58" s="28"/>
      <c r="D58" s="47" t="s">
        <v>43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9"/>
    </row>
    <row r="59" ht="13.5" customHeight="1" spans="2:39" x14ac:dyDescent="0.25">
      <c r="B59" s="48" t="s">
        <v>3</v>
      </c>
      <c r="C59" s="49" t="s">
        <v>1472</v>
      </c>
      <c r="D59" s="50" t="s">
        <v>43</v>
      </c>
      <c r="E59" s="32" t="s">
        <v>3</v>
      </c>
      <c r="F59" s="32" t="s">
        <v>1473</v>
      </c>
      <c r="G59" s="32"/>
      <c r="H59" s="32"/>
      <c r="I59" s="32"/>
      <c r="J59" s="32"/>
      <c r="K59" s="33">
        <v>55.92</v>
      </c>
      <c r="L59" s="33">
        <v>57.01</v>
      </c>
      <c r="M59" s="33">
        <v>55.92</v>
      </c>
      <c r="N59" s="33">
        <f>55.92+50.00</f>
        <v>105.92</v>
      </c>
      <c r="O59" s="33">
        <f>55.92+0.00</f>
        <v>55.92</v>
      </c>
      <c r="P59" s="33">
        <f>55.92+0.00</f>
        <v>55.92</v>
      </c>
      <c r="Q59" s="33">
        <f>55.92+0.00</f>
        <v>55.92</v>
      </c>
      <c r="R59" s="33">
        <f>55.92+0.00</f>
        <v>55.92</v>
      </c>
      <c r="S59" s="33">
        <f>55.92+0.00</f>
        <v>55.92</v>
      </c>
      <c r="T59" s="33">
        <f>58.73+0.00</f>
        <v>58.73</v>
      </c>
      <c r="U59" s="33">
        <f>58.73+0.00</f>
        <v>58.73</v>
      </c>
      <c r="V59" s="33">
        <v>58.73</v>
      </c>
      <c r="W59" s="33">
        <v>58.73</v>
      </c>
      <c r="X59" s="33">
        <v>60.72</v>
      </c>
      <c r="Y59" s="33">
        <v>58.73</v>
      </c>
      <c r="Z59" s="33">
        <v>58.73</v>
      </c>
      <c r="AA59" s="33">
        <v>58.73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1472</v>
      </c>
      <c r="D60" s="50" t="s">
        <v>43</v>
      </c>
      <c r="E60" s="32" t="s">
        <v>3</v>
      </c>
      <c r="F60" s="32" t="s">
        <v>1474</v>
      </c>
      <c r="G60" s="32"/>
      <c r="H60" s="33">
        <v>4097.81</v>
      </c>
      <c r="I60" s="32"/>
      <c r="J60" s="32"/>
      <c r="K60" s="33">
        <v>2098.11</v>
      </c>
      <c r="L60" s="33">
        <f>4292.69+2362.83</f>
        <v>6655.5199999999995</v>
      </c>
      <c r="M60" s="33">
        <f>4172.05+2198.96</f>
        <v>6371.01</v>
      </c>
      <c r="N60" s="33">
        <f>4515.41+2665.38</f>
        <v>7180.79</v>
      </c>
      <c r="O60" s="33">
        <f>4455.09+2583.44</f>
        <v>7038.530000000001</v>
      </c>
      <c r="P60" s="33">
        <f>4292.69+2362.83</f>
        <v>6655.5199999999995</v>
      </c>
      <c r="Q60" s="33">
        <f>3981.81+1940.53</f>
        <v>5922.34</v>
      </c>
      <c r="R60" s="33">
        <f>4301.97+2375.44</f>
        <v>6677.41</v>
      </c>
      <c r="S60" s="33">
        <f>4547.89+2709.50</f>
        <v>7257.39</v>
      </c>
      <c r="T60" s="33">
        <f>4751.19+2905.11</f>
        <v>7656.299999999999</v>
      </c>
      <c r="U60" s="33">
        <f>5189.49+3533.76</f>
        <v>8723.25</v>
      </c>
      <c r="V60" s="33">
        <f>5515.78+4001.76</f>
        <v>9517.54</v>
      </c>
      <c r="W60" s="33">
        <f>5374.55+3799.19+0.00+0.00</f>
        <v>9173.74</v>
      </c>
      <c r="X60" s="33">
        <f>5418.38+3862.06</f>
        <v>9280.44</v>
      </c>
      <c r="Y60" s="33">
        <f>5200.90+3541.53</f>
        <v>8742.43</v>
      </c>
      <c r="Z60" s="33">
        <f>5856.68+4490.71</f>
        <v>10347.39</v>
      </c>
      <c r="AA60" s="33">
        <f>5403.77+3841.10</f>
        <v>9244.87</v>
      </c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1472</v>
      </c>
      <c r="D61" s="50" t="s">
        <v>43</v>
      </c>
      <c r="E61" s="32" t="s">
        <v>3</v>
      </c>
      <c r="F61" s="32" t="s">
        <v>1514</v>
      </c>
      <c r="G61" s="32"/>
      <c r="H61" s="32"/>
      <c r="I61" s="32"/>
      <c r="J61" s="32"/>
      <c r="K61" s="33">
        <f>6961.67+4563.76</f>
        <v>11525.43</v>
      </c>
      <c r="L61" s="33">
        <f>7049.83+4683.51</f>
        <v>11733.34</v>
      </c>
      <c r="M61" s="33">
        <f>6205.35+3536.37</f>
        <v>9741.720000000001</v>
      </c>
      <c r="N61" s="33">
        <f>6242.47+3586.79</f>
        <v>9829.26</v>
      </c>
      <c r="O61" s="33">
        <f>6163.59+3479.64</f>
        <v>9643.23</v>
      </c>
      <c r="P61" s="33">
        <f>6882.79+4456.61</f>
        <v>11339.4</v>
      </c>
      <c r="Q61" s="33">
        <f>6912.13+4544.85</f>
        <v>11456.98</v>
      </c>
      <c r="R61" s="33">
        <f>8113.89+6177.33</f>
        <v>14291.220000000001</v>
      </c>
      <c r="S61" s="33">
        <f>7278.69+5042.79</f>
        <v>12321.48</v>
      </c>
      <c r="T61" s="33">
        <f>7754.40+5612.88</f>
        <v>13367.279999999999</v>
      </c>
      <c r="U61" s="33">
        <f>8105.04+6115.80</f>
        <v>14220.84</v>
      </c>
      <c r="V61" s="33">
        <f>7544.99+5312.53</f>
        <v>12857.52</v>
      </c>
      <c r="W61" s="33">
        <f>7199.22+4816.59</f>
        <v>12015.810000000001</v>
      </c>
      <c r="X61" s="33">
        <f>5649.77+1635.90</f>
        <v>7285.67</v>
      </c>
      <c r="Y61" s="33">
        <f>4048.33+740.66</f>
        <v>4788.99</v>
      </c>
      <c r="Z61" s="33">
        <f>4871.36+1477.76</f>
        <v>6349.12</v>
      </c>
      <c r="AA61" s="33">
        <f>7542.03+2099.43</f>
        <v>9641.46</v>
      </c>
      <c r="AB61" s="33">
        <f>8609.33+3657.08</f>
        <v>12266.41</v>
      </c>
      <c r="AC61" s="32"/>
      <c r="AD61" s="32"/>
      <c r="AE61" s="32"/>
      <c r="AF61" s="32"/>
      <c r="AG61" s="32"/>
      <c r="AH61" s="32"/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1472</v>
      </c>
      <c r="D62" s="50" t="s">
        <v>43</v>
      </c>
      <c r="E62" s="32" t="s">
        <v>3</v>
      </c>
      <c r="F62" s="32" t="s">
        <v>1477</v>
      </c>
      <c r="G62" s="32"/>
      <c r="H62" s="32"/>
      <c r="I62" s="32"/>
      <c r="J62" s="32"/>
      <c r="K62" s="32"/>
      <c r="L62" s="32"/>
      <c r="M62" s="32"/>
      <c r="N62" s="32"/>
      <c r="O62" s="32"/>
      <c r="P62" s="33">
        <v>1.3</v>
      </c>
      <c r="Q62" s="33">
        <v>6.52</v>
      </c>
      <c r="R62" s="33">
        <v>6.52</v>
      </c>
      <c r="S62" s="33">
        <v>6.52</v>
      </c>
      <c r="T62" s="32"/>
      <c r="U62" s="33">
        <v>6.52</v>
      </c>
      <c r="V62" s="33">
        <v>6.52</v>
      </c>
      <c r="W62" s="33">
        <v>6.52</v>
      </c>
      <c r="X62" s="33">
        <v>6.52</v>
      </c>
      <c r="Y62" s="33">
        <v>6.52</v>
      </c>
      <c r="Z62" s="33">
        <v>6.52</v>
      </c>
      <c r="AA62" s="33">
        <v>6.52</v>
      </c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1472</v>
      </c>
      <c r="D63" s="50" t="s">
        <v>43</v>
      </c>
      <c r="E63" s="32" t="s">
        <v>3</v>
      </c>
      <c r="F63" s="32" t="s">
        <v>1478</v>
      </c>
      <c r="G63" s="32"/>
      <c r="H63" s="32"/>
      <c r="I63" s="32"/>
      <c r="J63" s="32"/>
      <c r="K63" s="32"/>
      <c r="L63" s="32"/>
      <c r="M63" s="33">
        <v>5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1472</v>
      </c>
      <c r="D64" s="50" t="s">
        <v>43</v>
      </c>
      <c r="E64" s="32" t="s">
        <v>3</v>
      </c>
      <c r="F64" s="32" t="s">
        <v>1479</v>
      </c>
      <c r="G64" s="32"/>
      <c r="H64" s="32"/>
      <c r="I64" s="32"/>
      <c r="J64" s="32"/>
      <c r="K64" s="32"/>
      <c r="L64" s="32"/>
      <c r="M64" s="33">
        <v>6.9</v>
      </c>
      <c r="N64" s="32"/>
      <c r="O64" s="33">
        <v>6.52</v>
      </c>
      <c r="P64" s="33">
        <v>6.52</v>
      </c>
      <c r="Q64" s="33">
        <v>6.52</v>
      </c>
      <c r="R64" s="33">
        <v>6.52</v>
      </c>
      <c r="S64" s="33">
        <v>6.52</v>
      </c>
      <c r="T64" s="32"/>
      <c r="U64" s="33">
        <v>6.52</v>
      </c>
      <c r="V64" s="33">
        <v>6.52</v>
      </c>
      <c r="W64" s="33">
        <v>6.52</v>
      </c>
      <c r="X64" s="33">
        <v>6.52</v>
      </c>
      <c r="Y64" s="33">
        <v>6.52</v>
      </c>
      <c r="Z64" s="33">
        <v>6.52</v>
      </c>
      <c r="AA64" s="33">
        <v>6.52</v>
      </c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1472</v>
      </c>
      <c r="D65" s="50" t="s">
        <v>43</v>
      </c>
      <c r="E65" s="32" t="s">
        <v>3</v>
      </c>
      <c r="F65" s="32" t="s">
        <v>1480</v>
      </c>
      <c r="G65" s="32"/>
      <c r="H65" s="32"/>
      <c r="I65" s="32"/>
      <c r="J65" s="32"/>
      <c r="K65" s="33">
        <f>8.05+4.13</f>
        <v>12.18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1472</v>
      </c>
      <c r="D66" s="50" t="s">
        <v>43</v>
      </c>
      <c r="E66" s="32" t="s">
        <v>3</v>
      </c>
      <c r="F66" s="32" t="s">
        <v>1481</v>
      </c>
      <c r="G66" s="33">
        <f>0.00+0.00+0.00+0.00</f>
        <v>0</v>
      </c>
      <c r="H66" s="32"/>
      <c r="I66" s="32"/>
      <c r="J66" s="32"/>
      <c r="K66" s="32"/>
      <c r="L66" s="32"/>
      <c r="M66" s="33">
        <v>0</v>
      </c>
      <c r="N66" s="33">
        <v>50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2"/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1472</v>
      </c>
      <c r="D67" s="50" t="s">
        <v>43</v>
      </c>
      <c r="E67" s="32" t="s">
        <v>3</v>
      </c>
      <c r="F67" s="32" t="s">
        <v>1482</v>
      </c>
      <c r="G67" s="33">
        <f>0.00+0.00+0.00+0.00</f>
        <v>0</v>
      </c>
      <c r="H67" s="32"/>
      <c r="I67" s="32"/>
      <c r="J67" s="32"/>
      <c r="K67" s="32"/>
      <c r="L67" s="32"/>
      <c r="M67" s="33">
        <v>0</v>
      </c>
      <c r="N67" s="32"/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2"/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1472</v>
      </c>
      <c r="D68" s="50" t="s">
        <v>43</v>
      </c>
      <c r="E68" s="32" t="s">
        <v>3</v>
      </c>
      <c r="F68" s="32" t="s">
        <v>1483</v>
      </c>
      <c r="G68" s="32"/>
      <c r="H68" s="32"/>
      <c r="I68" s="32"/>
      <c r="J68" s="32"/>
      <c r="K68" s="33">
        <v>12.83</v>
      </c>
      <c r="L68" s="33">
        <v>12.83</v>
      </c>
      <c r="M68" s="33">
        <v>12.83</v>
      </c>
      <c r="N68" s="33">
        <v>12.83</v>
      </c>
      <c r="O68" s="33">
        <v>12.83</v>
      </c>
      <c r="P68" s="33">
        <v>12.83</v>
      </c>
      <c r="Q68" s="33">
        <v>12.83</v>
      </c>
      <c r="R68" s="33">
        <v>12.83</v>
      </c>
      <c r="S68" s="33">
        <v>12.83</v>
      </c>
      <c r="T68" s="33">
        <v>12.83</v>
      </c>
      <c r="U68" s="33">
        <v>12.83</v>
      </c>
      <c r="V68" s="33">
        <v>12.83</v>
      </c>
      <c r="W68" s="33">
        <v>12.83</v>
      </c>
      <c r="X68" s="33">
        <v>12.83</v>
      </c>
      <c r="Y68" s="33">
        <v>12.83</v>
      </c>
      <c r="Z68" s="33">
        <v>12.83</v>
      </c>
      <c r="AA68" s="33">
        <v>12.83</v>
      </c>
      <c r="AB68" s="33">
        <v>12.83</v>
      </c>
      <c r="AC68" s="32"/>
      <c r="AD68" s="32"/>
      <c r="AE68" s="32"/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1472</v>
      </c>
      <c r="D69" s="50" t="s">
        <v>43</v>
      </c>
      <c r="E69" s="32" t="s">
        <v>3</v>
      </c>
      <c r="F69" s="32" t="s">
        <v>1485</v>
      </c>
      <c r="G69" s="32"/>
      <c r="H69" s="32"/>
      <c r="I69" s="32"/>
      <c r="J69" s="32"/>
      <c r="K69" s="33">
        <v>55.92</v>
      </c>
      <c r="L69" s="33">
        <v>55.92</v>
      </c>
      <c r="M69" s="33">
        <v>55.92</v>
      </c>
      <c r="N69" s="33">
        <v>55.92</v>
      </c>
      <c r="O69" s="33">
        <v>55.92</v>
      </c>
      <c r="P69" s="33">
        <v>55.92</v>
      </c>
      <c r="Q69" s="33">
        <v>55.92</v>
      </c>
      <c r="R69" s="33">
        <v>55.92</v>
      </c>
      <c r="S69" s="33">
        <v>55.92</v>
      </c>
      <c r="T69" s="33">
        <v>58.73</v>
      </c>
      <c r="U69" s="33">
        <v>58.73</v>
      </c>
      <c r="V69" s="33">
        <v>58.73</v>
      </c>
      <c r="W69" s="33">
        <v>58.73</v>
      </c>
      <c r="X69" s="33">
        <v>58.73</v>
      </c>
      <c r="Y69" s="33">
        <v>58.73</v>
      </c>
      <c r="Z69" s="33">
        <v>58.73</v>
      </c>
      <c r="AA69" s="33">
        <v>58.73</v>
      </c>
      <c r="AB69" s="33">
        <v>58.73</v>
      </c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1472</v>
      </c>
      <c r="D70" s="50" t="s">
        <v>43</v>
      </c>
      <c r="E70" s="32" t="s">
        <v>3</v>
      </c>
      <c r="F70" s="32" t="s">
        <v>1486</v>
      </c>
      <c r="G70" s="32"/>
      <c r="H70" s="32"/>
      <c r="I70" s="32"/>
      <c r="J70" s="32"/>
      <c r="K70" s="33">
        <v>55.92</v>
      </c>
      <c r="L70" s="33">
        <v>55.92</v>
      </c>
      <c r="M70" s="33">
        <v>55.92</v>
      </c>
      <c r="N70" s="33">
        <v>55.92</v>
      </c>
      <c r="O70" s="33">
        <v>55.92</v>
      </c>
      <c r="P70" s="33">
        <v>55.92</v>
      </c>
      <c r="Q70" s="33">
        <v>55.92</v>
      </c>
      <c r="R70" s="33">
        <v>55.92</v>
      </c>
      <c r="S70" s="33">
        <v>55.92</v>
      </c>
      <c r="T70" s="33">
        <v>58.73</v>
      </c>
      <c r="U70" s="33">
        <v>58.73</v>
      </c>
      <c r="V70" s="33">
        <v>58.73</v>
      </c>
      <c r="W70" s="33">
        <v>58.73</v>
      </c>
      <c r="X70" s="33">
        <v>58.73</v>
      </c>
      <c r="Y70" s="33">
        <v>58.73</v>
      </c>
      <c r="Z70" s="33">
        <v>58.73</v>
      </c>
      <c r="AA70" s="33">
        <v>58.73</v>
      </c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1472</v>
      </c>
      <c r="D71" s="50" t="s">
        <v>43</v>
      </c>
      <c r="E71" s="32" t="s">
        <v>3</v>
      </c>
      <c r="F71" s="32" t="s">
        <v>1487</v>
      </c>
      <c r="G71" s="32"/>
      <c r="H71" s="32"/>
      <c r="I71" s="32"/>
      <c r="J71" s="32"/>
      <c r="K71" s="33">
        <v>6.52</v>
      </c>
      <c r="L71" s="33">
        <v>6.52</v>
      </c>
      <c r="M71" s="33">
        <v>6.52</v>
      </c>
      <c r="N71" s="33">
        <v>2.83</v>
      </c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1472</v>
      </c>
      <c r="D72" s="50" t="s">
        <v>43</v>
      </c>
      <c r="E72" s="32" t="s">
        <v>3</v>
      </c>
      <c r="F72" s="32" t="s">
        <v>1488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>
        <v>6.27</v>
      </c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1472</v>
      </c>
      <c r="D73" s="50" t="s">
        <v>43</v>
      </c>
      <c r="E73" s="32" t="s">
        <v>3</v>
      </c>
      <c r="F73" s="32" t="s">
        <v>1489</v>
      </c>
      <c r="G73" s="32"/>
      <c r="H73" s="32"/>
      <c r="I73" s="32"/>
      <c r="J73" s="32"/>
      <c r="K73" s="33">
        <v>6.52</v>
      </c>
      <c r="L73" s="33">
        <v>6.52</v>
      </c>
      <c r="M73" s="33">
        <v>6.52</v>
      </c>
      <c r="N73" s="33">
        <v>6.52</v>
      </c>
      <c r="O73" s="33">
        <v>6.52</v>
      </c>
      <c r="P73" s="33">
        <v>6.52</v>
      </c>
      <c r="Q73" s="33">
        <v>6.52</v>
      </c>
      <c r="R73" s="33">
        <v>6.52</v>
      </c>
      <c r="S73" s="33">
        <v>6.52</v>
      </c>
      <c r="T73" s="33">
        <v>6.52</v>
      </c>
      <c r="U73" s="33">
        <v>6.52</v>
      </c>
      <c r="V73" s="33">
        <v>6.52</v>
      </c>
      <c r="W73" s="33">
        <v>6.52</v>
      </c>
      <c r="X73" s="33">
        <v>6.52</v>
      </c>
      <c r="Y73" s="33">
        <v>6.52</v>
      </c>
      <c r="Z73" s="33">
        <v>6.52</v>
      </c>
      <c r="AA73" s="33">
        <v>6.52</v>
      </c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1472</v>
      </c>
      <c r="D74" s="50" t="s">
        <v>43</v>
      </c>
      <c r="E74" s="32" t="s">
        <v>3</v>
      </c>
      <c r="F74" s="32" t="s">
        <v>1490</v>
      </c>
      <c r="G74" s="32"/>
      <c r="H74" s="32"/>
      <c r="I74" s="32"/>
      <c r="J74" s="32"/>
      <c r="K74" s="33">
        <v>6.52</v>
      </c>
      <c r="L74" s="33">
        <f>6.52+1.74</f>
        <v>8.26</v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1472</v>
      </c>
      <c r="D75" s="50" t="s">
        <v>43</v>
      </c>
      <c r="E75" s="32" t="s">
        <v>3</v>
      </c>
      <c r="F75" s="32" t="s">
        <v>1492</v>
      </c>
      <c r="G75" s="32"/>
      <c r="H75" s="32"/>
      <c r="I75" s="32"/>
      <c r="J75" s="32"/>
      <c r="K75" s="33">
        <v>6.52</v>
      </c>
      <c r="L75" s="33">
        <v>6.52</v>
      </c>
      <c r="M75" s="33">
        <v>6.52</v>
      </c>
      <c r="N75" s="33">
        <v>6.52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1472</v>
      </c>
      <c r="D76" s="50" t="s">
        <v>43</v>
      </c>
      <c r="E76" s="32" t="s">
        <v>3</v>
      </c>
      <c r="F76" s="32" t="s">
        <v>1493</v>
      </c>
      <c r="G76" s="32"/>
      <c r="H76" s="32"/>
      <c r="I76" s="32"/>
      <c r="J76" s="32"/>
      <c r="K76" s="32"/>
      <c r="L76" s="32"/>
      <c r="M76" s="32"/>
      <c r="N76" s="32"/>
      <c r="O76" s="33">
        <v>6.52</v>
      </c>
      <c r="P76" s="33">
        <v>6.52</v>
      </c>
      <c r="Q76" s="33">
        <v>6.52</v>
      </c>
      <c r="R76" s="33">
        <v>6.52</v>
      </c>
      <c r="S76" s="32"/>
      <c r="T76" s="33">
        <v>6.52</v>
      </c>
      <c r="U76" s="33">
        <v>6.52</v>
      </c>
      <c r="V76" s="33">
        <v>6.52</v>
      </c>
      <c r="W76" s="33">
        <v>6.52</v>
      </c>
      <c r="X76" s="33">
        <v>6.52</v>
      </c>
      <c r="Y76" s="33">
        <v>6.52</v>
      </c>
      <c r="Z76" s="33">
        <v>6.52</v>
      </c>
      <c r="AA76" s="33">
        <v>6.52</v>
      </c>
      <c r="AB76" s="33">
        <v>6.52</v>
      </c>
      <c r="AC76" s="32"/>
      <c r="AD76" s="32"/>
      <c r="AE76" s="32"/>
      <c r="AF76" s="32"/>
      <c r="AG76" s="32"/>
      <c r="AH76" s="32"/>
      <c r="AI76" s="32"/>
      <c r="AJ76" s="32"/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1472</v>
      </c>
      <c r="D77" s="50" t="s">
        <v>43</v>
      </c>
      <c r="E77" s="32" t="s">
        <v>3</v>
      </c>
      <c r="F77" s="32" t="s">
        <v>1494</v>
      </c>
      <c r="G77" s="32"/>
      <c r="H77" s="32"/>
      <c r="I77" s="32"/>
      <c r="J77" s="32"/>
      <c r="K77" s="33">
        <v>6.52</v>
      </c>
      <c r="L77" s="33">
        <v>6.52</v>
      </c>
      <c r="M77" s="33">
        <v>6.52</v>
      </c>
      <c r="N77" s="33">
        <v>6.52</v>
      </c>
      <c r="O77" s="33">
        <v>6.52</v>
      </c>
      <c r="P77" s="33">
        <v>6.52</v>
      </c>
      <c r="Q77" s="33">
        <v>6.52</v>
      </c>
      <c r="R77" s="33">
        <v>6.52</v>
      </c>
      <c r="S77" s="33">
        <v>6.52</v>
      </c>
      <c r="T77" s="33">
        <v>6.52</v>
      </c>
      <c r="U77" s="33">
        <v>6.52</v>
      </c>
      <c r="V77" s="33">
        <v>6.52</v>
      </c>
      <c r="W77" s="33">
        <v>6.52</v>
      </c>
      <c r="X77" s="33">
        <v>6.52</v>
      </c>
      <c r="Y77" s="33">
        <v>6.52</v>
      </c>
      <c r="Z77" s="33">
        <v>6.52</v>
      </c>
      <c r="AA77" s="33">
        <v>6.52</v>
      </c>
      <c r="AB77" s="33">
        <v>6.52</v>
      </c>
      <c r="AC77" s="32"/>
      <c r="AD77" s="32"/>
      <c r="AE77" s="32"/>
      <c r="AF77" s="32"/>
      <c r="AG77" s="32"/>
      <c r="AH77" s="32"/>
      <c r="AI77" s="32"/>
      <c r="AJ77" s="32"/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1472</v>
      </c>
      <c r="D78" s="50" t="s">
        <v>43</v>
      </c>
      <c r="E78" s="32" t="s">
        <v>3</v>
      </c>
      <c r="F78" s="32" t="s">
        <v>1495</v>
      </c>
      <c r="G78" s="32"/>
      <c r="H78" s="32"/>
      <c r="I78" s="32"/>
      <c r="J78" s="32"/>
      <c r="K78" s="32"/>
      <c r="L78" s="32"/>
      <c r="M78" s="33">
        <v>5</v>
      </c>
      <c r="N78" s="32"/>
      <c r="O78" s="32"/>
      <c r="P78" s="32"/>
      <c r="Q78" s="33">
        <v>5.87</v>
      </c>
      <c r="R78" s="32"/>
      <c r="S78" s="32"/>
      <c r="T78" s="32"/>
      <c r="U78" s="32"/>
      <c r="V78" s="32"/>
      <c r="W78" s="32"/>
      <c r="X78" s="32"/>
      <c r="Y78" s="32"/>
      <c r="Z78" s="33">
        <v>6.52</v>
      </c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1472</v>
      </c>
      <c r="D79" s="50" t="s">
        <v>43</v>
      </c>
      <c r="E79" s="32" t="s">
        <v>3</v>
      </c>
      <c r="F79" s="32" t="s">
        <v>1496</v>
      </c>
      <c r="G79" s="32"/>
      <c r="H79" s="32"/>
      <c r="I79" s="32"/>
      <c r="J79" s="32"/>
      <c r="K79" s="33">
        <v>6.52</v>
      </c>
      <c r="L79" s="33">
        <v>6.52</v>
      </c>
      <c r="M79" s="33">
        <v>6.52</v>
      </c>
      <c r="N79" s="33">
        <v>6.52</v>
      </c>
      <c r="O79" s="33">
        <v>6.52</v>
      </c>
      <c r="P79" s="33">
        <v>6.52</v>
      </c>
      <c r="Q79" s="33">
        <v>6.52</v>
      </c>
      <c r="R79" s="33">
        <v>6.52</v>
      </c>
      <c r="S79" s="33">
        <f>6.52+1.09</f>
        <v>7.609999999999999</v>
      </c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1472</v>
      </c>
      <c r="D80" s="50" t="s">
        <v>43</v>
      </c>
      <c r="E80" s="32" t="s">
        <v>3</v>
      </c>
      <c r="F80" s="32" t="s">
        <v>1497</v>
      </c>
      <c r="G80" s="32"/>
      <c r="H80" s="32"/>
      <c r="I80" s="32"/>
      <c r="J80" s="32"/>
      <c r="K80" s="33">
        <v>6.52</v>
      </c>
      <c r="L80" s="33">
        <v>6.52</v>
      </c>
      <c r="M80" s="33">
        <v>6.52</v>
      </c>
      <c r="N80" s="33">
        <v>6.52</v>
      </c>
      <c r="O80" s="33">
        <v>6.52</v>
      </c>
      <c r="P80" s="33">
        <v>6.52</v>
      </c>
      <c r="Q80" s="33">
        <v>6.52</v>
      </c>
      <c r="R80" s="33">
        <v>6.52</v>
      </c>
      <c r="S80" s="33">
        <v>6.52</v>
      </c>
      <c r="T80" s="33">
        <v>6.52</v>
      </c>
      <c r="U80" s="33">
        <v>6.52</v>
      </c>
      <c r="V80" s="33">
        <v>6.52</v>
      </c>
      <c r="W80" s="33">
        <v>6.52</v>
      </c>
      <c r="X80" s="33">
        <v>6.52</v>
      </c>
      <c r="Y80" s="33">
        <v>6.52</v>
      </c>
      <c r="Z80" s="33">
        <v>6.52</v>
      </c>
      <c r="AA80" s="33">
        <v>6.52</v>
      </c>
      <c r="AB80" s="33">
        <v>6.52</v>
      </c>
      <c r="AC80" s="32"/>
      <c r="AD80" s="32"/>
      <c r="AE80" s="32"/>
      <c r="AF80" s="32"/>
      <c r="AG80" s="32"/>
      <c r="AH80" s="32"/>
      <c r="AI80" s="32"/>
      <c r="AJ80" s="32"/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1472</v>
      </c>
      <c r="D81" s="50" t="s">
        <v>43</v>
      </c>
      <c r="E81" s="32" t="s">
        <v>3</v>
      </c>
      <c r="F81" s="32" t="s">
        <v>1498</v>
      </c>
      <c r="G81" s="32"/>
      <c r="H81" s="32"/>
      <c r="I81" s="32"/>
      <c r="J81" s="32"/>
      <c r="K81" s="33">
        <v>6.52</v>
      </c>
      <c r="L81" s="33">
        <v>6.52</v>
      </c>
      <c r="M81" s="33">
        <v>6.52</v>
      </c>
      <c r="N81" s="33">
        <v>6.52</v>
      </c>
      <c r="O81" s="33">
        <v>6.52</v>
      </c>
      <c r="P81" s="33">
        <v>6.52</v>
      </c>
      <c r="Q81" s="33">
        <v>6.52</v>
      </c>
      <c r="R81" s="33">
        <v>6.52</v>
      </c>
      <c r="S81" s="33">
        <v>6.52</v>
      </c>
      <c r="T81" s="33">
        <f>6.52+0.87</f>
        <v>7.39</v>
      </c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1472</v>
      </c>
      <c r="D82" s="50" t="s">
        <v>43</v>
      </c>
      <c r="E82" s="32" t="s">
        <v>3</v>
      </c>
      <c r="F82" s="32" t="s">
        <v>1499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3">
        <v>6.52</v>
      </c>
      <c r="T82" s="33">
        <v>6.52</v>
      </c>
      <c r="U82" s="33">
        <v>6.52</v>
      </c>
      <c r="V82" s="33">
        <v>6.52</v>
      </c>
      <c r="W82" s="33">
        <v>6.52</v>
      </c>
      <c r="X82" s="33">
        <v>6.52</v>
      </c>
      <c r="Y82" s="33">
        <v>6.52</v>
      </c>
      <c r="Z82" s="33">
        <v>6.52</v>
      </c>
      <c r="AA82" s="33">
        <v>6.52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1472</v>
      </c>
      <c r="D83" s="50" t="s">
        <v>43</v>
      </c>
      <c r="E83" s="32" t="s">
        <v>3</v>
      </c>
      <c r="F83" s="32" t="s">
        <v>1500</v>
      </c>
      <c r="G83" s="32"/>
      <c r="H83" s="32"/>
      <c r="I83" s="32"/>
      <c r="J83" s="32"/>
      <c r="K83" s="33">
        <v>6.52</v>
      </c>
      <c r="L83" s="33">
        <v>6.52</v>
      </c>
      <c r="M83" s="33">
        <v>6.52</v>
      </c>
      <c r="N83" s="33">
        <v>6.52</v>
      </c>
      <c r="O83" s="33">
        <v>2.61</v>
      </c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1472</v>
      </c>
      <c r="D84" s="50" t="s">
        <v>43</v>
      </c>
      <c r="E84" s="32" t="s">
        <v>3</v>
      </c>
      <c r="F84" s="32" t="s">
        <v>1501</v>
      </c>
      <c r="G84" s="32"/>
      <c r="H84" s="32"/>
      <c r="I84" s="32"/>
      <c r="J84" s="32"/>
      <c r="K84" s="33">
        <v>6.52</v>
      </c>
      <c r="L84" s="33">
        <v>6.52</v>
      </c>
      <c r="M84" s="33">
        <f>6.52+0.65</f>
        <v>7.17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1472</v>
      </c>
      <c r="D85" s="50" t="s">
        <v>43</v>
      </c>
      <c r="E85" s="32" t="s">
        <v>3</v>
      </c>
      <c r="F85" s="32" t="s">
        <v>1502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3">
        <v>5.44</v>
      </c>
      <c r="S85" s="32"/>
      <c r="T85" s="33">
        <v>6.08</v>
      </c>
      <c r="U85" s="33">
        <v>6.52</v>
      </c>
      <c r="V85" s="33">
        <v>6.52</v>
      </c>
      <c r="W85" s="33">
        <v>6.52</v>
      </c>
      <c r="X85" s="33">
        <v>6.52</v>
      </c>
      <c r="Y85" s="33">
        <v>6.52</v>
      </c>
      <c r="Z85" s="33">
        <v>6.52</v>
      </c>
      <c r="AA85" s="33">
        <v>6.52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1472</v>
      </c>
      <c r="D86" s="50" t="s">
        <v>43</v>
      </c>
      <c r="E86" s="32" t="s">
        <v>3</v>
      </c>
      <c r="F86" s="32" t="s">
        <v>1504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3">
        <v>5.22</v>
      </c>
      <c r="S86" s="32"/>
      <c r="T86" s="33">
        <v>7.84</v>
      </c>
      <c r="U86" s="33">
        <v>6.52</v>
      </c>
      <c r="V86" s="33">
        <v>6.52</v>
      </c>
      <c r="W86" s="33">
        <v>6.52</v>
      </c>
      <c r="X86" s="33">
        <v>6.52</v>
      </c>
      <c r="Y86" s="33">
        <v>6.52</v>
      </c>
      <c r="Z86" s="33">
        <v>6.52</v>
      </c>
      <c r="AA86" s="33">
        <v>6.52</v>
      </c>
      <c r="AB86" s="33">
        <v>6.52</v>
      </c>
      <c r="AC86" s="32"/>
      <c r="AD86" s="32"/>
      <c r="AE86" s="32"/>
      <c r="AF86" s="32"/>
      <c r="AG86" s="32"/>
      <c r="AH86" s="32"/>
      <c r="AI86" s="32"/>
      <c r="AJ86" s="32"/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1472</v>
      </c>
      <c r="D87" s="50" t="s">
        <v>43</v>
      </c>
      <c r="E87" s="32" t="s">
        <v>3</v>
      </c>
      <c r="F87" s="32" t="s">
        <v>1515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3">
        <v>6.52</v>
      </c>
      <c r="T87" s="33">
        <v>6.52</v>
      </c>
      <c r="U87" s="33">
        <v>6.52</v>
      </c>
      <c r="V87" s="33">
        <v>6.52</v>
      </c>
      <c r="W87" s="33">
        <v>6.52</v>
      </c>
      <c r="X87" s="33">
        <v>6.52</v>
      </c>
      <c r="Y87" s="33">
        <v>6.52</v>
      </c>
      <c r="Z87" s="33">
        <v>6.52</v>
      </c>
      <c r="AA87" s="33">
        <v>6.52</v>
      </c>
      <c r="AB87" s="33">
        <v>6.52</v>
      </c>
      <c r="AC87" s="32"/>
      <c r="AD87" s="32"/>
      <c r="AE87" s="32"/>
      <c r="AF87" s="32"/>
      <c r="AG87" s="32"/>
      <c r="AH87" s="32"/>
      <c r="AI87" s="32"/>
      <c r="AJ87" s="32"/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1472</v>
      </c>
      <c r="D88" s="50" t="s">
        <v>43</v>
      </c>
      <c r="E88" s="32" t="s">
        <v>3</v>
      </c>
      <c r="F88" s="32" t="s">
        <v>1505</v>
      </c>
      <c r="G88" s="32"/>
      <c r="H88" s="32"/>
      <c r="I88" s="32"/>
      <c r="J88" s="32"/>
      <c r="K88" s="33">
        <v>6.52</v>
      </c>
      <c r="L88" s="33">
        <v>6.52</v>
      </c>
      <c r="M88" s="33">
        <v>6.52</v>
      </c>
      <c r="N88" s="33">
        <v>6.52</v>
      </c>
      <c r="O88" s="33">
        <v>6.52</v>
      </c>
      <c r="P88" s="33">
        <v>6.52</v>
      </c>
      <c r="Q88" s="33">
        <v>6.52</v>
      </c>
      <c r="R88" s="33">
        <v>5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1472</v>
      </c>
      <c r="D89" s="50" t="s">
        <v>43</v>
      </c>
      <c r="E89" s="32" t="s">
        <v>3</v>
      </c>
      <c r="F89" s="32" t="s">
        <v>1506</v>
      </c>
      <c r="G89" s="32"/>
      <c r="H89" s="32"/>
      <c r="I89" s="32"/>
      <c r="J89" s="32"/>
      <c r="K89" s="33">
        <v>7.1</v>
      </c>
      <c r="L89" s="33">
        <v>6.52</v>
      </c>
      <c r="M89" s="33">
        <v>6.52</v>
      </c>
      <c r="N89" s="33">
        <v>6.52</v>
      </c>
      <c r="O89" s="33">
        <v>6.52</v>
      </c>
      <c r="P89" s="33">
        <v>6.52</v>
      </c>
      <c r="Q89" s="33">
        <v>6.52</v>
      </c>
      <c r="R89" s="33">
        <v>6.52</v>
      </c>
      <c r="S89" s="33">
        <v>6.52</v>
      </c>
      <c r="T89" s="33">
        <v>6.52</v>
      </c>
      <c r="U89" s="32"/>
      <c r="V89" s="33">
        <f>6.52+6.52</f>
        <v>13.04</v>
      </c>
      <c r="W89" s="33">
        <v>6.52</v>
      </c>
      <c r="X89" s="33">
        <v>6.52</v>
      </c>
      <c r="Y89" s="33">
        <v>6.52</v>
      </c>
      <c r="Z89" s="33">
        <v>6.52</v>
      </c>
      <c r="AA89" s="33">
        <v>6.52</v>
      </c>
      <c r="AB89" s="33">
        <v>6.52</v>
      </c>
      <c r="AC89" s="32"/>
      <c r="AD89" s="32"/>
      <c r="AE89" s="32"/>
      <c r="AF89" s="32"/>
      <c r="AG89" s="32"/>
      <c r="AH89" s="32"/>
      <c r="AI89" s="32"/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1472</v>
      </c>
      <c r="D90" s="50" t="s">
        <v>43</v>
      </c>
      <c r="E90" s="32" t="s">
        <v>3</v>
      </c>
      <c r="F90" s="32" t="s">
        <v>1507</v>
      </c>
      <c r="G90" s="32"/>
      <c r="H90" s="32"/>
      <c r="I90" s="32"/>
      <c r="J90" s="32"/>
      <c r="K90" s="33">
        <v>6.52</v>
      </c>
      <c r="L90" s="33">
        <v>6.52</v>
      </c>
      <c r="M90" s="33">
        <v>6.52</v>
      </c>
      <c r="N90" s="33">
        <v>6.52</v>
      </c>
      <c r="O90" s="33">
        <v>6.52</v>
      </c>
      <c r="P90" s="33">
        <v>6.52</v>
      </c>
      <c r="Q90" s="33">
        <v>6.52</v>
      </c>
      <c r="R90" s="33">
        <v>6.52</v>
      </c>
      <c r="S90" s="33">
        <v>6.52</v>
      </c>
      <c r="T90" s="33">
        <v>6.52</v>
      </c>
      <c r="U90" s="33">
        <v>6.81</v>
      </c>
      <c r="V90" s="33">
        <v>6.52</v>
      </c>
      <c r="W90" s="33">
        <v>6.52</v>
      </c>
      <c r="X90" s="33">
        <v>6.52</v>
      </c>
      <c r="Y90" s="33">
        <v>6.52</v>
      </c>
      <c r="Z90" s="33">
        <v>6.52</v>
      </c>
      <c r="AA90" s="33">
        <v>6.52</v>
      </c>
      <c r="AB90" s="33">
        <v>6.52</v>
      </c>
      <c r="AC90" s="32"/>
      <c r="AD90" s="32"/>
      <c r="AE90" s="32"/>
      <c r="AF90" s="32"/>
      <c r="AG90" s="32"/>
      <c r="AH90" s="32"/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1472</v>
      </c>
      <c r="D91" s="50" t="s">
        <v>43</v>
      </c>
      <c r="E91" s="32" t="s">
        <v>3</v>
      </c>
      <c r="F91" s="32" t="s">
        <v>1508</v>
      </c>
      <c r="G91" s="33">
        <v>0</v>
      </c>
      <c r="H91" s="32"/>
      <c r="I91" s="32"/>
      <c r="J91" s="32"/>
      <c r="K91" s="33">
        <v>6.52</v>
      </c>
      <c r="L91" s="33">
        <v>6.52</v>
      </c>
      <c r="M91" s="33">
        <v>6.52</v>
      </c>
      <c r="N91" s="33">
        <v>6.52</v>
      </c>
      <c r="O91" s="33">
        <v>6.52</v>
      </c>
      <c r="P91" s="33">
        <v>5.87</v>
      </c>
      <c r="Q91" s="33">
        <v>0</v>
      </c>
      <c r="R91" s="32"/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f>0.00+0.00</f>
        <v>0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1472</v>
      </c>
      <c r="D92" s="50" t="s">
        <v>43</v>
      </c>
      <c r="E92" s="32" t="s">
        <v>3</v>
      </c>
      <c r="F92" s="32" t="s">
        <v>1509</v>
      </c>
      <c r="G92" s="32"/>
      <c r="H92" s="32"/>
      <c r="I92" s="32"/>
      <c r="J92" s="32"/>
      <c r="K92" s="33">
        <v>6.52</v>
      </c>
      <c r="L92" s="33">
        <v>6.52</v>
      </c>
      <c r="M92" s="33">
        <v>6.52</v>
      </c>
      <c r="N92" s="33">
        <v>6.52</v>
      </c>
      <c r="O92" s="33">
        <v>6.52</v>
      </c>
      <c r="P92" s="33">
        <v>6.52</v>
      </c>
      <c r="Q92" s="33">
        <v>6.52</v>
      </c>
      <c r="R92" s="32"/>
      <c r="S92" s="33">
        <v>6.52</v>
      </c>
      <c r="T92" s="33">
        <v>6.52</v>
      </c>
      <c r="U92" s="33">
        <v>6.81</v>
      </c>
      <c r="V92" s="33">
        <v>6.52</v>
      </c>
      <c r="W92" s="33">
        <v>6.52</v>
      </c>
      <c r="X92" s="33">
        <v>6.52</v>
      </c>
      <c r="Y92" s="33">
        <v>6.52</v>
      </c>
      <c r="Z92" s="33">
        <v>6.52</v>
      </c>
      <c r="AA92" s="33">
        <v>6.52</v>
      </c>
      <c r="AB92" s="33">
        <v>6.52</v>
      </c>
      <c r="AC92" s="32"/>
      <c r="AD92" s="32"/>
      <c r="AE92" s="32"/>
      <c r="AF92" s="32"/>
      <c r="AG92" s="32"/>
      <c r="AH92" s="32"/>
      <c r="AI92" s="32"/>
      <c r="AJ92" s="32"/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1472</v>
      </c>
      <c r="D93" s="50" t="s">
        <v>43</v>
      </c>
      <c r="E93" s="32" t="s">
        <v>3</v>
      </c>
      <c r="F93" s="32" t="s">
        <v>1510</v>
      </c>
      <c r="G93" s="33">
        <v>0</v>
      </c>
      <c r="H93" s="32"/>
      <c r="I93" s="32"/>
      <c r="J93" s="32"/>
      <c r="K93" s="33">
        <v>6.52</v>
      </c>
      <c r="L93" s="33">
        <v>6.52</v>
      </c>
      <c r="M93" s="33">
        <v>6.52</v>
      </c>
      <c r="N93" s="33">
        <v>6.52</v>
      </c>
      <c r="O93" s="33">
        <v>6.52</v>
      </c>
      <c r="P93" s="33">
        <v>5.87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2"/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1472</v>
      </c>
      <c r="D94" s="50" t="s">
        <v>43</v>
      </c>
      <c r="E94" s="32" t="s">
        <v>3</v>
      </c>
      <c r="F94" s="32" t="s">
        <v>1511</v>
      </c>
      <c r="G94" s="32"/>
      <c r="H94" s="32"/>
      <c r="I94" s="32"/>
      <c r="J94" s="32"/>
      <c r="K94" s="33">
        <v>6.52</v>
      </c>
      <c r="L94" s="33">
        <v>6.52</v>
      </c>
      <c r="M94" s="33">
        <v>6.52</v>
      </c>
      <c r="N94" s="33">
        <v>6.52</v>
      </c>
      <c r="O94" s="33">
        <v>6.52</v>
      </c>
      <c r="P94" s="33">
        <v>5.87</v>
      </c>
      <c r="Q94" s="33">
        <v>0</v>
      </c>
      <c r="R94" s="33">
        <v>0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4">
        <f>SUM(G94:AK94)</f>
      </c>
      <c r="AM94" s="35"/>
    </row>
    <row r="95" ht="13.5" customHeight="1" spans="2:39" x14ac:dyDescent="0.25">
      <c r="B95" s="51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40"/>
    </row>
    <row r="96" ht="13.5" customHeight="1" spans="2:39" x14ac:dyDescent="0.25">
      <c r="B96" s="20"/>
      <c r="C96" s="21"/>
      <c r="D96" s="21" t="s">
        <v>89</v>
      </c>
      <c r="E96" s="21"/>
      <c r="F96" s="21"/>
      <c r="G96" s="22">
        <f>SUM(G59:G94)</f>
      </c>
      <c r="H96" s="22">
        <f>SUM(H59:H94)</f>
      </c>
      <c r="I96" s="22">
        <f>SUM(I59:I94)</f>
      </c>
      <c r="J96" s="22">
        <f>SUM(J59:J94)</f>
      </c>
      <c r="K96" s="22">
        <f>SUM(K59:K94)</f>
      </c>
      <c r="L96" s="22">
        <f>SUM(L59:L94)</f>
      </c>
      <c r="M96" s="22">
        <f>SUM(M59:M94)</f>
      </c>
      <c r="N96" s="22">
        <f>SUM(N59:N94)</f>
      </c>
      <c r="O96" s="22">
        <f>SUM(O59:O94)</f>
      </c>
      <c r="P96" s="22">
        <f>SUM(P59:P94)</f>
      </c>
      <c r="Q96" s="22">
        <f>SUM(Q59:Q94)</f>
      </c>
      <c r="R96" s="22">
        <f>SUM(R59:R94)</f>
      </c>
      <c r="S96" s="22">
        <f>SUM(S59:S94)</f>
      </c>
      <c r="T96" s="22">
        <f>SUM(T59:T94)</f>
      </c>
      <c r="U96" s="22">
        <f>SUM(U59:U94)</f>
      </c>
      <c r="V96" s="22">
        <f>SUM(V59:V94)</f>
      </c>
      <c r="W96" s="22">
        <f>SUM(W59:W94)</f>
      </c>
      <c r="X96" s="22">
        <f>SUM(X59:X94)</f>
      </c>
      <c r="Y96" s="22">
        <f>SUM(Y59:Y94)</f>
      </c>
      <c r="Z96" s="22">
        <f>SUM(Z59:Z94)</f>
      </c>
      <c r="AA96" s="22">
        <f>SUM(AA59:AA94)</f>
      </c>
      <c r="AB96" s="22">
        <f>SUM(AB59:AB94)</f>
      </c>
      <c r="AC96" s="22">
        <f>SUM(AC59:AC94)</f>
      </c>
      <c r="AD96" s="22">
        <f>SUM(AD59:AD94)</f>
      </c>
      <c r="AE96" s="22">
        <f>SUM(AE59:AE94)</f>
      </c>
      <c r="AF96" s="22">
        <f>SUM(AF59:AF94)</f>
      </c>
      <c r="AG96" s="22">
        <f>SUM(AG59:AG94)</f>
      </c>
      <c r="AH96" s="22">
        <f>SUM(AH59:AH94)</f>
      </c>
      <c r="AI96" s="22">
        <f>SUM(AI59:AI94)</f>
      </c>
      <c r="AJ96" s="22">
        <f>SUM(AJ59:AJ94)</f>
      </c>
      <c r="AK96" s="22">
        <f>SUM(AK59:AK94)</f>
      </c>
      <c r="AL96" s="22">
        <f>SUM(AL59:AL94)</f>
      </c>
      <c r="AM96" s="23"/>
    </row>
    <row r="98" ht="13.5" customHeight="1" spans="2:39" x14ac:dyDescent="0.25">
      <c r="B98" s="46"/>
      <c r="C98" s="28"/>
      <c r="D98" s="47" t="s">
        <v>44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9"/>
    </row>
    <row r="99" ht="13.5" customHeight="1" spans="2:39" x14ac:dyDescent="0.25">
      <c r="B99" s="48" t="s">
        <v>3</v>
      </c>
      <c r="C99" s="49" t="s">
        <v>1472</v>
      </c>
      <c r="D99" s="50" t="s">
        <v>44</v>
      </c>
      <c r="E99" s="32" t="s">
        <v>3</v>
      </c>
      <c r="F99" s="32" t="s">
        <v>1473</v>
      </c>
      <c r="G99" s="32"/>
      <c r="H99" s="32"/>
      <c r="I99" s="32"/>
      <c r="J99" s="32"/>
      <c r="K99" s="33">
        <v>44.33</v>
      </c>
      <c r="L99" s="33">
        <v>45.19</v>
      </c>
      <c r="M99" s="33">
        <v>44.33</v>
      </c>
      <c r="N99" s="33">
        <v>44.33</v>
      </c>
      <c r="O99" s="33">
        <v>44.33</v>
      </c>
      <c r="P99" s="33">
        <v>44.33</v>
      </c>
      <c r="Q99" s="33">
        <v>44.33</v>
      </c>
      <c r="R99" s="33">
        <v>44.33</v>
      </c>
      <c r="S99" s="33">
        <v>58.48</v>
      </c>
      <c r="T99" s="33">
        <v>44.33</v>
      </c>
      <c r="U99" s="33">
        <v>44.33</v>
      </c>
      <c r="V99" s="33">
        <v>44.33</v>
      </c>
      <c r="W99" s="33">
        <v>44.33</v>
      </c>
      <c r="X99" s="33">
        <v>45.83</v>
      </c>
      <c r="Y99" s="33">
        <v>44.33</v>
      </c>
      <c r="Z99" s="33">
        <v>44.33</v>
      </c>
      <c r="AA99" s="33">
        <v>44.33</v>
      </c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1472</v>
      </c>
      <c r="D100" s="50" t="s">
        <v>44</v>
      </c>
      <c r="E100" s="32" t="s">
        <v>3</v>
      </c>
      <c r="F100" s="32" t="s">
        <v>1474</v>
      </c>
      <c r="G100" s="32"/>
      <c r="H100" s="32"/>
      <c r="I100" s="32"/>
      <c r="J100" s="32"/>
      <c r="K100" s="33">
        <v>90.95</v>
      </c>
      <c r="L100" s="33">
        <v>90.95</v>
      </c>
      <c r="M100" s="33">
        <v>90.95</v>
      </c>
      <c r="N100" s="33">
        <v>90.95</v>
      </c>
      <c r="O100" s="33">
        <v>90.95</v>
      </c>
      <c r="P100" s="33">
        <v>90.95</v>
      </c>
      <c r="Q100" s="33">
        <v>90.95</v>
      </c>
      <c r="R100" s="33">
        <v>90.95</v>
      </c>
      <c r="S100" s="33">
        <v>90.95</v>
      </c>
      <c r="T100" s="33">
        <v>90.95</v>
      </c>
      <c r="U100" s="33">
        <v>90.95</v>
      </c>
      <c r="V100" s="33">
        <v>90.95</v>
      </c>
      <c r="W100" s="33">
        <f>90.95+0.00</f>
        <v>90.95</v>
      </c>
      <c r="X100" s="33">
        <v>90.95</v>
      </c>
      <c r="Y100" s="33">
        <v>91.14</v>
      </c>
      <c r="Z100" s="33">
        <v>385.78</v>
      </c>
      <c r="AA100" s="33">
        <v>422.71</v>
      </c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1472</v>
      </c>
      <c r="D101" s="50" t="s">
        <v>44</v>
      </c>
      <c r="E101" s="32" t="s">
        <v>3</v>
      </c>
      <c r="F101" s="32" t="s">
        <v>1477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3">
        <v>3.81</v>
      </c>
      <c r="Q101" s="33">
        <v>19.05</v>
      </c>
      <c r="R101" s="33">
        <v>19.05</v>
      </c>
      <c r="S101" s="33">
        <v>19.05</v>
      </c>
      <c r="T101" s="32"/>
      <c r="U101" s="33">
        <v>19.05</v>
      </c>
      <c r="V101" s="33">
        <v>19.05</v>
      </c>
      <c r="W101" s="33">
        <v>19.05</v>
      </c>
      <c r="X101" s="33">
        <v>19.05</v>
      </c>
      <c r="Y101" s="33">
        <v>19.05</v>
      </c>
      <c r="Z101" s="33">
        <v>19.05</v>
      </c>
      <c r="AA101" s="33">
        <v>19.05</v>
      </c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1472</v>
      </c>
      <c r="D102" s="50" t="s">
        <v>44</v>
      </c>
      <c r="E102" s="32" t="s">
        <v>3</v>
      </c>
      <c r="F102" s="32" t="s">
        <v>1478</v>
      </c>
      <c r="G102" s="32"/>
      <c r="H102" s="32"/>
      <c r="I102" s="32"/>
      <c r="J102" s="32"/>
      <c r="K102" s="32"/>
      <c r="L102" s="32"/>
      <c r="M102" s="33">
        <v>14.6</v>
      </c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1472</v>
      </c>
      <c r="D103" s="50" t="s">
        <v>44</v>
      </c>
      <c r="E103" s="32" t="s">
        <v>3</v>
      </c>
      <c r="F103" s="32" t="s">
        <v>1479</v>
      </c>
      <c r="G103" s="32"/>
      <c r="H103" s="32"/>
      <c r="I103" s="32"/>
      <c r="J103" s="32"/>
      <c r="K103" s="32"/>
      <c r="L103" s="32"/>
      <c r="M103" s="33">
        <v>20.15</v>
      </c>
      <c r="N103" s="32"/>
      <c r="O103" s="33">
        <v>19.05</v>
      </c>
      <c r="P103" s="33">
        <v>19.05</v>
      </c>
      <c r="Q103" s="33">
        <v>19.05</v>
      </c>
      <c r="R103" s="33">
        <v>19.05</v>
      </c>
      <c r="S103" s="33">
        <v>19.05</v>
      </c>
      <c r="T103" s="32"/>
      <c r="U103" s="33">
        <v>19.05</v>
      </c>
      <c r="V103" s="33">
        <v>19.05</v>
      </c>
      <c r="W103" s="33">
        <v>19.05</v>
      </c>
      <c r="X103" s="33">
        <v>19.05</v>
      </c>
      <c r="Y103" s="33">
        <v>19.05</v>
      </c>
      <c r="Z103" s="33">
        <v>19.05</v>
      </c>
      <c r="AA103" s="33">
        <v>19.05</v>
      </c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1472</v>
      </c>
      <c r="D104" s="50" t="s">
        <v>44</v>
      </c>
      <c r="E104" s="32" t="s">
        <v>3</v>
      </c>
      <c r="F104" s="32" t="s">
        <v>1480</v>
      </c>
      <c r="G104" s="32"/>
      <c r="H104" s="32"/>
      <c r="I104" s="32"/>
      <c r="J104" s="32"/>
      <c r="K104" s="33">
        <f>23.53+12.07</f>
        <v>35.6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1472</v>
      </c>
      <c r="D105" s="50" t="s">
        <v>44</v>
      </c>
      <c r="E105" s="32" t="s">
        <v>3</v>
      </c>
      <c r="F105" s="32" t="s">
        <v>1482</v>
      </c>
      <c r="G105" s="33">
        <f>0.00+0.00+0.00</f>
        <v>0</v>
      </c>
      <c r="H105" s="32"/>
      <c r="I105" s="32"/>
      <c r="J105" s="32"/>
      <c r="K105" s="32"/>
      <c r="L105" s="32"/>
      <c r="M105" s="33">
        <v>0</v>
      </c>
      <c r="N105" s="32"/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1472</v>
      </c>
      <c r="D106" s="50" t="s">
        <v>44</v>
      </c>
      <c r="E106" s="32" t="s">
        <v>3</v>
      </c>
      <c r="F106" s="32" t="s">
        <v>1483</v>
      </c>
      <c r="G106" s="32"/>
      <c r="H106" s="32"/>
      <c r="I106" s="32"/>
      <c r="J106" s="32"/>
      <c r="K106" s="33">
        <v>17.05</v>
      </c>
      <c r="L106" s="33">
        <v>17.05</v>
      </c>
      <c r="M106" s="33">
        <v>17.05</v>
      </c>
      <c r="N106" s="33">
        <v>17.05</v>
      </c>
      <c r="O106" s="33">
        <v>17.05</v>
      </c>
      <c r="P106" s="33">
        <v>17.05</v>
      </c>
      <c r="Q106" s="33">
        <v>17.05</v>
      </c>
      <c r="R106" s="33">
        <v>17.05</v>
      </c>
      <c r="S106" s="33">
        <v>17.05</v>
      </c>
      <c r="T106" s="33">
        <v>17.05</v>
      </c>
      <c r="U106" s="33">
        <v>17.05</v>
      </c>
      <c r="V106" s="33">
        <v>17.05</v>
      </c>
      <c r="W106" s="33">
        <v>17.05</v>
      </c>
      <c r="X106" s="33">
        <v>17.05</v>
      </c>
      <c r="Y106" s="33">
        <v>17.05</v>
      </c>
      <c r="Z106" s="33">
        <v>17.05</v>
      </c>
      <c r="AA106" s="33">
        <v>17.05</v>
      </c>
      <c r="AB106" s="33">
        <v>17.05</v>
      </c>
      <c r="AC106" s="32"/>
      <c r="AD106" s="32"/>
      <c r="AE106" s="32"/>
      <c r="AF106" s="32"/>
      <c r="AG106" s="32"/>
      <c r="AH106" s="32"/>
      <c r="AI106" s="32"/>
      <c r="AJ106" s="32"/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1472</v>
      </c>
      <c r="D107" s="50" t="s">
        <v>44</v>
      </c>
      <c r="E107" s="32" t="s">
        <v>3</v>
      </c>
      <c r="F107" s="32" t="s">
        <v>1487</v>
      </c>
      <c r="G107" s="32"/>
      <c r="H107" s="32"/>
      <c r="I107" s="32"/>
      <c r="J107" s="32"/>
      <c r="K107" s="33">
        <v>17.95</v>
      </c>
      <c r="L107" s="33">
        <v>17.95</v>
      </c>
      <c r="M107" s="33">
        <v>17.95</v>
      </c>
      <c r="N107" s="33">
        <v>7.78</v>
      </c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1472</v>
      </c>
      <c r="D108" s="50" t="s">
        <v>44</v>
      </c>
      <c r="E108" s="32" t="s">
        <v>3</v>
      </c>
      <c r="F108" s="32" t="s">
        <v>1488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>
        <v>18.32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1472</v>
      </c>
      <c r="D109" s="50" t="s">
        <v>44</v>
      </c>
      <c r="E109" s="32" t="s">
        <v>3</v>
      </c>
      <c r="F109" s="32" t="s">
        <v>1489</v>
      </c>
      <c r="G109" s="32"/>
      <c r="H109" s="32"/>
      <c r="I109" s="32"/>
      <c r="J109" s="32"/>
      <c r="K109" s="33">
        <v>16.85</v>
      </c>
      <c r="L109" s="33">
        <v>16.85</v>
      </c>
      <c r="M109" s="33">
        <v>16.85</v>
      </c>
      <c r="N109" s="33">
        <v>16.85</v>
      </c>
      <c r="O109" s="33">
        <v>16.85</v>
      </c>
      <c r="P109" s="33">
        <v>16.85</v>
      </c>
      <c r="Q109" s="33">
        <v>16.85</v>
      </c>
      <c r="R109" s="33">
        <v>16.85</v>
      </c>
      <c r="S109" s="33">
        <v>16.85</v>
      </c>
      <c r="T109" s="33">
        <v>16.85</v>
      </c>
      <c r="U109" s="33">
        <v>16.85</v>
      </c>
      <c r="V109" s="33">
        <v>16.85</v>
      </c>
      <c r="W109" s="33">
        <v>16.85</v>
      </c>
      <c r="X109" s="33">
        <v>16.85</v>
      </c>
      <c r="Y109" s="33">
        <v>16.85</v>
      </c>
      <c r="Z109" s="33">
        <v>16.85</v>
      </c>
      <c r="AA109" s="33">
        <v>16.85</v>
      </c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1472</v>
      </c>
      <c r="D110" s="50" t="s">
        <v>44</v>
      </c>
      <c r="E110" s="32" t="s">
        <v>3</v>
      </c>
      <c r="F110" s="32" t="s">
        <v>1490</v>
      </c>
      <c r="G110" s="32"/>
      <c r="H110" s="32"/>
      <c r="I110" s="32"/>
      <c r="J110" s="32"/>
      <c r="K110" s="33">
        <v>19.05</v>
      </c>
      <c r="L110" s="33">
        <f>19.05+5.08</f>
        <v>24.130000000000003</v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1472</v>
      </c>
      <c r="D111" s="50" t="s">
        <v>44</v>
      </c>
      <c r="E111" s="32" t="s">
        <v>3</v>
      </c>
      <c r="F111" s="32" t="s">
        <v>1492</v>
      </c>
      <c r="G111" s="32"/>
      <c r="H111" s="32"/>
      <c r="I111" s="32"/>
      <c r="J111" s="32"/>
      <c r="K111" s="33">
        <v>19.05</v>
      </c>
      <c r="L111" s="33">
        <v>19.05</v>
      </c>
      <c r="M111" s="33">
        <v>19.05</v>
      </c>
      <c r="N111" s="33">
        <v>19.05</v>
      </c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1472</v>
      </c>
      <c r="D112" s="50" t="s">
        <v>44</v>
      </c>
      <c r="E112" s="32" t="s">
        <v>3</v>
      </c>
      <c r="F112" s="32" t="s">
        <v>1493</v>
      </c>
      <c r="G112" s="32"/>
      <c r="H112" s="32"/>
      <c r="I112" s="32"/>
      <c r="J112" s="32"/>
      <c r="K112" s="32"/>
      <c r="L112" s="32"/>
      <c r="M112" s="32"/>
      <c r="N112" s="32"/>
      <c r="O112" s="33">
        <v>19.05</v>
      </c>
      <c r="P112" s="33">
        <v>19.05</v>
      </c>
      <c r="Q112" s="33">
        <v>19.05</v>
      </c>
      <c r="R112" s="33">
        <v>19.05</v>
      </c>
      <c r="S112" s="32"/>
      <c r="T112" s="33">
        <v>19.05</v>
      </c>
      <c r="U112" s="33">
        <v>19.05</v>
      </c>
      <c r="V112" s="33">
        <v>19.05</v>
      </c>
      <c r="W112" s="33">
        <v>19.05</v>
      </c>
      <c r="X112" s="33">
        <v>19.05</v>
      </c>
      <c r="Y112" s="33">
        <v>19.05</v>
      </c>
      <c r="Z112" s="33">
        <v>19.05</v>
      </c>
      <c r="AA112" s="33">
        <v>19.05</v>
      </c>
      <c r="AB112" s="33">
        <v>19.05</v>
      </c>
      <c r="AC112" s="32"/>
      <c r="AD112" s="32"/>
      <c r="AE112" s="32"/>
      <c r="AF112" s="32"/>
      <c r="AG112" s="32"/>
      <c r="AH112" s="32"/>
      <c r="AI112" s="32"/>
      <c r="AJ112" s="32"/>
      <c r="AK112" s="32"/>
      <c r="AL112" s="34">
        <f>SUM(G112:AK112)</f>
      </c>
      <c r="AM112" s="35"/>
    </row>
    <row r="113" ht="13.5" customHeight="1" spans="2:39" x14ac:dyDescent="0.25">
      <c r="B113" s="48" t="s">
        <v>3</v>
      </c>
      <c r="C113" s="49" t="s">
        <v>1472</v>
      </c>
      <c r="D113" s="50" t="s">
        <v>44</v>
      </c>
      <c r="E113" s="32" t="s">
        <v>3</v>
      </c>
      <c r="F113" s="32" t="s">
        <v>1494</v>
      </c>
      <c r="G113" s="32"/>
      <c r="H113" s="32"/>
      <c r="I113" s="32"/>
      <c r="J113" s="32"/>
      <c r="K113" s="33">
        <v>19.05</v>
      </c>
      <c r="L113" s="33">
        <v>19.05</v>
      </c>
      <c r="M113" s="33">
        <v>19.05</v>
      </c>
      <c r="N113" s="33">
        <v>19.05</v>
      </c>
      <c r="O113" s="33">
        <v>19.05</v>
      </c>
      <c r="P113" s="33">
        <v>19.05</v>
      </c>
      <c r="Q113" s="33">
        <v>19.05</v>
      </c>
      <c r="R113" s="33">
        <v>19.05</v>
      </c>
      <c r="S113" s="33">
        <v>19.05</v>
      </c>
      <c r="T113" s="33">
        <v>19.05</v>
      </c>
      <c r="U113" s="33">
        <v>19.05</v>
      </c>
      <c r="V113" s="33">
        <v>19.05</v>
      </c>
      <c r="W113" s="33">
        <v>19.05</v>
      </c>
      <c r="X113" s="33">
        <v>19.05</v>
      </c>
      <c r="Y113" s="33">
        <v>19.05</v>
      </c>
      <c r="Z113" s="33">
        <v>19.05</v>
      </c>
      <c r="AA113" s="33">
        <v>19.05</v>
      </c>
      <c r="AB113" s="33">
        <v>19.05</v>
      </c>
      <c r="AC113" s="32"/>
      <c r="AD113" s="32"/>
      <c r="AE113" s="32"/>
      <c r="AF113" s="32"/>
      <c r="AG113" s="32"/>
      <c r="AH113" s="32"/>
      <c r="AI113" s="32"/>
      <c r="AJ113" s="32"/>
      <c r="AK113" s="32"/>
      <c r="AL113" s="34">
        <f>SUM(G113:AK113)</f>
      </c>
      <c r="AM113" s="35"/>
    </row>
    <row r="114" ht="13.5" customHeight="1" spans="2:39" x14ac:dyDescent="0.25">
      <c r="B114" s="48" t="s">
        <v>3</v>
      </c>
      <c r="C114" s="49" t="s">
        <v>1472</v>
      </c>
      <c r="D114" s="50" t="s">
        <v>44</v>
      </c>
      <c r="E114" s="32" t="s">
        <v>3</v>
      </c>
      <c r="F114" s="32" t="s">
        <v>1495</v>
      </c>
      <c r="G114" s="32"/>
      <c r="H114" s="32"/>
      <c r="I114" s="32"/>
      <c r="J114" s="32"/>
      <c r="K114" s="32"/>
      <c r="L114" s="32"/>
      <c r="M114" s="33">
        <v>14.6</v>
      </c>
      <c r="N114" s="32"/>
      <c r="O114" s="32"/>
      <c r="P114" s="32"/>
      <c r="Q114" s="33">
        <v>17.15</v>
      </c>
      <c r="R114" s="32"/>
      <c r="S114" s="32"/>
      <c r="T114" s="32"/>
      <c r="U114" s="32"/>
      <c r="V114" s="32"/>
      <c r="W114" s="32"/>
      <c r="X114" s="32"/>
      <c r="Y114" s="32"/>
      <c r="Z114" s="33">
        <v>19.05</v>
      </c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4">
        <f>SUM(G114:AK114)</f>
      </c>
      <c r="AM114" s="35"/>
    </row>
    <row r="115" ht="13.5" customHeight="1" spans="2:39" x14ac:dyDescent="0.25">
      <c r="B115" s="48" t="s">
        <v>3</v>
      </c>
      <c r="C115" s="49" t="s">
        <v>1472</v>
      </c>
      <c r="D115" s="50" t="s">
        <v>44</v>
      </c>
      <c r="E115" s="32" t="s">
        <v>3</v>
      </c>
      <c r="F115" s="32" t="s">
        <v>1496</v>
      </c>
      <c r="G115" s="32"/>
      <c r="H115" s="32"/>
      <c r="I115" s="32"/>
      <c r="J115" s="32"/>
      <c r="K115" s="33">
        <v>17.95</v>
      </c>
      <c r="L115" s="33">
        <v>17.95</v>
      </c>
      <c r="M115" s="33">
        <v>17.95</v>
      </c>
      <c r="N115" s="33">
        <v>17.95</v>
      </c>
      <c r="O115" s="33">
        <v>17.95</v>
      </c>
      <c r="P115" s="33">
        <v>17.95</v>
      </c>
      <c r="Q115" s="33">
        <v>17.95</v>
      </c>
      <c r="R115" s="33">
        <v>17.95</v>
      </c>
      <c r="S115" s="33">
        <f>17.95+2.99</f>
        <v>20.939999999999998</v>
      </c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4">
        <f>SUM(G115:AK115)</f>
      </c>
      <c r="AM115" s="35"/>
    </row>
    <row r="116" ht="13.5" customHeight="1" spans="2:39" x14ac:dyDescent="0.25">
      <c r="B116" s="48" t="s">
        <v>3</v>
      </c>
      <c r="C116" s="49" t="s">
        <v>1472</v>
      </c>
      <c r="D116" s="50" t="s">
        <v>44</v>
      </c>
      <c r="E116" s="32" t="s">
        <v>3</v>
      </c>
      <c r="F116" s="32" t="s">
        <v>1497</v>
      </c>
      <c r="G116" s="32"/>
      <c r="H116" s="32"/>
      <c r="I116" s="32"/>
      <c r="J116" s="32"/>
      <c r="K116" s="33">
        <v>19.05</v>
      </c>
      <c r="L116" s="33">
        <v>19.05</v>
      </c>
      <c r="M116" s="33">
        <v>19.05</v>
      </c>
      <c r="N116" s="33">
        <v>19.05</v>
      </c>
      <c r="O116" s="33">
        <v>19.05</v>
      </c>
      <c r="P116" s="33">
        <v>19.05</v>
      </c>
      <c r="Q116" s="33">
        <v>19.05</v>
      </c>
      <c r="R116" s="33">
        <v>19.05</v>
      </c>
      <c r="S116" s="33">
        <v>19.05</v>
      </c>
      <c r="T116" s="33">
        <v>19.05</v>
      </c>
      <c r="U116" s="33">
        <v>19.05</v>
      </c>
      <c r="V116" s="33">
        <v>19.05</v>
      </c>
      <c r="W116" s="33">
        <v>19.05</v>
      </c>
      <c r="X116" s="33">
        <v>19.05</v>
      </c>
      <c r="Y116" s="33">
        <v>19.05</v>
      </c>
      <c r="Z116" s="33">
        <v>19.05</v>
      </c>
      <c r="AA116" s="33">
        <v>19.05</v>
      </c>
      <c r="AB116" s="33">
        <v>19.05</v>
      </c>
      <c r="AC116" s="32"/>
      <c r="AD116" s="32"/>
      <c r="AE116" s="32"/>
      <c r="AF116" s="32"/>
      <c r="AG116" s="32"/>
      <c r="AH116" s="32"/>
      <c r="AI116" s="32"/>
      <c r="AJ116" s="32"/>
      <c r="AK116" s="32"/>
      <c r="AL116" s="34">
        <f>SUM(G116:AK116)</f>
      </c>
      <c r="AM116" s="35"/>
    </row>
    <row r="117" ht="13.5" customHeight="1" spans="2:39" x14ac:dyDescent="0.25">
      <c r="B117" s="48" t="s">
        <v>3</v>
      </c>
      <c r="C117" s="49" t="s">
        <v>1472</v>
      </c>
      <c r="D117" s="50" t="s">
        <v>44</v>
      </c>
      <c r="E117" s="32" t="s">
        <v>3</v>
      </c>
      <c r="F117" s="32" t="s">
        <v>1498</v>
      </c>
      <c r="G117" s="32"/>
      <c r="H117" s="32"/>
      <c r="I117" s="32"/>
      <c r="J117" s="32"/>
      <c r="K117" s="33">
        <v>16.85</v>
      </c>
      <c r="L117" s="33">
        <v>16.85</v>
      </c>
      <c r="M117" s="33">
        <v>16.85</v>
      </c>
      <c r="N117" s="33">
        <v>16.85</v>
      </c>
      <c r="O117" s="33">
        <v>18.85</v>
      </c>
      <c r="P117" s="33">
        <v>16.85</v>
      </c>
      <c r="Q117" s="33">
        <v>16.85</v>
      </c>
      <c r="R117" s="33">
        <v>16.85</v>
      </c>
      <c r="S117" s="33">
        <v>16.85</v>
      </c>
      <c r="T117" s="33">
        <f>16.85+2.25</f>
        <v>19.1</v>
      </c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4">
        <f>SUM(G117:AK117)</f>
      </c>
      <c r="AM117" s="35"/>
    </row>
    <row r="118" ht="13.5" customHeight="1" spans="2:39" x14ac:dyDescent="0.25">
      <c r="B118" s="48" t="s">
        <v>3</v>
      </c>
      <c r="C118" s="49" t="s">
        <v>1472</v>
      </c>
      <c r="D118" s="50" t="s">
        <v>44</v>
      </c>
      <c r="E118" s="32" t="s">
        <v>3</v>
      </c>
      <c r="F118" s="32" t="s">
        <v>1499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3">
        <v>19.05</v>
      </c>
      <c r="T118" s="33">
        <v>19.05</v>
      </c>
      <c r="U118" s="33">
        <v>19.05</v>
      </c>
      <c r="V118" s="33">
        <v>19.05</v>
      </c>
      <c r="W118" s="33">
        <v>19.05</v>
      </c>
      <c r="X118" s="33">
        <v>19.05</v>
      </c>
      <c r="Y118" s="33">
        <v>19.05</v>
      </c>
      <c r="Z118" s="33">
        <v>19.05</v>
      </c>
      <c r="AA118" s="33">
        <v>19.05</v>
      </c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4">
        <f>SUM(G118:AK118)</f>
      </c>
      <c r="AM118" s="35"/>
    </row>
    <row r="119" ht="13.5" customHeight="1" spans="2:39" x14ac:dyDescent="0.25">
      <c r="B119" s="48" t="s">
        <v>3</v>
      </c>
      <c r="C119" s="49" t="s">
        <v>1472</v>
      </c>
      <c r="D119" s="50" t="s">
        <v>44</v>
      </c>
      <c r="E119" s="32" t="s">
        <v>3</v>
      </c>
      <c r="F119" s="32" t="s">
        <v>1500</v>
      </c>
      <c r="G119" s="32"/>
      <c r="H119" s="32"/>
      <c r="I119" s="32"/>
      <c r="J119" s="32"/>
      <c r="K119" s="33">
        <v>19.05</v>
      </c>
      <c r="L119" s="33">
        <v>19.05</v>
      </c>
      <c r="M119" s="33">
        <v>19.05</v>
      </c>
      <c r="N119" s="33">
        <v>19.05</v>
      </c>
      <c r="O119" s="33">
        <v>7.62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4">
        <f>SUM(G119:AK119)</f>
      </c>
      <c r="AM119" s="35"/>
    </row>
    <row r="120" ht="13.5" customHeight="1" spans="2:39" x14ac:dyDescent="0.25">
      <c r="B120" s="48" t="s">
        <v>3</v>
      </c>
      <c r="C120" s="49" t="s">
        <v>1472</v>
      </c>
      <c r="D120" s="50" t="s">
        <v>44</v>
      </c>
      <c r="E120" s="32" t="s">
        <v>3</v>
      </c>
      <c r="F120" s="32" t="s">
        <v>1501</v>
      </c>
      <c r="G120" s="32"/>
      <c r="H120" s="32"/>
      <c r="I120" s="32"/>
      <c r="J120" s="32"/>
      <c r="K120" s="33">
        <v>17.95</v>
      </c>
      <c r="L120" s="33">
        <v>17.95</v>
      </c>
      <c r="M120" s="33">
        <f>17.95+1.80</f>
        <v>19.75</v>
      </c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4">
        <f>SUM(G120:AK120)</f>
      </c>
      <c r="AM120" s="35"/>
    </row>
    <row r="121" ht="13.5" customHeight="1" spans="2:39" x14ac:dyDescent="0.25">
      <c r="B121" s="48" t="s">
        <v>3</v>
      </c>
      <c r="C121" s="49" t="s">
        <v>1472</v>
      </c>
      <c r="D121" s="50" t="s">
        <v>44</v>
      </c>
      <c r="E121" s="32" t="s">
        <v>3</v>
      </c>
      <c r="F121" s="32" t="s">
        <v>1502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3">
        <v>15.88</v>
      </c>
      <c r="S121" s="32"/>
      <c r="T121" s="33">
        <v>17.74</v>
      </c>
      <c r="U121" s="33">
        <v>19.05</v>
      </c>
      <c r="V121" s="33">
        <v>19.05</v>
      </c>
      <c r="W121" s="33">
        <v>19.05</v>
      </c>
      <c r="X121" s="33">
        <v>19.05</v>
      </c>
      <c r="Y121" s="33">
        <v>19.05</v>
      </c>
      <c r="Z121" s="33">
        <v>19.05</v>
      </c>
      <c r="AA121" s="33">
        <v>19.05</v>
      </c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4">
        <f>SUM(G121:AK121)</f>
      </c>
      <c r="AM121" s="35"/>
    </row>
    <row r="122" ht="13.5" customHeight="1" spans="2:39" x14ac:dyDescent="0.25">
      <c r="B122" s="48" t="s">
        <v>3</v>
      </c>
      <c r="C122" s="49" t="s">
        <v>1472</v>
      </c>
      <c r="D122" s="50" t="s">
        <v>44</v>
      </c>
      <c r="E122" s="32" t="s">
        <v>3</v>
      </c>
      <c r="F122" s="32" t="s">
        <v>1504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3">
        <v>15.24</v>
      </c>
      <c r="S122" s="32"/>
      <c r="T122" s="33">
        <v>22.89</v>
      </c>
      <c r="U122" s="33">
        <v>19.05</v>
      </c>
      <c r="V122" s="33">
        <v>19.05</v>
      </c>
      <c r="W122" s="33">
        <v>19.05</v>
      </c>
      <c r="X122" s="33">
        <v>19.05</v>
      </c>
      <c r="Y122" s="33">
        <v>19.05</v>
      </c>
      <c r="Z122" s="33">
        <v>19.05</v>
      </c>
      <c r="AA122" s="33">
        <v>19.05</v>
      </c>
      <c r="AB122" s="33">
        <v>19.05</v>
      </c>
      <c r="AC122" s="32"/>
      <c r="AD122" s="32"/>
      <c r="AE122" s="32"/>
      <c r="AF122" s="32"/>
      <c r="AG122" s="32"/>
      <c r="AH122" s="32"/>
      <c r="AI122" s="32"/>
      <c r="AJ122" s="32"/>
      <c r="AK122" s="32"/>
      <c r="AL122" s="34">
        <f>SUM(G122:AK122)</f>
      </c>
      <c r="AM122" s="35"/>
    </row>
    <row r="123" ht="13.5" customHeight="1" spans="2:39" x14ac:dyDescent="0.25">
      <c r="B123" s="48" t="s">
        <v>3</v>
      </c>
      <c r="C123" s="49" t="s">
        <v>1472</v>
      </c>
      <c r="D123" s="50" t="s">
        <v>44</v>
      </c>
      <c r="E123" s="32" t="s">
        <v>3</v>
      </c>
      <c r="F123" s="32" t="s">
        <v>1515</v>
      </c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3">
        <v>16.85</v>
      </c>
      <c r="T123" s="33">
        <v>16.85</v>
      </c>
      <c r="U123" s="33">
        <v>16.85</v>
      </c>
      <c r="V123" s="33">
        <v>16.85</v>
      </c>
      <c r="W123" s="33">
        <v>16.85</v>
      </c>
      <c r="X123" s="33">
        <v>16.85</v>
      </c>
      <c r="Y123" s="33">
        <v>16.85</v>
      </c>
      <c r="Z123" s="33">
        <v>16.85</v>
      </c>
      <c r="AA123" s="33">
        <v>16.85</v>
      </c>
      <c r="AB123" s="33">
        <v>16.85</v>
      </c>
      <c r="AC123" s="32"/>
      <c r="AD123" s="32"/>
      <c r="AE123" s="32"/>
      <c r="AF123" s="32"/>
      <c r="AG123" s="32"/>
      <c r="AH123" s="32"/>
      <c r="AI123" s="32"/>
      <c r="AJ123" s="32"/>
      <c r="AK123" s="32"/>
      <c r="AL123" s="34">
        <f>SUM(G123:AK123)</f>
      </c>
      <c r="AM123" s="35"/>
    </row>
    <row r="124" ht="13.5" customHeight="1" spans="2:39" x14ac:dyDescent="0.25">
      <c r="B124" s="48" t="s">
        <v>3</v>
      </c>
      <c r="C124" s="49" t="s">
        <v>1472</v>
      </c>
      <c r="D124" s="50" t="s">
        <v>44</v>
      </c>
      <c r="E124" s="32" t="s">
        <v>3</v>
      </c>
      <c r="F124" s="32" t="s">
        <v>1505</v>
      </c>
      <c r="G124" s="32"/>
      <c r="H124" s="32"/>
      <c r="I124" s="32"/>
      <c r="J124" s="32"/>
      <c r="K124" s="33">
        <v>17.95</v>
      </c>
      <c r="L124" s="33">
        <v>17.95</v>
      </c>
      <c r="M124" s="33">
        <v>17.95</v>
      </c>
      <c r="N124" s="33">
        <v>17.95</v>
      </c>
      <c r="O124" s="33">
        <v>17.95</v>
      </c>
      <c r="P124" s="33">
        <v>17.95</v>
      </c>
      <c r="Q124" s="33">
        <v>17.95</v>
      </c>
      <c r="R124" s="33">
        <v>13.76</v>
      </c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4">
        <f>SUM(G124:AK124)</f>
      </c>
      <c r="AM124" s="35"/>
    </row>
    <row r="125" ht="13.5" customHeight="1" spans="2:39" x14ac:dyDescent="0.25">
      <c r="B125" s="48" t="s">
        <v>3</v>
      </c>
      <c r="C125" s="49" t="s">
        <v>1472</v>
      </c>
      <c r="D125" s="50" t="s">
        <v>44</v>
      </c>
      <c r="E125" s="32" t="s">
        <v>3</v>
      </c>
      <c r="F125" s="32" t="s">
        <v>1506</v>
      </c>
      <c r="G125" s="32"/>
      <c r="H125" s="32"/>
      <c r="I125" s="32"/>
      <c r="J125" s="32"/>
      <c r="K125" s="33">
        <v>17.37</v>
      </c>
      <c r="L125" s="33">
        <v>17.95</v>
      </c>
      <c r="M125" s="33">
        <v>17.95</v>
      </c>
      <c r="N125" s="33">
        <v>17.95</v>
      </c>
      <c r="O125" s="33">
        <v>17.95</v>
      </c>
      <c r="P125" s="33">
        <v>17.95</v>
      </c>
      <c r="Q125" s="33">
        <v>17.95</v>
      </c>
      <c r="R125" s="33">
        <v>17.95</v>
      </c>
      <c r="S125" s="33">
        <v>17.95</v>
      </c>
      <c r="T125" s="33">
        <v>17.95</v>
      </c>
      <c r="U125" s="33">
        <v>17.95</v>
      </c>
      <c r="V125" s="33">
        <v>17.95</v>
      </c>
      <c r="W125" s="33">
        <v>17.95</v>
      </c>
      <c r="X125" s="33">
        <v>17.95</v>
      </c>
      <c r="Y125" s="33">
        <v>17.95</v>
      </c>
      <c r="Z125" s="33">
        <v>17.95</v>
      </c>
      <c r="AA125" s="33">
        <v>17.95</v>
      </c>
      <c r="AB125" s="33">
        <v>17.95</v>
      </c>
      <c r="AC125" s="32"/>
      <c r="AD125" s="32"/>
      <c r="AE125" s="32"/>
      <c r="AF125" s="32"/>
      <c r="AG125" s="32"/>
      <c r="AH125" s="32"/>
      <c r="AI125" s="32"/>
      <c r="AJ125" s="32"/>
      <c r="AK125" s="32"/>
      <c r="AL125" s="34">
        <f>SUM(G125:AK125)</f>
      </c>
      <c r="AM125" s="35"/>
    </row>
    <row r="126" ht="13.5" customHeight="1" spans="2:39" x14ac:dyDescent="0.25">
      <c r="B126" s="48" t="s">
        <v>3</v>
      </c>
      <c r="C126" s="49" t="s">
        <v>1472</v>
      </c>
      <c r="D126" s="50" t="s">
        <v>44</v>
      </c>
      <c r="E126" s="32" t="s">
        <v>3</v>
      </c>
      <c r="F126" s="32" t="s">
        <v>1507</v>
      </c>
      <c r="G126" s="32"/>
      <c r="H126" s="32"/>
      <c r="I126" s="32"/>
      <c r="J126" s="32"/>
      <c r="K126" s="33">
        <v>19.05</v>
      </c>
      <c r="L126" s="33">
        <v>19.05</v>
      </c>
      <c r="M126" s="33">
        <v>19.05</v>
      </c>
      <c r="N126" s="33">
        <v>19.05</v>
      </c>
      <c r="O126" s="33">
        <v>19.05</v>
      </c>
      <c r="P126" s="33">
        <v>19.05</v>
      </c>
      <c r="Q126" s="33">
        <v>19.05</v>
      </c>
      <c r="R126" s="33">
        <v>19.05</v>
      </c>
      <c r="S126" s="33">
        <v>19.05</v>
      </c>
      <c r="T126" s="33">
        <v>19.05</v>
      </c>
      <c r="U126" s="33">
        <v>19.9</v>
      </c>
      <c r="V126" s="33">
        <v>19.05</v>
      </c>
      <c r="W126" s="33">
        <v>19.05</v>
      </c>
      <c r="X126" s="33">
        <v>19.05</v>
      </c>
      <c r="Y126" s="33">
        <v>19.05</v>
      </c>
      <c r="Z126" s="33">
        <v>19.05</v>
      </c>
      <c r="AA126" s="33">
        <v>19.05</v>
      </c>
      <c r="AB126" s="33">
        <v>19.05</v>
      </c>
      <c r="AC126" s="32"/>
      <c r="AD126" s="32"/>
      <c r="AE126" s="32"/>
      <c r="AF126" s="32"/>
      <c r="AG126" s="32"/>
      <c r="AH126" s="32"/>
      <c r="AI126" s="32"/>
      <c r="AJ126" s="32"/>
      <c r="AK126" s="32"/>
      <c r="AL126" s="34">
        <f>SUM(G126:AK126)</f>
      </c>
      <c r="AM126" s="35"/>
    </row>
    <row r="127" ht="13.5" customHeight="1" spans="2:39" x14ac:dyDescent="0.25">
      <c r="B127" s="48" t="s">
        <v>3</v>
      </c>
      <c r="C127" s="49" t="s">
        <v>1472</v>
      </c>
      <c r="D127" s="50" t="s">
        <v>44</v>
      </c>
      <c r="E127" s="32" t="s">
        <v>3</v>
      </c>
      <c r="F127" s="32" t="s">
        <v>1508</v>
      </c>
      <c r="G127" s="33">
        <v>0</v>
      </c>
      <c r="H127" s="32"/>
      <c r="I127" s="32"/>
      <c r="J127" s="32"/>
      <c r="K127" s="33">
        <v>19.05</v>
      </c>
      <c r="L127" s="33">
        <v>19.05</v>
      </c>
      <c r="M127" s="33">
        <v>19.05</v>
      </c>
      <c r="N127" s="33">
        <v>19.05</v>
      </c>
      <c r="O127" s="33">
        <v>19.05</v>
      </c>
      <c r="P127" s="33">
        <v>17.15</v>
      </c>
      <c r="Q127" s="33">
        <v>0</v>
      </c>
      <c r="R127" s="32"/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f>0.00+0.00</f>
        <v>0</v>
      </c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4">
        <f>SUM(G127:AK127)</f>
      </c>
      <c r="AM127" s="35"/>
    </row>
    <row r="128" ht="13.5" customHeight="1" spans="2:39" x14ac:dyDescent="0.25">
      <c r="B128" s="48" t="s">
        <v>3</v>
      </c>
      <c r="C128" s="49" t="s">
        <v>1472</v>
      </c>
      <c r="D128" s="50" t="s">
        <v>44</v>
      </c>
      <c r="E128" s="32" t="s">
        <v>3</v>
      </c>
      <c r="F128" s="32" t="s">
        <v>1509</v>
      </c>
      <c r="G128" s="32"/>
      <c r="H128" s="32"/>
      <c r="I128" s="32"/>
      <c r="J128" s="32"/>
      <c r="K128" s="33">
        <v>19.05</v>
      </c>
      <c r="L128" s="33">
        <v>19.05</v>
      </c>
      <c r="M128" s="33">
        <v>19.05</v>
      </c>
      <c r="N128" s="33">
        <v>19.05</v>
      </c>
      <c r="O128" s="33">
        <v>19.05</v>
      </c>
      <c r="P128" s="33">
        <v>19.05</v>
      </c>
      <c r="Q128" s="33">
        <v>19.05</v>
      </c>
      <c r="R128" s="32"/>
      <c r="S128" s="33">
        <v>19.05</v>
      </c>
      <c r="T128" s="33">
        <v>19.05</v>
      </c>
      <c r="U128" s="33">
        <v>19.9</v>
      </c>
      <c r="V128" s="33">
        <v>19.05</v>
      </c>
      <c r="W128" s="33">
        <v>19.05</v>
      </c>
      <c r="X128" s="33">
        <v>19.05</v>
      </c>
      <c r="Y128" s="33">
        <v>19.05</v>
      </c>
      <c r="Z128" s="33">
        <v>19.05</v>
      </c>
      <c r="AA128" s="33">
        <v>19.05</v>
      </c>
      <c r="AB128" s="33">
        <v>19.05</v>
      </c>
      <c r="AC128" s="32"/>
      <c r="AD128" s="32"/>
      <c r="AE128" s="32"/>
      <c r="AF128" s="32"/>
      <c r="AG128" s="32"/>
      <c r="AH128" s="32"/>
      <c r="AI128" s="32"/>
      <c r="AJ128" s="32"/>
      <c r="AK128" s="32"/>
      <c r="AL128" s="34">
        <f>SUM(G128:AK128)</f>
      </c>
      <c r="AM128" s="35"/>
    </row>
    <row r="129" ht="13.5" customHeight="1" spans="2:39" x14ac:dyDescent="0.25">
      <c r="B129" s="48" t="s">
        <v>3</v>
      </c>
      <c r="C129" s="49" t="s">
        <v>1472</v>
      </c>
      <c r="D129" s="50" t="s">
        <v>44</v>
      </c>
      <c r="E129" s="32" t="s">
        <v>3</v>
      </c>
      <c r="F129" s="32" t="s">
        <v>1510</v>
      </c>
      <c r="G129" s="33">
        <v>0</v>
      </c>
      <c r="H129" s="32"/>
      <c r="I129" s="32"/>
      <c r="J129" s="32"/>
      <c r="K129" s="33">
        <v>19.05</v>
      </c>
      <c r="L129" s="33">
        <v>19.05</v>
      </c>
      <c r="M129" s="33">
        <v>19.05</v>
      </c>
      <c r="N129" s="33">
        <v>19.05</v>
      </c>
      <c r="O129" s="33">
        <v>19.05</v>
      </c>
      <c r="P129" s="33">
        <v>17.15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2"/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4">
        <f>SUM(G129:AK129)</f>
      </c>
      <c r="AM129" s="35"/>
    </row>
    <row r="130" ht="13.5" customHeight="1" spans="2:39" x14ac:dyDescent="0.25">
      <c r="B130" s="48" t="s">
        <v>3</v>
      </c>
      <c r="C130" s="49" t="s">
        <v>1472</v>
      </c>
      <c r="D130" s="50" t="s">
        <v>44</v>
      </c>
      <c r="E130" s="32" t="s">
        <v>3</v>
      </c>
      <c r="F130" s="32" t="s">
        <v>1511</v>
      </c>
      <c r="G130" s="32"/>
      <c r="H130" s="32"/>
      <c r="I130" s="32"/>
      <c r="J130" s="32"/>
      <c r="K130" s="33">
        <v>16.85</v>
      </c>
      <c r="L130" s="33">
        <v>16.85</v>
      </c>
      <c r="M130" s="33">
        <v>16.85</v>
      </c>
      <c r="N130" s="33">
        <v>16.85</v>
      </c>
      <c r="O130" s="33">
        <v>16.85</v>
      </c>
      <c r="P130" s="33">
        <v>15.17</v>
      </c>
      <c r="Q130" s="33">
        <v>0</v>
      </c>
      <c r="R130" s="33">
        <v>0</v>
      </c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4">
        <f>SUM(G130:AK130)</f>
      </c>
      <c r="AM130" s="35"/>
    </row>
    <row r="131" ht="13.5" customHeight="1" spans="2:39" x14ac:dyDescent="0.25">
      <c r="B131" s="51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40"/>
    </row>
    <row r="132" ht="13.5" customHeight="1" spans="2:39" x14ac:dyDescent="0.25">
      <c r="B132" s="20"/>
      <c r="C132" s="21"/>
      <c r="D132" s="21" t="s">
        <v>90</v>
      </c>
      <c r="E132" s="21"/>
      <c r="F132" s="21"/>
      <c r="G132" s="22">
        <f>SUM(G99:G130)</f>
      </c>
      <c r="H132" s="22">
        <f>SUM(H99:H130)</f>
      </c>
      <c r="I132" s="22">
        <f>SUM(I99:I130)</f>
      </c>
      <c r="J132" s="22">
        <f>SUM(J99:J130)</f>
      </c>
      <c r="K132" s="22">
        <f>SUM(K99:K130)</f>
      </c>
      <c r="L132" s="22">
        <f>SUM(L99:L130)</f>
      </c>
      <c r="M132" s="22">
        <f>SUM(M99:M130)</f>
      </c>
      <c r="N132" s="22">
        <f>SUM(N99:N130)</f>
      </c>
      <c r="O132" s="22">
        <f>SUM(O99:O130)</f>
      </c>
      <c r="P132" s="22">
        <f>SUM(P99:P130)</f>
      </c>
      <c r="Q132" s="22">
        <f>SUM(Q99:Q130)</f>
      </c>
      <c r="R132" s="22">
        <f>SUM(R99:R130)</f>
      </c>
      <c r="S132" s="22">
        <f>SUM(S99:S130)</f>
      </c>
      <c r="T132" s="22">
        <f>SUM(T99:T130)</f>
      </c>
      <c r="U132" s="22">
        <f>SUM(U99:U130)</f>
      </c>
      <c r="V132" s="22">
        <f>SUM(V99:V130)</f>
      </c>
      <c r="W132" s="22">
        <f>SUM(W99:W130)</f>
      </c>
      <c r="X132" s="22">
        <f>SUM(X99:X130)</f>
      </c>
      <c r="Y132" s="22">
        <f>SUM(Y99:Y130)</f>
      </c>
      <c r="Z132" s="22">
        <f>SUM(Z99:Z130)</f>
      </c>
      <c r="AA132" s="22">
        <f>SUM(AA99:AA130)</f>
      </c>
      <c r="AB132" s="22">
        <f>SUM(AB99:AB130)</f>
      </c>
      <c r="AC132" s="22">
        <f>SUM(AC99:AC130)</f>
      </c>
      <c r="AD132" s="22">
        <f>SUM(AD99:AD130)</f>
      </c>
      <c r="AE132" s="22">
        <f>SUM(AE99:AE130)</f>
      </c>
      <c r="AF132" s="22">
        <f>SUM(AF99:AF130)</f>
      </c>
      <c r="AG132" s="22">
        <f>SUM(AG99:AG130)</f>
      </c>
      <c r="AH132" s="22">
        <f>SUM(AH99:AH130)</f>
      </c>
      <c r="AI132" s="22">
        <f>SUM(AI99:AI130)</f>
      </c>
      <c r="AJ132" s="22">
        <f>SUM(AJ99:AJ130)</f>
      </c>
      <c r="AK132" s="22">
        <f>SUM(AK99:AK130)</f>
      </c>
      <c r="AL132" s="22">
        <f>SUM(AL99:AL130)</f>
      </c>
      <c r="AM132" s="23"/>
    </row>
    <row r="135" ht="12.75" customHeight="1" spans="2:39" x14ac:dyDescent="0.25">
      <c r="B135" s="11" t="s">
        <v>40</v>
      </c>
      <c r="C135" s="12"/>
      <c r="D135" s="12"/>
      <c r="E135" s="12"/>
      <c r="F135" s="12"/>
      <c r="G135" s="52" t="s">
        <v>7</v>
      </c>
      <c r="H135" s="52" t="s">
        <v>8</v>
      </c>
      <c r="I135" s="52" t="s">
        <v>9</v>
      </c>
      <c r="J135" s="52" t="s">
        <v>10</v>
      </c>
      <c r="K135" s="52" t="s">
        <v>11</v>
      </c>
      <c r="L135" s="52" t="s">
        <v>12</v>
      </c>
      <c r="M135" s="52" t="s">
        <v>13</v>
      </c>
      <c r="N135" s="52" t="s">
        <v>14</v>
      </c>
      <c r="O135" s="52" t="s">
        <v>15</v>
      </c>
      <c r="P135" s="52" t="s">
        <v>16</v>
      </c>
      <c r="Q135" s="52" t="s">
        <v>17</v>
      </c>
      <c r="R135" s="52" t="s">
        <v>18</v>
      </c>
      <c r="S135" s="52" t="s">
        <v>19</v>
      </c>
      <c r="T135" s="52" t="s">
        <v>20</v>
      </c>
      <c r="U135" s="52" t="s">
        <v>21</v>
      </c>
      <c r="V135" s="52" t="s">
        <v>22</v>
      </c>
      <c r="W135" s="52" t="s">
        <v>23</v>
      </c>
      <c r="X135" s="52" t="s">
        <v>24</v>
      </c>
      <c r="Y135" s="52" t="s">
        <v>25</v>
      </c>
      <c r="Z135" s="52" t="s">
        <v>26</v>
      </c>
      <c r="AA135" s="52" t="s">
        <v>27</v>
      </c>
      <c r="AB135" s="52" t="s">
        <v>28</v>
      </c>
      <c r="AC135" s="52" t="s">
        <v>29</v>
      </c>
      <c r="AD135" s="52" t="s">
        <v>30</v>
      </c>
      <c r="AE135" s="52" t="s">
        <v>31</v>
      </c>
      <c r="AF135" s="52" t="s">
        <v>32</v>
      </c>
      <c r="AG135" s="52" t="s">
        <v>33</v>
      </c>
      <c r="AH135" s="52" t="s">
        <v>34</v>
      </c>
      <c r="AI135" s="52" t="s">
        <v>35</v>
      </c>
      <c r="AJ135" s="52" t="s">
        <v>36</v>
      </c>
      <c r="AK135" s="52" t="s">
        <v>37</v>
      </c>
      <c r="AL135" s="52" t="s">
        <v>38</v>
      </c>
      <c r="AM135" s="15"/>
    </row>
    <row r="136" ht="12.75" customHeight="1" spans="2:39" x14ac:dyDescent="0.25">
      <c r="B136" s="16"/>
      <c r="C136" s="17"/>
      <c r="D136" s="17" t="s">
        <v>41</v>
      </c>
      <c r="E136" s="17"/>
      <c r="F136" s="17"/>
      <c r="G136" s="18">
        <f>G11</f>
      </c>
      <c r="H136" s="18">
        <f>H11</f>
      </c>
      <c r="I136" s="18">
        <f>I11</f>
      </c>
      <c r="J136" s="18">
        <f>J11</f>
      </c>
      <c r="K136" s="18">
        <f>K11</f>
      </c>
      <c r="L136" s="18">
        <f>L11</f>
      </c>
      <c r="M136" s="18">
        <f>M11</f>
      </c>
      <c r="N136" s="18">
        <f>N11</f>
      </c>
      <c r="O136" s="18">
        <f>O11</f>
      </c>
      <c r="P136" s="18">
        <f>P11</f>
      </c>
      <c r="Q136" s="18">
        <f>Q11</f>
      </c>
      <c r="R136" s="18">
        <f>R11</f>
      </c>
      <c r="S136" s="18">
        <f>S11</f>
      </c>
      <c r="T136" s="18">
        <f>T11</f>
      </c>
      <c r="U136" s="18">
        <f>U11</f>
      </c>
      <c r="V136" s="18">
        <f>V11</f>
      </c>
      <c r="W136" s="18">
        <f>W11</f>
      </c>
      <c r="X136" s="18">
        <f>X11</f>
      </c>
      <c r="Y136" s="18">
        <f>Y11</f>
      </c>
      <c r="Z136" s="18">
        <f>Z11</f>
      </c>
      <c r="AA136" s="18">
        <f>AA11</f>
      </c>
      <c r="AB136" s="18">
        <f>AB11</f>
      </c>
      <c r="AC136" s="18">
        <f>AC11</f>
      </c>
      <c r="AD136" s="18">
        <f>AD11</f>
      </c>
      <c r="AE136" s="18">
        <f>AE11</f>
      </c>
      <c r="AF136" s="18">
        <f>AF11</f>
      </c>
      <c r="AG136" s="18">
        <f>AG11</f>
      </c>
      <c r="AH136" s="18">
        <f>AH11</f>
      </c>
      <c r="AI136" s="18">
        <f>AI11</f>
      </c>
      <c r="AJ136" s="18">
        <f>AJ11</f>
      </c>
      <c r="AK136" s="18">
        <f>AK11</f>
      </c>
      <c r="AL136" s="18">
        <f>AL11</f>
      </c>
      <c r="AM136" s="19"/>
    </row>
    <row r="137" ht="12.75" customHeight="1" spans="2:39" x14ac:dyDescent="0.25">
      <c r="B137" s="16"/>
      <c r="C137" s="17"/>
      <c r="D137" s="17" t="s">
        <v>42</v>
      </c>
      <c r="E137" s="17"/>
      <c r="F137" s="17"/>
      <c r="G137" s="18">
        <f>G56</f>
      </c>
      <c r="H137" s="18">
        <f>H56</f>
      </c>
      <c r="I137" s="18">
        <f>I56</f>
      </c>
      <c r="J137" s="18">
        <f>J56</f>
      </c>
      <c r="K137" s="18">
        <f>K56</f>
      </c>
      <c r="L137" s="18">
        <f>L56</f>
      </c>
      <c r="M137" s="18">
        <f>M56</f>
      </c>
      <c r="N137" s="18">
        <f>N56</f>
      </c>
      <c r="O137" s="18">
        <f>O56</f>
      </c>
      <c r="P137" s="18">
        <f>P56</f>
      </c>
      <c r="Q137" s="18">
        <f>Q56</f>
      </c>
      <c r="R137" s="18">
        <f>R56</f>
      </c>
      <c r="S137" s="18">
        <f>S56</f>
      </c>
      <c r="T137" s="18">
        <f>T56</f>
      </c>
      <c r="U137" s="18">
        <f>U56</f>
      </c>
      <c r="V137" s="18">
        <f>V56</f>
      </c>
      <c r="W137" s="18">
        <f>W56</f>
      </c>
      <c r="X137" s="18">
        <f>X56</f>
      </c>
      <c r="Y137" s="18">
        <f>Y56</f>
      </c>
      <c r="Z137" s="18">
        <f>Z56</f>
      </c>
      <c r="AA137" s="18">
        <f>AA56</f>
      </c>
      <c r="AB137" s="18">
        <f>AB56</f>
      </c>
      <c r="AC137" s="18">
        <f>AC56</f>
      </c>
      <c r="AD137" s="18">
        <f>AD56</f>
      </c>
      <c r="AE137" s="18">
        <f>AE56</f>
      </c>
      <c r="AF137" s="18">
        <f>AF56</f>
      </c>
      <c r="AG137" s="18">
        <f>AG56</f>
      </c>
      <c r="AH137" s="18">
        <f>AH56</f>
      </c>
      <c r="AI137" s="18">
        <f>AI56</f>
      </c>
      <c r="AJ137" s="18">
        <f>AJ56</f>
      </c>
      <c r="AK137" s="18">
        <f>AK56</f>
      </c>
      <c r="AL137" s="18">
        <f>AL56</f>
      </c>
      <c r="AM137" s="19"/>
    </row>
    <row r="138" ht="12.75" customHeight="1" spans="2:39" x14ac:dyDescent="0.25">
      <c r="B138" s="16"/>
      <c r="C138" s="17"/>
      <c r="D138" s="17" t="s">
        <v>43</v>
      </c>
      <c r="E138" s="17"/>
      <c r="F138" s="17"/>
      <c r="G138" s="18">
        <f>G96</f>
      </c>
      <c r="H138" s="18">
        <f>H96</f>
      </c>
      <c r="I138" s="18">
        <f>I96</f>
      </c>
      <c r="J138" s="18">
        <f>J96</f>
      </c>
      <c r="K138" s="18">
        <f>K96</f>
      </c>
      <c r="L138" s="18">
        <f>L96</f>
      </c>
      <c r="M138" s="18">
        <f>M96</f>
      </c>
      <c r="N138" s="18">
        <f>N96</f>
      </c>
      <c r="O138" s="18">
        <f>O96</f>
      </c>
      <c r="P138" s="18">
        <f>P96</f>
      </c>
      <c r="Q138" s="18">
        <f>Q96</f>
      </c>
      <c r="R138" s="18">
        <f>R96</f>
      </c>
      <c r="S138" s="18">
        <f>S96</f>
      </c>
      <c r="T138" s="18">
        <f>T96</f>
      </c>
      <c r="U138" s="18">
        <f>U96</f>
      </c>
      <c r="V138" s="18">
        <f>V96</f>
      </c>
      <c r="W138" s="18">
        <f>W96</f>
      </c>
      <c r="X138" s="18">
        <f>X96</f>
      </c>
      <c r="Y138" s="18">
        <f>Y96</f>
      </c>
      <c r="Z138" s="18">
        <f>Z96</f>
      </c>
      <c r="AA138" s="18">
        <f>AA96</f>
      </c>
      <c r="AB138" s="18">
        <f>AB96</f>
      </c>
      <c r="AC138" s="18">
        <f>AC96</f>
      </c>
      <c r="AD138" s="18">
        <f>AD96</f>
      </c>
      <c r="AE138" s="18">
        <f>AE96</f>
      </c>
      <c r="AF138" s="18">
        <f>AF96</f>
      </c>
      <c r="AG138" s="18">
        <f>AG96</f>
      </c>
      <c r="AH138" s="18">
        <f>AH96</f>
      </c>
      <c r="AI138" s="18">
        <f>AI96</f>
      </c>
      <c r="AJ138" s="18">
        <f>AJ96</f>
      </c>
      <c r="AK138" s="18">
        <f>AK96</f>
      </c>
      <c r="AL138" s="18">
        <f>AL96</f>
      </c>
      <c r="AM138" s="19"/>
    </row>
    <row r="139" ht="12.75" customHeight="1" spans="2:39" x14ac:dyDescent="0.25">
      <c r="B139" s="16"/>
      <c r="C139" s="17"/>
      <c r="D139" s="17" t="s">
        <v>44</v>
      </c>
      <c r="E139" s="17"/>
      <c r="F139" s="17"/>
      <c r="G139" s="18">
        <f>G132</f>
      </c>
      <c r="H139" s="18">
        <f>H132</f>
      </c>
      <c r="I139" s="18">
        <f>I132</f>
      </c>
      <c r="J139" s="18">
        <f>J132</f>
      </c>
      <c r="K139" s="18">
        <f>K132</f>
      </c>
      <c r="L139" s="18">
        <f>L132</f>
      </c>
      <c r="M139" s="18">
        <f>M132</f>
      </c>
      <c r="N139" s="18">
        <f>N132</f>
      </c>
      <c r="O139" s="18">
        <f>O132</f>
      </c>
      <c r="P139" s="18">
        <f>P132</f>
      </c>
      <c r="Q139" s="18">
        <f>Q132</f>
      </c>
      <c r="R139" s="18">
        <f>R132</f>
      </c>
      <c r="S139" s="18">
        <f>S132</f>
      </c>
      <c r="T139" s="18">
        <f>T132</f>
      </c>
      <c r="U139" s="18">
        <f>U132</f>
      </c>
      <c r="V139" s="18">
        <f>V132</f>
      </c>
      <c r="W139" s="18">
        <f>W132</f>
      </c>
      <c r="X139" s="18">
        <f>X132</f>
      </c>
      <c r="Y139" s="18">
        <f>Y132</f>
      </c>
      <c r="Z139" s="18">
        <f>Z132</f>
      </c>
      <c r="AA139" s="18">
        <f>AA132</f>
      </c>
      <c r="AB139" s="18">
        <f>AB132</f>
      </c>
      <c r="AC139" s="18">
        <f>AC132</f>
      </c>
      <c r="AD139" s="18">
        <f>AD132</f>
      </c>
      <c r="AE139" s="18">
        <f>AE132</f>
      </c>
      <c r="AF139" s="18">
        <f>AF132</f>
      </c>
      <c r="AG139" s="18">
        <f>AG132</f>
      </c>
      <c r="AH139" s="18">
        <f>AH132</f>
      </c>
      <c r="AI139" s="18">
        <f>AI132</f>
      </c>
      <c r="AJ139" s="18">
        <f>AJ132</f>
      </c>
      <c r="AK139" s="18">
        <f>AK132</f>
      </c>
      <c r="AL139" s="18">
        <f>AL132</f>
      </c>
      <c r="AM139" s="19"/>
    </row>
    <row r="140" ht="12.75" customHeight="1" spans="2:39" x14ac:dyDescent="0.25">
      <c r="B140" s="20"/>
      <c r="C140" s="21"/>
      <c r="D140" s="21" t="s">
        <v>45</v>
      </c>
      <c r="E140" s="21"/>
      <c r="F140" s="21"/>
      <c r="G140" s="22">
        <f>G136+G137+G138+G139</f>
      </c>
      <c r="H140" s="22">
        <f>H136+H137+H138+H139</f>
      </c>
      <c r="I140" s="22">
        <f>I136+I137+I138+I139</f>
      </c>
      <c r="J140" s="22">
        <f>J136+J137+J138+J139</f>
      </c>
      <c r="K140" s="22">
        <f>K136+K137+K138+K139</f>
      </c>
      <c r="L140" s="22">
        <f>L136+L137+L138+L139</f>
      </c>
      <c r="M140" s="22">
        <f>M136+M137+M138+M139</f>
      </c>
      <c r="N140" s="22">
        <f>N136+N137+N138+N139</f>
      </c>
      <c r="O140" s="22">
        <f>O136+O137+O138+O139</f>
      </c>
      <c r="P140" s="22">
        <f>P136+P137+P138+P139</f>
      </c>
      <c r="Q140" s="22">
        <f>Q136+Q137+Q138+Q139</f>
      </c>
      <c r="R140" s="22">
        <f>R136+R137+R138+R139</f>
      </c>
      <c r="S140" s="22">
        <f>S136+S137+S138+S139</f>
      </c>
      <c r="T140" s="22">
        <f>T136+T137+T138+T139</f>
      </c>
      <c r="U140" s="22">
        <f>U136+U137+U138+U139</f>
      </c>
      <c r="V140" s="22">
        <f>V136+V137+V138+V139</f>
      </c>
      <c r="W140" s="22">
        <f>W136+W137+W138+W139</f>
      </c>
      <c r="X140" s="22">
        <f>X136+X137+X138+X139</f>
      </c>
      <c r="Y140" s="22">
        <f>Y136+Y137+Y138+Y139</f>
      </c>
      <c r="Z140" s="22">
        <f>Z136+Z137+Z138+Z139</f>
      </c>
      <c r="AA140" s="22">
        <f>AA136+AA137+AA138+AA139</f>
      </c>
      <c r="AB140" s="22">
        <f>AB136+AB137+AB138+AB139</f>
      </c>
      <c r="AC140" s="22">
        <f>AC136+AC137+AC138+AC139</f>
      </c>
      <c r="AD140" s="22">
        <f>AD136+AD137+AD138+AD139</f>
      </c>
      <c r="AE140" s="22">
        <f>AE136+AE137+AE138+AE139</f>
      </c>
      <c r="AF140" s="22">
        <f>AF136+AF137+AF138+AF139</f>
      </c>
      <c r="AG140" s="22">
        <f>AG136+AG137+AG138+AG139</f>
      </c>
      <c r="AH140" s="22">
        <f>AH136+AH137+AH138+AH139</f>
      </c>
      <c r="AI140" s="22">
        <f>AI136+AI137+AI138+AI139</f>
      </c>
      <c r="AJ140" s="22">
        <f>AJ136+AJ137+AJ138+AJ139</f>
      </c>
      <c r="AK140" s="22">
        <f>AK136+AK137+AK138+AK139</f>
      </c>
      <c r="AL140" s="22">
        <f>AL136+AL137+AL138+AL139</f>
      </c>
      <c r="AM140" s="23"/>
    </row>
    <row r="142" ht="12.75" customHeight="1" spans="2:39" x14ac:dyDescent="0.25">
      <c r="B142" s="11" t="s">
        <v>46</v>
      </c>
      <c r="C142" s="12"/>
      <c r="D142" s="12"/>
      <c r="E142" s="12"/>
      <c r="F142" s="12"/>
      <c r="G142" s="52" t="s">
        <v>7</v>
      </c>
      <c r="H142" s="52" t="s">
        <v>8</v>
      </c>
      <c r="I142" s="52" t="s">
        <v>9</v>
      </c>
      <c r="J142" s="52" t="s">
        <v>10</v>
      </c>
      <c r="K142" s="52" t="s">
        <v>11</v>
      </c>
      <c r="L142" s="52" t="s">
        <v>12</v>
      </c>
      <c r="M142" s="52" t="s">
        <v>13</v>
      </c>
      <c r="N142" s="52" t="s">
        <v>14</v>
      </c>
      <c r="O142" s="52" t="s">
        <v>15</v>
      </c>
      <c r="P142" s="52" t="s">
        <v>16</v>
      </c>
      <c r="Q142" s="52" t="s">
        <v>17</v>
      </c>
      <c r="R142" s="52" t="s">
        <v>18</v>
      </c>
      <c r="S142" s="52" t="s">
        <v>19</v>
      </c>
      <c r="T142" s="52" t="s">
        <v>20</v>
      </c>
      <c r="U142" s="52" t="s">
        <v>21</v>
      </c>
      <c r="V142" s="52" t="s">
        <v>22</v>
      </c>
      <c r="W142" s="52" t="s">
        <v>23</v>
      </c>
      <c r="X142" s="52" t="s">
        <v>24</v>
      </c>
      <c r="Y142" s="52" t="s">
        <v>25</v>
      </c>
      <c r="Z142" s="52" t="s">
        <v>26</v>
      </c>
      <c r="AA142" s="52" t="s">
        <v>27</v>
      </c>
      <c r="AB142" s="52" t="s">
        <v>28</v>
      </c>
      <c r="AC142" s="52" t="s">
        <v>29</v>
      </c>
      <c r="AD142" s="52" t="s">
        <v>30</v>
      </c>
      <c r="AE142" s="52" t="s">
        <v>31</v>
      </c>
      <c r="AF142" s="52" t="s">
        <v>32</v>
      </c>
      <c r="AG142" s="52" t="s">
        <v>33</v>
      </c>
      <c r="AH142" s="52" t="s">
        <v>34</v>
      </c>
      <c r="AI142" s="52" t="s">
        <v>35</v>
      </c>
      <c r="AJ142" s="52" t="s">
        <v>36</v>
      </c>
      <c r="AK142" s="52" t="s">
        <v>37</v>
      </c>
      <c r="AL142" s="52" t="s">
        <v>38</v>
      </c>
      <c r="AM142" s="15"/>
    </row>
    <row r="143" ht="12.75" customHeight="1" spans="2:39" x14ac:dyDescent="0.25">
      <c r="B143" s="16"/>
      <c r="C143" s="17"/>
      <c r="D143" s="17" t="s">
        <v>41</v>
      </c>
      <c r="E143" s="17"/>
      <c r="F143" s="1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9"/>
    </row>
    <row r="144" ht="12.75" customHeight="1" spans="2:39" x14ac:dyDescent="0.25">
      <c r="B144" s="16"/>
      <c r="C144" s="17"/>
      <c r="D144" s="17" t="s">
        <v>42</v>
      </c>
      <c r="E144" s="17"/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9"/>
    </row>
    <row r="145" ht="12.75" customHeight="1" spans="2:39" x14ac:dyDescent="0.25">
      <c r="B145" s="16"/>
      <c r="C145" s="17"/>
      <c r="D145" s="17" t="s">
        <v>43</v>
      </c>
      <c r="E145" s="17"/>
      <c r="F145" s="1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9"/>
    </row>
    <row r="146" ht="12.75" customHeight="1" spans="2:39" x14ac:dyDescent="0.25">
      <c r="B146" s="16"/>
      <c r="C146" s="17"/>
      <c r="D146" s="17" t="s">
        <v>44</v>
      </c>
      <c r="E146" s="17"/>
      <c r="F146" s="1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9"/>
    </row>
    <row r="147" ht="12.75" customHeight="1" spans="2:39" x14ac:dyDescent="0.25">
      <c r="B147" s="20"/>
      <c r="C147" s="21"/>
      <c r="D147" s="21" t="s">
        <v>45</v>
      </c>
      <c r="E147" s="21"/>
      <c r="F147" s="21"/>
      <c r="G147" s="22">
        <f>G143+G144+G145+G146</f>
      </c>
      <c r="H147" s="22">
        <f>H143+H144+H145+H146</f>
      </c>
      <c r="I147" s="22">
        <f>I143+I144+I145+I146</f>
      </c>
      <c r="J147" s="22">
        <f>J143+J144+J145+J146</f>
      </c>
      <c r="K147" s="22">
        <f>K143+K144+K145+K146</f>
      </c>
      <c r="L147" s="22">
        <f>L143+L144+L145+L146</f>
      </c>
      <c r="M147" s="22">
        <f>M143+M144+M145+M146</f>
      </c>
      <c r="N147" s="22">
        <f>N143+N144+N145+N146</f>
      </c>
      <c r="O147" s="22">
        <f>O143+O144+O145+O146</f>
      </c>
      <c r="P147" s="22">
        <f>P143+P144+P145+P146</f>
      </c>
      <c r="Q147" s="22">
        <f>Q143+Q144+Q145+Q146</f>
      </c>
      <c r="R147" s="22">
        <f>R143+R144+R145+R146</f>
      </c>
      <c r="S147" s="22">
        <f>S143+S144+S145+S146</f>
      </c>
      <c r="T147" s="22">
        <f>T143+T144+T145+T146</f>
      </c>
      <c r="U147" s="22">
        <f>U143+U144+U145+U146</f>
      </c>
      <c r="V147" s="22">
        <f>V143+V144+V145+V146</f>
      </c>
      <c r="W147" s="22">
        <f>W143+W144+W145+W146</f>
      </c>
      <c r="X147" s="22">
        <f>X143+X144+X145+X146</f>
      </c>
      <c r="Y147" s="22">
        <f>Y143+Y144+Y145+Y146</f>
      </c>
      <c r="Z147" s="22">
        <f>Z143+Z144+Z145+Z146</f>
      </c>
      <c r="AA147" s="22">
        <f>AA143+AA144+AA145+AA146</f>
      </c>
      <c r="AB147" s="22">
        <f>AB143+AB144+AB145+AB146</f>
      </c>
      <c r="AC147" s="22">
        <f>AC143+AC144+AC145+AC146</f>
      </c>
      <c r="AD147" s="22">
        <f>AD143+AD144+AD145+AD146</f>
      </c>
      <c r="AE147" s="22">
        <f>AE143+AE144+AE145+AE146</f>
      </c>
      <c r="AF147" s="22">
        <f>AF143+AF144+AF145+AF146</f>
      </c>
      <c r="AG147" s="22">
        <f>AG143+AG144+AG145+AG146</f>
      </c>
      <c r="AH147" s="22">
        <f>AH143+AH144+AH145+AH146</f>
      </c>
      <c r="AI147" s="22">
        <f>AI143+AI144+AI145+AI146</f>
      </c>
      <c r="AJ147" s="22">
        <f>AJ143+AJ144+AJ145+AJ146</f>
      </c>
      <c r="AK147" s="22">
        <f>AK143+AK144+AK145+AK146</f>
      </c>
      <c r="AL147" s="22">
        <f>AL143+AL144+AL145+AL146</f>
      </c>
      <c r="AM147" s="23"/>
    </row>
    <row r="149" ht="12.75" customHeight="1" spans="2:39" x14ac:dyDescent="0.25">
      <c r="B149" s="11" t="s">
        <v>47</v>
      </c>
      <c r="C149" s="12"/>
      <c r="D149" s="12"/>
      <c r="E149" s="12"/>
      <c r="F149" s="12"/>
      <c r="G149" s="52" t="s">
        <v>7</v>
      </c>
      <c r="H149" s="52" t="s">
        <v>8</v>
      </c>
      <c r="I149" s="52" t="s">
        <v>9</v>
      </c>
      <c r="J149" s="52" t="s">
        <v>10</v>
      </c>
      <c r="K149" s="52" t="s">
        <v>11</v>
      </c>
      <c r="L149" s="52" t="s">
        <v>12</v>
      </c>
      <c r="M149" s="52" t="s">
        <v>13</v>
      </c>
      <c r="N149" s="52" t="s">
        <v>14</v>
      </c>
      <c r="O149" s="52" t="s">
        <v>15</v>
      </c>
      <c r="P149" s="52" t="s">
        <v>16</v>
      </c>
      <c r="Q149" s="52" t="s">
        <v>17</v>
      </c>
      <c r="R149" s="52" t="s">
        <v>18</v>
      </c>
      <c r="S149" s="52" t="s">
        <v>19</v>
      </c>
      <c r="T149" s="52" t="s">
        <v>20</v>
      </c>
      <c r="U149" s="52" t="s">
        <v>21</v>
      </c>
      <c r="V149" s="52" t="s">
        <v>22</v>
      </c>
      <c r="W149" s="52" t="s">
        <v>23</v>
      </c>
      <c r="X149" s="52" t="s">
        <v>24</v>
      </c>
      <c r="Y149" s="52" t="s">
        <v>25</v>
      </c>
      <c r="Z149" s="52" t="s">
        <v>26</v>
      </c>
      <c r="AA149" s="52" t="s">
        <v>27</v>
      </c>
      <c r="AB149" s="52" t="s">
        <v>28</v>
      </c>
      <c r="AC149" s="52" t="s">
        <v>29</v>
      </c>
      <c r="AD149" s="52" t="s">
        <v>30</v>
      </c>
      <c r="AE149" s="52" t="s">
        <v>31</v>
      </c>
      <c r="AF149" s="52" t="s">
        <v>32</v>
      </c>
      <c r="AG149" s="52" t="s">
        <v>33</v>
      </c>
      <c r="AH149" s="52" t="s">
        <v>34</v>
      </c>
      <c r="AI149" s="52" t="s">
        <v>35</v>
      </c>
      <c r="AJ149" s="52" t="s">
        <v>36</v>
      </c>
      <c r="AK149" s="52" t="s">
        <v>37</v>
      </c>
      <c r="AL149" s="52" t="s">
        <v>38</v>
      </c>
      <c r="AM149" s="15"/>
    </row>
    <row r="150" ht="12.75" customHeight="1" spans="2:39" x14ac:dyDescent="0.25">
      <c r="B150" s="16"/>
      <c r="C150" s="17"/>
      <c r="D150" s="17" t="s">
        <v>41</v>
      </c>
      <c r="E150" s="17"/>
      <c r="F150" s="17"/>
      <c r="G150" s="24">
        <f>G143-G136</f>
      </c>
      <c r="H150" s="24">
        <f>H143-H136</f>
      </c>
      <c r="I150" s="24">
        <f>I143-I136</f>
      </c>
      <c r="J150" s="24">
        <f>J143-J136</f>
      </c>
      <c r="K150" s="24">
        <f>K143-K136</f>
      </c>
      <c r="L150" s="24">
        <f>L143-L136</f>
      </c>
      <c r="M150" s="24">
        <f>M143-M136</f>
      </c>
      <c r="N150" s="24">
        <f>N143-N136</f>
      </c>
      <c r="O150" s="24">
        <f>O143-O136</f>
      </c>
      <c r="P150" s="24">
        <f>P143-P136</f>
      </c>
      <c r="Q150" s="24">
        <f>Q143-Q136</f>
      </c>
      <c r="R150" s="24">
        <f>R143-R136</f>
      </c>
      <c r="S150" s="24">
        <f>S143-S136</f>
      </c>
      <c r="T150" s="24">
        <f>T143-T136</f>
      </c>
      <c r="U150" s="24">
        <f>U143-U136</f>
      </c>
      <c r="V150" s="24">
        <f>V143-V136</f>
      </c>
      <c r="W150" s="24">
        <f>W143-W136</f>
      </c>
      <c r="X150" s="24">
        <f>X143-X136</f>
      </c>
      <c r="Y150" s="24">
        <f>Y143-Y136</f>
      </c>
      <c r="Z150" s="24">
        <f>Z143-Z136</f>
      </c>
      <c r="AA150" s="24">
        <f>AA143-AA136</f>
      </c>
      <c r="AB150" s="24">
        <f>AB143-AB136</f>
      </c>
      <c r="AC150" s="24">
        <f>AC143-AC136</f>
      </c>
      <c r="AD150" s="24">
        <f>AD143-AD136</f>
      </c>
      <c r="AE150" s="24">
        <f>AE143-AE136</f>
      </c>
      <c r="AF150" s="24">
        <f>AF143-AF136</f>
      </c>
      <c r="AG150" s="24">
        <f>AG143-AG136</f>
      </c>
      <c r="AH150" s="24">
        <f>AH143-AH136</f>
      </c>
      <c r="AI150" s="24">
        <f>AI143-AI136</f>
      </c>
      <c r="AJ150" s="24">
        <f>AJ143-AJ136</f>
      </c>
      <c r="AK150" s="24">
        <f>AK143-AK136</f>
      </c>
      <c r="AL150" s="24">
        <f>AL143-AL136</f>
      </c>
      <c r="AM150" s="19"/>
    </row>
    <row r="151" ht="12.75" customHeight="1" spans="2:39" x14ac:dyDescent="0.25">
      <c r="B151" s="16"/>
      <c r="C151" s="17"/>
      <c r="D151" s="17" t="s">
        <v>42</v>
      </c>
      <c r="E151" s="17"/>
      <c r="F151" s="17"/>
      <c r="G151" s="24">
        <f>G144-G137</f>
      </c>
      <c r="H151" s="24">
        <f>H144-H137</f>
      </c>
      <c r="I151" s="24">
        <f>I144-I137</f>
      </c>
      <c r="J151" s="24">
        <f>J144-J137</f>
      </c>
      <c r="K151" s="24">
        <f>K144-K137</f>
      </c>
      <c r="L151" s="24">
        <f>L144-L137</f>
      </c>
      <c r="M151" s="24">
        <f>M144-M137</f>
      </c>
      <c r="N151" s="24">
        <f>N144-N137</f>
      </c>
      <c r="O151" s="24">
        <f>O144-O137</f>
      </c>
      <c r="P151" s="24">
        <f>P144-P137</f>
      </c>
      <c r="Q151" s="24">
        <f>Q144-Q137</f>
      </c>
      <c r="R151" s="24">
        <f>R144-R137</f>
      </c>
      <c r="S151" s="24">
        <f>S144-S137</f>
      </c>
      <c r="T151" s="24">
        <f>T144-T137</f>
      </c>
      <c r="U151" s="24">
        <f>U144-U137</f>
      </c>
      <c r="V151" s="24">
        <f>V144-V137</f>
      </c>
      <c r="W151" s="24">
        <f>W144-W137</f>
      </c>
      <c r="X151" s="24">
        <f>X144-X137</f>
      </c>
      <c r="Y151" s="24">
        <f>Y144-Y137</f>
      </c>
      <c r="Z151" s="24">
        <f>Z144-Z137</f>
      </c>
      <c r="AA151" s="24">
        <f>AA144-AA137</f>
      </c>
      <c r="AB151" s="24">
        <f>AB144-AB137</f>
      </c>
      <c r="AC151" s="24">
        <f>AC144-AC137</f>
      </c>
      <c r="AD151" s="24">
        <f>AD144-AD137</f>
      </c>
      <c r="AE151" s="24">
        <f>AE144-AE137</f>
      </c>
      <c r="AF151" s="24">
        <f>AF144-AF137</f>
      </c>
      <c r="AG151" s="24">
        <f>AG144-AG137</f>
      </c>
      <c r="AH151" s="24">
        <f>AH144-AH137</f>
      </c>
      <c r="AI151" s="24">
        <f>AI144-AI137</f>
      </c>
      <c r="AJ151" s="24">
        <f>AJ144-AJ137</f>
      </c>
      <c r="AK151" s="24">
        <f>AK144-AK137</f>
      </c>
      <c r="AL151" s="24">
        <f>AL144-AL137</f>
      </c>
      <c r="AM151" s="19"/>
    </row>
    <row r="152" ht="12.75" customHeight="1" spans="2:39" x14ac:dyDescent="0.25">
      <c r="B152" s="16"/>
      <c r="C152" s="17"/>
      <c r="D152" s="17" t="s">
        <v>43</v>
      </c>
      <c r="E152" s="17"/>
      <c r="F152" s="17"/>
      <c r="G152" s="24">
        <f>G145-G138</f>
      </c>
      <c r="H152" s="24">
        <f>H145-H138</f>
      </c>
      <c r="I152" s="24">
        <f>I145-I138</f>
      </c>
      <c r="J152" s="24">
        <f>J145-J138</f>
      </c>
      <c r="K152" s="24">
        <f>K145-K138</f>
      </c>
      <c r="L152" s="24">
        <f>L145-L138</f>
      </c>
      <c r="M152" s="24">
        <f>M145-M138</f>
      </c>
      <c r="N152" s="24">
        <f>N145-N138</f>
      </c>
      <c r="O152" s="24">
        <f>O145-O138</f>
      </c>
      <c r="P152" s="24">
        <f>P145-P138</f>
      </c>
      <c r="Q152" s="24">
        <f>Q145-Q138</f>
      </c>
      <c r="R152" s="24">
        <f>R145-R138</f>
      </c>
      <c r="S152" s="24">
        <f>S145-S138</f>
      </c>
      <c r="T152" s="24">
        <f>T145-T138</f>
      </c>
      <c r="U152" s="24">
        <f>U145-U138</f>
      </c>
      <c r="V152" s="24">
        <f>V145-V138</f>
      </c>
      <c r="W152" s="24">
        <f>W145-W138</f>
      </c>
      <c r="X152" s="24">
        <f>X145-X138</f>
      </c>
      <c r="Y152" s="24">
        <f>Y145-Y138</f>
      </c>
      <c r="Z152" s="24">
        <f>Z145-Z138</f>
      </c>
      <c r="AA152" s="24">
        <f>AA145-AA138</f>
      </c>
      <c r="AB152" s="24">
        <f>AB145-AB138</f>
      </c>
      <c r="AC152" s="24">
        <f>AC145-AC138</f>
      </c>
      <c r="AD152" s="24">
        <f>AD145-AD138</f>
      </c>
      <c r="AE152" s="24">
        <f>AE145-AE138</f>
      </c>
      <c r="AF152" s="24">
        <f>AF145-AF138</f>
      </c>
      <c r="AG152" s="24">
        <f>AG145-AG138</f>
      </c>
      <c r="AH152" s="24">
        <f>AH145-AH138</f>
      </c>
      <c r="AI152" s="24">
        <f>AI145-AI138</f>
      </c>
      <c r="AJ152" s="24">
        <f>AJ145-AJ138</f>
      </c>
      <c r="AK152" s="24">
        <f>AK145-AK138</f>
      </c>
      <c r="AL152" s="24">
        <f>AL145-AL138</f>
      </c>
      <c r="AM152" s="19"/>
    </row>
    <row r="153" ht="12.75" customHeight="1" spans="2:39" x14ac:dyDescent="0.25">
      <c r="B153" s="16"/>
      <c r="C153" s="17"/>
      <c r="D153" s="17" t="s">
        <v>44</v>
      </c>
      <c r="E153" s="17"/>
      <c r="F153" s="17"/>
      <c r="G153" s="24">
        <f>G146-G139</f>
      </c>
      <c r="H153" s="24">
        <f>H146-H139</f>
      </c>
      <c r="I153" s="24">
        <f>I146-I139</f>
      </c>
      <c r="J153" s="24">
        <f>J146-J139</f>
      </c>
      <c r="K153" s="24">
        <f>K146-K139</f>
      </c>
      <c r="L153" s="24">
        <f>L146-L139</f>
      </c>
      <c r="M153" s="24">
        <f>M146-M139</f>
      </c>
      <c r="N153" s="24">
        <f>N146-N139</f>
      </c>
      <c r="O153" s="24">
        <f>O146-O139</f>
      </c>
      <c r="P153" s="24">
        <f>P146-P139</f>
      </c>
      <c r="Q153" s="24">
        <f>Q146-Q139</f>
      </c>
      <c r="R153" s="24">
        <f>R146-R139</f>
      </c>
      <c r="S153" s="24">
        <f>S146-S139</f>
      </c>
      <c r="T153" s="24">
        <f>T146-T139</f>
      </c>
      <c r="U153" s="24">
        <f>U146-U139</f>
      </c>
      <c r="V153" s="24">
        <f>V146-V139</f>
      </c>
      <c r="W153" s="24">
        <f>W146-W139</f>
      </c>
      <c r="X153" s="24">
        <f>X146-X139</f>
      </c>
      <c r="Y153" s="24">
        <f>Y146-Y139</f>
      </c>
      <c r="Z153" s="24">
        <f>Z146-Z139</f>
      </c>
      <c r="AA153" s="24">
        <f>AA146-AA139</f>
      </c>
      <c r="AB153" s="24">
        <f>AB146-AB139</f>
      </c>
      <c r="AC153" s="24">
        <f>AC146-AC139</f>
      </c>
      <c r="AD153" s="24">
        <f>AD146-AD139</f>
      </c>
      <c r="AE153" s="24">
        <f>AE146-AE139</f>
      </c>
      <c r="AF153" s="24">
        <f>AF146-AF139</f>
      </c>
      <c r="AG153" s="24">
        <f>AG146-AG139</f>
      </c>
      <c r="AH153" s="24">
        <f>AH146-AH139</f>
      </c>
      <c r="AI153" s="24">
        <f>AI146-AI139</f>
      </c>
      <c r="AJ153" s="24">
        <f>AJ146-AJ139</f>
      </c>
      <c r="AK153" s="24">
        <f>AK146-AK139</f>
      </c>
      <c r="AL153" s="24">
        <f>AL146-AL139</f>
      </c>
      <c r="AM153" s="19"/>
    </row>
    <row r="154" ht="12.75" customHeight="1" spans="2:39" x14ac:dyDescent="0.25">
      <c r="B154" s="20"/>
      <c r="C154" s="21"/>
      <c r="D154" s="21" t="s">
        <v>45</v>
      </c>
      <c r="E154" s="21"/>
      <c r="F154" s="21"/>
      <c r="G154" s="25">
        <f>G150+G151+G152+G153</f>
      </c>
      <c r="H154" s="25">
        <f>H150+H151+H152+H153</f>
      </c>
      <c r="I154" s="25">
        <f>I150+I151+I152+I153</f>
      </c>
      <c r="J154" s="25">
        <f>J150+J151+J152+J153</f>
      </c>
      <c r="K154" s="25">
        <f>K150+K151+K152+K153</f>
      </c>
      <c r="L154" s="25">
        <f>L150+L151+L152+L153</f>
      </c>
      <c r="M154" s="25">
        <f>M150+M151+M152+M153</f>
      </c>
      <c r="N154" s="25">
        <f>N150+N151+N152+N153</f>
      </c>
      <c r="O154" s="25">
        <f>O150+O151+O152+O153</f>
      </c>
      <c r="P154" s="25">
        <f>P150+P151+P152+P153</f>
      </c>
      <c r="Q154" s="25">
        <f>Q150+Q151+Q152+Q153</f>
      </c>
      <c r="R154" s="25">
        <f>R150+R151+R152+R153</f>
      </c>
      <c r="S154" s="25">
        <f>S150+S151+S152+S153</f>
      </c>
      <c r="T154" s="25">
        <f>T150+T151+T152+T153</f>
      </c>
      <c r="U154" s="25">
        <f>U150+U151+U152+U153</f>
      </c>
      <c r="V154" s="25">
        <f>V150+V151+V152+V153</f>
      </c>
      <c r="W154" s="25">
        <f>W150+W151+W152+W153</f>
      </c>
      <c r="X154" s="25">
        <f>X150+X151+X152+X153</f>
      </c>
      <c r="Y154" s="25">
        <f>Y150+Y151+Y152+Y153</f>
      </c>
      <c r="Z154" s="25">
        <f>Z150+Z151+Z152+Z153</f>
      </c>
      <c r="AA154" s="25">
        <f>AA150+AA151+AA152+AA153</f>
      </c>
      <c r="AB154" s="25">
        <f>AB150+AB151+AB152+AB153</f>
      </c>
      <c r="AC154" s="25">
        <f>AC150+AC151+AC152+AC153</f>
      </c>
      <c r="AD154" s="25">
        <f>AD150+AD151+AD152+AD153</f>
      </c>
      <c r="AE154" s="25">
        <f>AE150+AE151+AE152+AE153</f>
      </c>
      <c r="AF154" s="25">
        <f>AF150+AF151+AF152+AF153</f>
      </c>
      <c r="AG154" s="25">
        <f>AG150+AG151+AG152+AG153</f>
      </c>
      <c r="AH154" s="25">
        <f>AH150+AH151+AH152+AH153</f>
      </c>
      <c r="AI154" s="25">
        <f>AI150+AI151+AI152+AI153</f>
      </c>
      <c r="AJ154" s="25">
        <f>AJ150+AJ151+AJ152+AJ153</f>
      </c>
      <c r="AK154" s="25">
        <f>AK150+AK151+AK152+AK153</f>
      </c>
      <c r="AL154" s="25">
        <f>AL150+AL151+AL152+AL153</f>
      </c>
      <c r="AM154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1534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1535</v>
      </c>
      <c r="D13" s="32" t="s">
        <v>1473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>
        <v>1014.95</v>
      </c>
      <c r="AA13" s="33">
        <v>981.84</v>
      </c>
      <c r="AB13" s="33">
        <v>1067.66</v>
      </c>
      <c r="AC13" s="33">
        <v>1036.14</v>
      </c>
      <c r="AD13" s="33">
        <v>922.51</v>
      </c>
      <c r="AE13" s="33">
        <v>645.99</v>
      </c>
      <c r="AF13" s="33">
        <v>336.74</v>
      </c>
      <c r="AG13" s="33">
        <v>432</v>
      </c>
      <c r="AH13" s="33">
        <v>776.92</v>
      </c>
      <c r="AI13" s="33">
        <v>691.08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1535</v>
      </c>
      <c r="D14" s="32" t="s">
        <v>1475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>
        <v>21.13</v>
      </c>
      <c r="AA14" s="33">
        <v>0.55</v>
      </c>
      <c r="AB14" s="33">
        <v>22.56</v>
      </c>
      <c r="AC14" s="33">
        <v>22.51</v>
      </c>
      <c r="AD14" s="33">
        <v>23.8</v>
      </c>
      <c r="AE14" s="33">
        <v>24.28</v>
      </c>
      <c r="AF14" s="33">
        <v>36.25</v>
      </c>
      <c r="AG14" s="33">
        <v>34.97</v>
      </c>
      <c r="AH14" s="33">
        <v>25.51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1535</v>
      </c>
      <c r="D15" s="32" t="s">
        <v>1476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3">
        <v>22.93</v>
      </c>
      <c r="AA15" s="33">
        <v>22.8</v>
      </c>
      <c r="AB15" s="33">
        <v>22.93</v>
      </c>
      <c r="AC15" s="33">
        <v>24.03</v>
      </c>
      <c r="AD15" s="33">
        <v>24.02</v>
      </c>
      <c r="AE15" s="33">
        <v>24.02</v>
      </c>
      <c r="AF15" s="33">
        <v>24.75</v>
      </c>
      <c r="AG15" s="33">
        <v>25.62</v>
      </c>
      <c r="AH15" s="33">
        <v>24.29</v>
      </c>
      <c r="AI15" s="33">
        <v>23.8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1535</v>
      </c>
      <c r="D16" s="32" t="s">
        <v>1536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>
        <v>15.76</v>
      </c>
      <c r="AA16" s="33">
        <v>19.26</v>
      </c>
      <c r="AB16" s="33">
        <v>24.52</v>
      </c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1535</v>
      </c>
      <c r="D17" s="32" t="s">
        <v>1537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93.16</v>
      </c>
      <c r="AB17" s="33">
        <v>52.05</v>
      </c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1535</v>
      </c>
      <c r="D18" s="32" t="s">
        <v>1481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>
        <v>26.41</v>
      </c>
      <c r="AA18" s="33">
        <v>-1.14</v>
      </c>
      <c r="AB18" s="33">
        <v>24.03</v>
      </c>
      <c r="AC18" s="33">
        <v>25.39</v>
      </c>
      <c r="AD18" s="33">
        <v>25.9</v>
      </c>
      <c r="AE18" s="33">
        <v>26.74</v>
      </c>
      <c r="AF18" s="33">
        <v>28.39</v>
      </c>
      <c r="AG18" s="33">
        <v>29.02</v>
      </c>
      <c r="AH18" s="33">
        <v>28.18</v>
      </c>
      <c r="AI18" s="33">
        <v>26.84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1535</v>
      </c>
      <c r="D19" s="32" t="s">
        <v>1482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>
        <v>30.12</v>
      </c>
      <c r="AA19" s="33">
        <v>30.68</v>
      </c>
      <c r="AB19" s="33">
        <v>31.12</v>
      </c>
      <c r="AC19" s="33">
        <v>29.07</v>
      </c>
      <c r="AD19" s="33">
        <v>30.97</v>
      </c>
      <c r="AE19" s="33">
        <v>29.32</v>
      </c>
      <c r="AF19" s="33">
        <v>30.38</v>
      </c>
      <c r="AG19" s="33">
        <v>31.58</v>
      </c>
      <c r="AH19" s="33">
        <v>31.22</v>
      </c>
      <c r="AI19" s="33">
        <v>30.73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1535</v>
      </c>
      <c r="D20" s="32" t="s">
        <v>1483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>
        <v>247.52</v>
      </c>
      <c r="AC20" s="33">
        <v>-99.7</v>
      </c>
      <c r="AD20" s="33">
        <v>29.88</v>
      </c>
      <c r="AE20" s="33">
        <v>129.58</v>
      </c>
      <c r="AF20" s="33">
        <v>129.58</v>
      </c>
      <c r="AG20" s="33">
        <v>130.52</v>
      </c>
      <c r="AH20" s="33">
        <v>130.52</v>
      </c>
      <c r="AI20" s="33">
        <v>130.52</v>
      </c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1535</v>
      </c>
      <c r="D21" s="32" t="s">
        <v>1484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361.4</v>
      </c>
      <c r="Z21" s="33">
        <v>371.54</v>
      </c>
      <c r="AA21" s="33">
        <v>16.21</v>
      </c>
      <c r="AB21" s="33">
        <v>421.03</v>
      </c>
      <c r="AC21" s="33">
        <v>439.44</v>
      </c>
      <c r="AD21" s="33">
        <v>381.31</v>
      </c>
      <c r="AE21" s="33">
        <v>370.73</v>
      </c>
      <c r="AF21" s="33">
        <v>374.96</v>
      </c>
      <c r="AG21" s="33">
        <v>387.81</v>
      </c>
      <c r="AH21" s="33">
        <v>395.21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1535</v>
      </c>
      <c r="D22" s="32" t="s">
        <v>1485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>
        <v>423.76</v>
      </c>
      <c r="AA22" s="33">
        <v>-25.22</v>
      </c>
      <c r="AB22" s="33">
        <v>433.84</v>
      </c>
      <c r="AC22" s="33">
        <v>643.45</v>
      </c>
      <c r="AD22" s="33">
        <v>632.68</v>
      </c>
      <c r="AE22" s="33">
        <v>336.77</v>
      </c>
      <c r="AF22" s="33">
        <v>315.49</v>
      </c>
      <c r="AG22" s="33">
        <v>240.77</v>
      </c>
      <c r="AH22" s="33">
        <v>81.56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1535</v>
      </c>
      <c r="D23" s="32" t="s">
        <v>1486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3">
        <v>84.57</v>
      </c>
      <c r="AA23" s="33">
        <v>85.25</v>
      </c>
      <c r="AB23" s="33">
        <v>85.92</v>
      </c>
      <c r="AC23" s="33">
        <v>86.42</v>
      </c>
      <c r="AD23" s="33">
        <v>88.38</v>
      </c>
      <c r="AE23" s="33">
        <v>89.92</v>
      </c>
      <c r="AF23" s="33">
        <v>89.67</v>
      </c>
      <c r="AG23" s="33">
        <v>95.16</v>
      </c>
      <c r="AH23" s="33">
        <v>91.77</v>
      </c>
      <c r="AI23" s="33">
        <v>88</v>
      </c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1535</v>
      </c>
      <c r="D24" s="32" t="s">
        <v>1538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394.7</v>
      </c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1535</v>
      </c>
      <c r="D25" s="32" t="s">
        <v>1490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3">
        <v>50.78</v>
      </c>
      <c r="AD25" s="36">
        <f>16.27+3.50</f>
        <v>19.77</v>
      </c>
      <c r="AE25" s="33">
        <v>16.27</v>
      </c>
      <c r="AF25" s="33">
        <v>16.27</v>
      </c>
      <c r="AG25" s="33">
        <v>16.27</v>
      </c>
      <c r="AH25" s="36">
        <f>11.93+16.27</f>
        <v>28.2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1535</v>
      </c>
      <c r="D26" s="32" t="s">
        <v>1492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82.66</v>
      </c>
      <c r="AC26" s="33">
        <v>44.83</v>
      </c>
      <c r="AD26" s="33">
        <v>46</v>
      </c>
      <c r="AE26" s="33">
        <v>46</v>
      </c>
      <c r="AF26" s="33">
        <v>46</v>
      </c>
      <c r="AG26" s="33">
        <v>44.92</v>
      </c>
      <c r="AH26" s="33">
        <v>29.73</v>
      </c>
      <c r="AI26" s="33">
        <v>29.73</v>
      </c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1535</v>
      </c>
      <c r="D27" s="32" t="s">
        <v>1494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3">
        <v>71.89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1535</v>
      </c>
      <c r="D28" s="32" t="s">
        <v>1539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3">
        <v>61.43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1535</v>
      </c>
      <c r="D29" s="32" t="s">
        <v>1497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82.66</v>
      </c>
      <c r="AC29" s="33">
        <v>44.83</v>
      </c>
      <c r="AD29" s="33">
        <v>46</v>
      </c>
      <c r="AE29" s="33">
        <v>46</v>
      </c>
      <c r="AF29" s="33">
        <v>46</v>
      </c>
      <c r="AG29" s="33">
        <v>46</v>
      </c>
      <c r="AH29" s="33">
        <v>46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1535</v>
      </c>
      <c r="D30" s="32" t="s">
        <v>1540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3">
        <v>74.62</v>
      </c>
      <c r="AH30" s="32"/>
      <c r="AI30" s="33">
        <v>34.63</v>
      </c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1535</v>
      </c>
      <c r="D31" s="32" t="s">
        <v>1541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3">
        <v>116.63</v>
      </c>
      <c r="AD31" s="36">
        <f>62.61+125.45</f>
        <v>188.06</v>
      </c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1535</v>
      </c>
      <c r="D32" s="32" t="s">
        <v>1542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3">
        <v>123.93</v>
      </c>
      <c r="AH32" s="33">
        <v>-70.1</v>
      </c>
      <c r="AI32" s="33">
        <v>-16.16</v>
      </c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1535</v>
      </c>
      <c r="D33" s="32" t="s">
        <v>1507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3">
        <v>82.66</v>
      </c>
      <c r="AC33" s="33">
        <v>44.83</v>
      </c>
      <c r="AD33" s="33">
        <v>46</v>
      </c>
      <c r="AE33" s="33">
        <v>46</v>
      </c>
      <c r="AF33" s="33">
        <v>46</v>
      </c>
      <c r="AG33" s="33">
        <v>46</v>
      </c>
      <c r="AH33" s="33">
        <v>46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1535</v>
      </c>
      <c r="D34" s="32" t="s">
        <v>1508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>
        <v>40.37</v>
      </c>
      <c r="AG34" s="33">
        <v>103.34</v>
      </c>
      <c r="AH34" s="33">
        <v>32.37</v>
      </c>
      <c r="AI34" s="33">
        <v>59.35</v>
      </c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1535</v>
      </c>
      <c r="D35" s="32" t="s">
        <v>1543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3">
        <v>82.66</v>
      </c>
      <c r="AC35" s="33">
        <v>44.83</v>
      </c>
      <c r="AD35" s="33">
        <v>46</v>
      </c>
      <c r="AE35" s="33">
        <v>46</v>
      </c>
      <c r="AF35" s="33">
        <v>46</v>
      </c>
      <c r="AG35" s="33">
        <v>46</v>
      </c>
      <c r="AH35" s="33">
        <v>46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1535</v>
      </c>
      <c r="D36" s="32" t="s">
        <v>1544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3">
        <v>47.28</v>
      </c>
      <c r="AC36" s="33">
        <v>19.26</v>
      </c>
      <c r="AD36" s="33">
        <v>16.27</v>
      </c>
      <c r="AE36" s="33">
        <v>16.27</v>
      </c>
      <c r="AF36" s="33">
        <v>16.27</v>
      </c>
      <c r="AG36" s="33">
        <v>16.27</v>
      </c>
      <c r="AH36" s="33">
        <v>16.27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1535</v>
      </c>
      <c r="D37" s="32" t="s">
        <v>1545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3">
        <v>56.04</v>
      </c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1535</v>
      </c>
      <c r="D38" s="32" t="s">
        <v>1546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3">
        <v>19.31</v>
      </c>
      <c r="AA38" s="33">
        <v>0</v>
      </c>
      <c r="AB38" s="33">
        <v>19.31</v>
      </c>
      <c r="AC38" s="33">
        <v>19.31</v>
      </c>
      <c r="AD38" s="33">
        <v>19.92</v>
      </c>
      <c r="AE38" s="33">
        <v>19.92</v>
      </c>
      <c r="AF38" s="33">
        <v>19.92</v>
      </c>
      <c r="AG38" s="33">
        <v>19.92</v>
      </c>
      <c r="AH38" s="33">
        <v>20.16</v>
      </c>
      <c r="AI38" s="33">
        <v>20.04</v>
      </c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1535</v>
      </c>
      <c r="D39" s="32" t="s">
        <v>1547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3">
        <v>161.31</v>
      </c>
      <c r="AC39" s="33">
        <v>69.05</v>
      </c>
      <c r="AD39" s="33">
        <v>65.16</v>
      </c>
      <c r="AE39" s="33">
        <v>51.87</v>
      </c>
      <c r="AF39" s="33">
        <v>44.94</v>
      </c>
      <c r="AG39" s="33">
        <v>51.23</v>
      </c>
      <c r="AH39" s="33">
        <v>65.4</v>
      </c>
      <c r="AI39" s="33">
        <v>84.59</v>
      </c>
      <c r="AJ39" s="34">
        <f>SUM(E39:AI39)</f>
      </c>
      <c r="AK39" s="35"/>
    </row>
    <row r="40" ht="12.75" customHeight="1" spans="2:37" x14ac:dyDescent="0.25"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40"/>
    </row>
    <row r="41" ht="12.75" customHeight="1" spans="2:37" x14ac:dyDescent="0.25">
      <c r="B41" s="20" t="s">
        <v>85</v>
      </c>
      <c r="C41" s="21"/>
      <c r="D41" s="21"/>
      <c r="E41" s="22">
        <f>SUM(E13:E39)</f>
      </c>
      <c r="F41" s="22">
        <f>SUM(F13:F39)</f>
      </c>
      <c r="G41" s="22">
        <f>SUM(G13:G39)</f>
      </c>
      <c r="H41" s="22">
        <f>SUM(H13:H39)</f>
      </c>
      <c r="I41" s="22">
        <f>SUM(I13:I39)</f>
      </c>
      <c r="J41" s="22">
        <f>SUM(J13:J39)</f>
      </c>
      <c r="K41" s="22">
        <f>SUM(K13:K39)</f>
      </c>
      <c r="L41" s="22">
        <f>SUM(L13:L39)</f>
      </c>
      <c r="M41" s="22">
        <f>SUM(M13:M39)</f>
      </c>
      <c r="N41" s="22">
        <f>SUM(N13:N39)</f>
      </c>
      <c r="O41" s="22">
        <f>SUM(O13:O39)</f>
      </c>
      <c r="P41" s="22">
        <f>SUM(P13:P39)</f>
      </c>
      <c r="Q41" s="22">
        <f>SUM(Q13:Q39)</f>
      </c>
      <c r="R41" s="22">
        <f>SUM(R13:R39)</f>
      </c>
      <c r="S41" s="22">
        <f>SUM(S13:S39)</f>
      </c>
      <c r="T41" s="22">
        <f>SUM(T13:T39)</f>
      </c>
      <c r="U41" s="22">
        <f>SUM(U13:U39)</f>
      </c>
      <c r="V41" s="22">
        <f>SUM(V13:V39)</f>
      </c>
      <c r="W41" s="22">
        <f>SUM(W13:W39)</f>
      </c>
      <c r="X41" s="22">
        <f>SUM(X13:X39)</f>
      </c>
      <c r="Y41" s="22">
        <f>SUM(Y13:Y39)</f>
      </c>
      <c r="Z41" s="22">
        <f>SUM(Z13:Z39)</f>
      </c>
      <c r="AA41" s="22">
        <f>SUM(AA13:AA39)</f>
      </c>
      <c r="AB41" s="22">
        <f>SUM(AB13:AB39)</f>
      </c>
      <c r="AC41" s="22">
        <f>SUM(AC13:AC39)</f>
      </c>
      <c r="AD41" s="22">
        <f>SUM(AD13:AD39)</f>
      </c>
      <c r="AE41" s="22">
        <f>SUM(AE13:AE39)</f>
      </c>
      <c r="AF41" s="22">
        <f>SUM(AF13:AF39)</f>
      </c>
      <c r="AG41" s="22">
        <f>SUM(AG13:AG39)</f>
      </c>
      <c r="AH41" s="22">
        <f>SUM(AH13:AH39)</f>
      </c>
      <c r="AI41" s="22">
        <f>SUM(AI13:AI39)</f>
      </c>
      <c r="AJ41" s="22">
        <f>SUM(AJ13:AJ39)</f>
      </c>
      <c r="AK41" s="23"/>
    </row>
    <row r="43" ht="12.75" customHeight="1" spans="2:37" x14ac:dyDescent="0.25">
      <c r="B43" s="26" t="s">
        <v>43</v>
      </c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9"/>
    </row>
    <row r="44" ht="12.75" customHeight="1" spans="2:37" x14ac:dyDescent="0.25">
      <c r="B44" s="30" t="s">
        <v>43</v>
      </c>
      <c r="C44" s="31" t="s">
        <v>1535</v>
      </c>
      <c r="D44" s="32" t="s">
        <v>1474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6">
        <f>284.56+3107.68</f>
        <v>3392.24</v>
      </c>
      <c r="AA44" s="36">
        <f>4453.66+2150.73</f>
        <v>6604.389999999999</v>
      </c>
      <c r="AB44" s="36">
        <f>4549.74+2291.75</f>
        <v>6841.49</v>
      </c>
      <c r="AC44" s="36">
        <f>4155.26+2444.49</f>
        <v>6599.75</v>
      </c>
      <c r="AD44" s="36">
        <f>4240.63+2443.77</f>
        <v>6684.4</v>
      </c>
      <c r="AE44" s="36">
        <f>4653.40+2327.13</f>
        <v>6980.53</v>
      </c>
      <c r="AF44" s="36">
        <f>4609.05+2268.48</f>
        <v>6877.530000000001</v>
      </c>
      <c r="AG44" s="36">
        <f>4217.58+2501.93</f>
        <v>6719.51</v>
      </c>
      <c r="AH44" s="36">
        <f>4156.14+2408.87</f>
        <v>6565.01</v>
      </c>
      <c r="AI44" s="36">
        <f>4012.78+2196.00</f>
        <v>6208.780000000001</v>
      </c>
      <c r="AJ44" s="34">
        <f>SUM(E44:AI44)</f>
      </c>
      <c r="AK44" s="35"/>
    </row>
    <row r="45" ht="12.75" customHeight="1" spans="2:37" x14ac:dyDescent="0.25">
      <c r="B45" s="30" t="s">
        <v>43</v>
      </c>
      <c r="C45" s="31" t="s">
        <v>1535</v>
      </c>
      <c r="D45" s="32" t="s">
        <v>1514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6">
        <f>4727.96+7538.45</f>
        <v>12266.41</v>
      </c>
      <c r="AA45" s="36">
        <f>-7063.47+7850.90</f>
        <v>787.4299999999994</v>
      </c>
      <c r="AB45" s="36">
        <f>5356.61+7939.33</f>
        <v>13295.939999999999</v>
      </c>
      <c r="AC45" s="36">
        <f>7424.17+9324.72</f>
        <v>16748.89</v>
      </c>
      <c r="AD45" s="36">
        <f>4060.73+7141.05</f>
        <v>11201.78</v>
      </c>
      <c r="AE45" s="36">
        <f>2284.17+5508.81</f>
        <v>7792.9800000000005</v>
      </c>
      <c r="AF45" s="36">
        <f>854.95+4274.89</f>
        <v>5129.84</v>
      </c>
      <c r="AG45" s="36">
        <f>705.01+4035.10</f>
        <v>4740.11</v>
      </c>
      <c r="AH45" s="36">
        <f>1210.88+4659.74</f>
        <v>5870.62</v>
      </c>
      <c r="AI45" s="32"/>
      <c r="AJ45" s="34">
        <f>SUM(E45:AI45)</f>
      </c>
      <c r="AK45" s="35"/>
    </row>
    <row r="46" ht="12.75" customHeight="1" spans="2:37" x14ac:dyDescent="0.25">
      <c r="B46" s="30" t="s">
        <v>43</v>
      </c>
      <c r="C46" s="31" t="s">
        <v>1535</v>
      </c>
      <c r="D46" s="32" t="s">
        <v>1536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3">
        <v>6.52</v>
      </c>
      <c r="AA46" s="33">
        <v>6.52</v>
      </c>
      <c r="AB46" s="33">
        <v>8.7</v>
      </c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43</v>
      </c>
      <c r="C47" s="31" t="s">
        <v>1535</v>
      </c>
      <c r="D47" s="32" t="s">
        <v>1494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3">
        <v>26.13</v>
      </c>
      <c r="AI47" s="32"/>
      <c r="AJ47" s="34">
        <f>SUM(E47:AI47)</f>
      </c>
      <c r="AK47" s="35"/>
    </row>
    <row r="48" ht="12.75" customHeight="1" spans="2:37" x14ac:dyDescent="0.25">
      <c r="B48" s="30" t="s">
        <v>43</v>
      </c>
      <c r="C48" s="31" t="s">
        <v>1535</v>
      </c>
      <c r="D48" s="32" t="s">
        <v>1539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3">
        <v>6.52</v>
      </c>
      <c r="AI48" s="32"/>
      <c r="AJ48" s="34">
        <f>SUM(E48:AI48)</f>
      </c>
      <c r="AK48" s="35"/>
    </row>
    <row r="49" ht="12.75" customHeight="1" spans="2:37" x14ac:dyDescent="0.25">
      <c r="B49" s="30" t="s">
        <v>43</v>
      </c>
      <c r="C49" s="31" t="s">
        <v>1535</v>
      </c>
      <c r="D49" s="32" t="s">
        <v>1540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3">
        <v>6.52</v>
      </c>
      <c r="AH49" s="32"/>
      <c r="AI49" s="33">
        <v>6.52</v>
      </c>
      <c r="AJ49" s="34">
        <f>SUM(E49:AI49)</f>
      </c>
      <c r="AK49" s="35"/>
    </row>
    <row r="50" ht="12.75" customHeight="1" spans="2:37" x14ac:dyDescent="0.25">
      <c r="B50" s="30" t="s">
        <v>43</v>
      </c>
      <c r="C50" s="31" t="s">
        <v>1535</v>
      </c>
      <c r="D50" s="32" t="s">
        <v>1548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3">
        <v>12.17</v>
      </c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7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40"/>
    </row>
    <row r="52" ht="12.75" customHeight="1" spans="2:37" x14ac:dyDescent="0.25">
      <c r="B52" s="20" t="s">
        <v>89</v>
      </c>
      <c r="C52" s="21"/>
      <c r="D52" s="21"/>
      <c r="E52" s="22">
        <f>SUM(E44:E50)</f>
      </c>
      <c r="F52" s="22">
        <f>SUM(F44:F50)</f>
      </c>
      <c r="G52" s="22">
        <f>SUM(G44:G50)</f>
      </c>
      <c r="H52" s="22">
        <f>SUM(H44:H50)</f>
      </c>
      <c r="I52" s="22">
        <f>SUM(I44:I50)</f>
      </c>
      <c r="J52" s="22">
        <f>SUM(J44:J50)</f>
      </c>
      <c r="K52" s="22">
        <f>SUM(K44:K50)</f>
      </c>
      <c r="L52" s="22">
        <f>SUM(L44:L50)</f>
      </c>
      <c r="M52" s="22">
        <f>SUM(M44:M50)</f>
      </c>
      <c r="N52" s="22">
        <f>SUM(N44:N50)</f>
      </c>
      <c r="O52" s="22">
        <f>SUM(O44:O50)</f>
      </c>
      <c r="P52" s="22">
        <f>SUM(P44:P50)</f>
      </c>
      <c r="Q52" s="22">
        <f>SUM(Q44:Q50)</f>
      </c>
      <c r="R52" s="22">
        <f>SUM(R44:R50)</f>
      </c>
      <c r="S52" s="22">
        <f>SUM(S44:S50)</f>
      </c>
      <c r="T52" s="22">
        <f>SUM(T44:T50)</f>
      </c>
      <c r="U52" s="22">
        <f>SUM(U44:U50)</f>
      </c>
      <c r="V52" s="22">
        <f>SUM(V44:V50)</f>
      </c>
      <c r="W52" s="22">
        <f>SUM(W44:W50)</f>
      </c>
      <c r="X52" s="22">
        <f>SUM(X44:X50)</f>
      </c>
      <c r="Y52" s="22">
        <f>SUM(Y44:Y50)</f>
      </c>
      <c r="Z52" s="22">
        <f>SUM(Z44:Z50)</f>
      </c>
      <c r="AA52" s="22">
        <f>SUM(AA44:AA50)</f>
      </c>
      <c r="AB52" s="22">
        <f>SUM(AB44:AB50)</f>
      </c>
      <c r="AC52" s="22">
        <f>SUM(AC44:AC50)</f>
      </c>
      <c r="AD52" s="22">
        <f>SUM(AD44:AD50)</f>
      </c>
      <c r="AE52" s="22">
        <f>SUM(AE44:AE50)</f>
      </c>
      <c r="AF52" s="22">
        <f>SUM(AF44:AF50)</f>
      </c>
      <c r="AG52" s="22">
        <f>SUM(AG44:AG50)</f>
      </c>
      <c r="AH52" s="22">
        <f>SUM(AH44:AH50)</f>
      </c>
      <c r="AI52" s="22">
        <f>SUM(AI44:AI50)</f>
      </c>
      <c r="AJ52" s="22">
        <f>SUM(AJ44:AJ50)</f>
      </c>
      <c r="AK52" s="23"/>
    </row>
    <row r="54" ht="12.75" customHeight="1" spans="2:37" x14ac:dyDescent="0.25">
      <c r="B54" s="26" t="s">
        <v>44</v>
      </c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9"/>
    </row>
    <row r="55" ht="12.75" customHeight="1" spans="2:37" x14ac:dyDescent="0.25">
      <c r="B55" s="30" t="s">
        <v>44</v>
      </c>
      <c r="C55" s="31" t="s">
        <v>1535</v>
      </c>
      <c r="D55" s="32" t="s">
        <v>1474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3">
        <v>4945.95</v>
      </c>
      <c r="AA55" s="33">
        <v>90.95</v>
      </c>
      <c r="AB55" s="33">
        <v>90.95</v>
      </c>
      <c r="AC55" s="33">
        <v>90.95</v>
      </c>
      <c r="AD55" s="33">
        <v>104.65</v>
      </c>
      <c r="AE55" s="33">
        <v>104.65</v>
      </c>
      <c r="AF55" s="33">
        <v>104.65</v>
      </c>
      <c r="AG55" s="33">
        <v>104.65</v>
      </c>
      <c r="AH55" s="33">
        <v>104.65</v>
      </c>
      <c r="AI55" s="33">
        <v>104.65</v>
      </c>
      <c r="AJ55" s="34">
        <f>SUM(E55:AI55)</f>
      </c>
      <c r="AK55" s="35"/>
    </row>
    <row r="56" ht="12.75" customHeight="1" spans="2:37" x14ac:dyDescent="0.25">
      <c r="B56" s="30" t="s">
        <v>44</v>
      </c>
      <c r="C56" s="31" t="s">
        <v>1535</v>
      </c>
      <c r="D56" s="32" t="s">
        <v>1536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3">
        <v>19.05</v>
      </c>
      <c r="AA56" s="33">
        <v>19.05</v>
      </c>
      <c r="AB56" s="33">
        <v>17.45</v>
      </c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44</v>
      </c>
      <c r="C57" s="31" t="s">
        <v>1535</v>
      </c>
      <c r="D57" s="32" t="s">
        <v>1494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3">
        <v>3.6</v>
      </c>
      <c r="AI57" s="32"/>
      <c r="AJ57" s="34">
        <f>SUM(E57:AI57)</f>
      </c>
      <c r="AK57" s="35"/>
    </row>
    <row r="58" ht="12.75" customHeight="1" spans="2:37" x14ac:dyDescent="0.25">
      <c r="B58" s="30" t="s">
        <v>44</v>
      </c>
      <c r="C58" s="31" t="s">
        <v>1535</v>
      </c>
      <c r="D58" s="32" t="s">
        <v>1539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3">
        <v>23.21</v>
      </c>
      <c r="AI58" s="32"/>
      <c r="AJ58" s="34">
        <f>SUM(E58:AI58)</f>
      </c>
      <c r="AK58" s="35"/>
    </row>
    <row r="59" ht="12.75" customHeight="1" spans="2:37" x14ac:dyDescent="0.25">
      <c r="B59" s="30" t="s">
        <v>44</v>
      </c>
      <c r="C59" s="31" t="s">
        <v>1535</v>
      </c>
      <c r="D59" s="32" t="s">
        <v>1540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3">
        <v>26.71</v>
      </c>
      <c r="AH59" s="32"/>
      <c r="AI59" s="33">
        <v>23.21</v>
      </c>
      <c r="AJ59" s="34">
        <f>SUM(E59:AI59)</f>
      </c>
      <c r="AK59" s="35"/>
    </row>
    <row r="60" ht="12.75" customHeight="1" spans="2:37" x14ac:dyDescent="0.25">
      <c r="B60" s="30" t="s">
        <v>44</v>
      </c>
      <c r="C60" s="31" t="s">
        <v>1535</v>
      </c>
      <c r="D60" s="32" t="s">
        <v>1548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3">
        <v>31.45</v>
      </c>
      <c r="AC60" s="32"/>
      <c r="AD60" s="32"/>
      <c r="AE60" s="32"/>
      <c r="AF60" s="32"/>
      <c r="AG60" s="32"/>
      <c r="AH60" s="32"/>
      <c r="AI60" s="32"/>
      <c r="AJ60" s="34">
        <f>SUM(E60:AI60)</f>
      </c>
      <c r="AK60" s="35"/>
    </row>
    <row r="61" ht="12.75" customHeight="1" spans="2:37" x14ac:dyDescent="0.25">
      <c r="B61" s="30" t="s">
        <v>44</v>
      </c>
      <c r="C61" s="31" t="s">
        <v>1535</v>
      </c>
      <c r="D61" s="32" t="s">
        <v>1506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3">
        <v>24.47</v>
      </c>
      <c r="AB61" s="33">
        <v>52.44</v>
      </c>
      <c r="AC61" s="33">
        <v>24.47</v>
      </c>
      <c r="AD61" s="33">
        <v>31.96</v>
      </c>
      <c r="AE61" s="33">
        <v>7.49</v>
      </c>
      <c r="AF61" s="33">
        <v>28.46</v>
      </c>
      <c r="AG61" s="33">
        <v>28.46</v>
      </c>
      <c r="AH61" s="33">
        <v>28.46</v>
      </c>
      <c r="AI61" s="33">
        <v>28.46</v>
      </c>
      <c r="AJ61" s="34">
        <f>SUM(E61:AI61)</f>
      </c>
      <c r="AK61" s="35"/>
    </row>
    <row r="62" ht="12.75" customHeight="1" spans="2:37" x14ac:dyDescent="0.25">
      <c r="B62" s="37"/>
      <c r="C62" s="38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40"/>
    </row>
    <row r="63" ht="12.75" customHeight="1" spans="2:37" x14ac:dyDescent="0.25">
      <c r="B63" s="20" t="s">
        <v>90</v>
      </c>
      <c r="C63" s="21"/>
      <c r="D63" s="21"/>
      <c r="E63" s="22">
        <f>SUM(E55:E61)</f>
      </c>
      <c r="F63" s="22">
        <f>SUM(F55:F61)</f>
      </c>
      <c r="G63" s="22">
        <f>SUM(G55:G61)</f>
      </c>
      <c r="H63" s="22">
        <f>SUM(H55:H61)</f>
      </c>
      <c r="I63" s="22">
        <f>SUM(I55:I61)</f>
      </c>
      <c r="J63" s="22">
        <f>SUM(J55:J61)</f>
      </c>
      <c r="K63" s="22">
        <f>SUM(K55:K61)</f>
      </c>
      <c r="L63" s="22">
        <f>SUM(L55:L61)</f>
      </c>
      <c r="M63" s="22">
        <f>SUM(M55:M61)</f>
      </c>
      <c r="N63" s="22">
        <f>SUM(N55:N61)</f>
      </c>
      <c r="O63" s="22">
        <f>SUM(O55:O61)</f>
      </c>
      <c r="P63" s="22">
        <f>SUM(P55:P61)</f>
      </c>
      <c r="Q63" s="22">
        <f>SUM(Q55:Q61)</f>
      </c>
      <c r="R63" s="22">
        <f>SUM(R55:R61)</f>
      </c>
      <c r="S63" s="22">
        <f>SUM(S55:S61)</f>
      </c>
      <c r="T63" s="22">
        <f>SUM(T55:T61)</f>
      </c>
      <c r="U63" s="22">
        <f>SUM(U55:U61)</f>
      </c>
      <c r="V63" s="22">
        <f>SUM(V55:V61)</f>
      </c>
      <c r="W63" s="22">
        <f>SUM(W55:W61)</f>
      </c>
      <c r="X63" s="22">
        <f>SUM(X55:X61)</f>
      </c>
      <c r="Y63" s="22">
        <f>SUM(Y55:Y61)</f>
      </c>
      <c r="Z63" s="22">
        <f>SUM(Z55:Z61)</f>
      </c>
      <c r="AA63" s="22">
        <f>SUM(AA55:AA61)</f>
      </c>
      <c r="AB63" s="22">
        <f>SUM(AB55:AB61)</f>
      </c>
      <c r="AC63" s="22">
        <f>SUM(AC55:AC61)</f>
      </c>
      <c r="AD63" s="22">
        <f>SUM(AD55:AD61)</f>
      </c>
      <c r="AE63" s="22">
        <f>SUM(AE55:AE61)</f>
      </c>
      <c r="AF63" s="22">
        <f>SUM(AF55:AF61)</f>
      </c>
      <c r="AG63" s="22">
        <f>SUM(AG55:AG61)</f>
      </c>
      <c r="AH63" s="22">
        <f>SUM(AH55:AH61)</f>
      </c>
      <c r="AI63" s="22">
        <f>SUM(AI55:AI61)</f>
      </c>
      <c r="AJ63" s="22">
        <f>SUM(AJ55:AJ61)</f>
      </c>
      <c r="AK63" s="23"/>
    </row>
    <row r="66" ht="12.75" customHeight="1" spans="2:37" x14ac:dyDescent="0.25">
      <c r="B66" s="11" t="s">
        <v>40</v>
      </c>
      <c r="C66" s="12"/>
      <c r="D66" s="13"/>
      <c r="E66" s="14" t="s">
        <v>7</v>
      </c>
      <c r="F66" s="14" t="s">
        <v>8</v>
      </c>
      <c r="G66" s="14" t="s">
        <v>9</v>
      </c>
      <c r="H66" s="14" t="s">
        <v>10</v>
      </c>
      <c r="I66" s="14" t="s">
        <v>11</v>
      </c>
      <c r="J66" s="14" t="s">
        <v>12</v>
      </c>
      <c r="K66" s="14" t="s">
        <v>13</v>
      </c>
      <c r="L66" s="14" t="s">
        <v>14</v>
      </c>
      <c r="M66" s="14" t="s">
        <v>15</v>
      </c>
      <c r="N66" s="14" t="s">
        <v>16</v>
      </c>
      <c r="O66" s="14" t="s">
        <v>17</v>
      </c>
      <c r="P66" s="14" t="s">
        <v>18</v>
      </c>
      <c r="Q66" s="14" t="s">
        <v>19</v>
      </c>
      <c r="R66" s="14" t="s">
        <v>20</v>
      </c>
      <c r="S66" s="14" t="s">
        <v>21</v>
      </c>
      <c r="T66" s="14" t="s">
        <v>22</v>
      </c>
      <c r="U66" s="14" t="s">
        <v>23</v>
      </c>
      <c r="V66" s="14" t="s">
        <v>24</v>
      </c>
      <c r="W66" s="14" t="s">
        <v>25</v>
      </c>
      <c r="X66" s="14" t="s">
        <v>26</v>
      </c>
      <c r="Y66" s="14" t="s">
        <v>27</v>
      </c>
      <c r="Z66" s="14" t="s">
        <v>28</v>
      </c>
      <c r="AA66" s="14" t="s">
        <v>29</v>
      </c>
      <c r="AB66" s="14" t="s">
        <v>30</v>
      </c>
      <c r="AC66" s="14" t="s">
        <v>31</v>
      </c>
      <c r="AD66" s="14" t="s">
        <v>32</v>
      </c>
      <c r="AE66" s="14" t="s">
        <v>33</v>
      </c>
      <c r="AF66" s="14" t="s">
        <v>34</v>
      </c>
      <c r="AG66" s="14" t="s">
        <v>35</v>
      </c>
      <c r="AH66" s="14" t="s">
        <v>36</v>
      </c>
      <c r="AI66" s="14" t="s">
        <v>37</v>
      </c>
      <c r="AJ66" s="14" t="s">
        <v>38</v>
      </c>
      <c r="AK66" s="15"/>
    </row>
    <row r="67" ht="12.75" customHeight="1" spans="2:37" x14ac:dyDescent="0.25">
      <c r="B67" s="16" t="s">
        <v>41</v>
      </c>
      <c r="C67" s="17"/>
      <c r="D67" s="17"/>
      <c r="E67" s="18">
        <f>E10</f>
      </c>
      <c r="F67" s="18">
        <f>F10</f>
      </c>
      <c r="G67" s="18">
        <f>G10</f>
      </c>
      <c r="H67" s="18">
        <f>H10</f>
      </c>
      <c r="I67" s="18">
        <f>I10</f>
      </c>
      <c r="J67" s="18">
        <f>J10</f>
      </c>
      <c r="K67" s="18">
        <f>K10</f>
      </c>
      <c r="L67" s="18">
        <f>L10</f>
      </c>
      <c r="M67" s="18">
        <f>M10</f>
      </c>
      <c r="N67" s="18">
        <f>N10</f>
      </c>
      <c r="O67" s="18">
        <f>O10</f>
      </c>
      <c r="P67" s="18">
        <f>P10</f>
      </c>
      <c r="Q67" s="18">
        <f>Q10</f>
      </c>
      <c r="R67" s="18">
        <f>R10</f>
      </c>
      <c r="S67" s="18">
        <f>S10</f>
      </c>
      <c r="T67" s="18">
        <f>T10</f>
      </c>
      <c r="U67" s="18">
        <f>U10</f>
      </c>
      <c r="V67" s="18">
        <f>V10</f>
      </c>
      <c r="W67" s="18">
        <f>W10</f>
      </c>
      <c r="X67" s="18">
        <f>X10</f>
      </c>
      <c r="Y67" s="18">
        <f>Y10</f>
      </c>
      <c r="Z67" s="18">
        <f>Z10</f>
      </c>
      <c r="AA67" s="18">
        <f>AA10</f>
      </c>
      <c r="AB67" s="18">
        <f>AB10</f>
      </c>
      <c r="AC67" s="18">
        <f>AC10</f>
      </c>
      <c r="AD67" s="18">
        <f>AD10</f>
      </c>
      <c r="AE67" s="18">
        <f>AE10</f>
      </c>
      <c r="AF67" s="18">
        <f>AF10</f>
      </c>
      <c r="AG67" s="18">
        <f>AG10</f>
      </c>
      <c r="AH67" s="18">
        <f>AH10</f>
      </c>
      <c r="AI67" s="18">
        <f>AI10</f>
      </c>
      <c r="AJ67" s="18">
        <f>AJ10</f>
      </c>
      <c r="AK67" s="19"/>
    </row>
    <row r="68" ht="12.75" customHeight="1" spans="2:37" x14ac:dyDescent="0.25">
      <c r="B68" s="16" t="s">
        <v>42</v>
      </c>
      <c r="C68" s="17"/>
      <c r="D68" s="17"/>
      <c r="E68" s="18">
        <f>E41</f>
      </c>
      <c r="F68" s="18">
        <f>F41</f>
      </c>
      <c r="G68" s="18">
        <f>G41</f>
      </c>
      <c r="H68" s="18">
        <f>H41</f>
      </c>
      <c r="I68" s="18">
        <f>I41</f>
      </c>
      <c r="J68" s="18">
        <f>J41</f>
      </c>
      <c r="K68" s="18">
        <f>K41</f>
      </c>
      <c r="L68" s="18">
        <f>L41</f>
      </c>
      <c r="M68" s="18">
        <f>M41</f>
      </c>
      <c r="N68" s="18">
        <f>N41</f>
      </c>
      <c r="O68" s="18">
        <f>O41</f>
      </c>
      <c r="P68" s="18">
        <f>P41</f>
      </c>
      <c r="Q68" s="18">
        <f>Q41</f>
      </c>
      <c r="R68" s="18">
        <f>R41</f>
      </c>
      <c r="S68" s="18">
        <f>S41</f>
      </c>
      <c r="T68" s="18">
        <f>T41</f>
      </c>
      <c r="U68" s="18">
        <f>U41</f>
      </c>
      <c r="V68" s="18">
        <f>V41</f>
      </c>
      <c r="W68" s="18">
        <f>W41</f>
      </c>
      <c r="X68" s="18">
        <f>X41</f>
      </c>
      <c r="Y68" s="18">
        <f>Y41</f>
      </c>
      <c r="Z68" s="18">
        <f>Z41</f>
      </c>
      <c r="AA68" s="18">
        <f>AA41</f>
      </c>
      <c r="AB68" s="18">
        <f>AB41</f>
      </c>
      <c r="AC68" s="18">
        <f>AC41</f>
      </c>
      <c r="AD68" s="18">
        <f>AD41</f>
      </c>
      <c r="AE68" s="18">
        <f>AE41</f>
      </c>
      <c r="AF68" s="18">
        <f>AF41</f>
      </c>
      <c r="AG68" s="18">
        <f>AG41</f>
      </c>
      <c r="AH68" s="18">
        <f>AH41</f>
      </c>
      <c r="AI68" s="18">
        <f>AI41</f>
      </c>
      <c r="AJ68" s="18">
        <f>AJ41</f>
      </c>
      <c r="AK68" s="19"/>
    </row>
    <row r="69" ht="12.75" customHeight="1" spans="2:37" x14ac:dyDescent="0.25">
      <c r="B69" s="16" t="s">
        <v>43</v>
      </c>
      <c r="C69" s="17"/>
      <c r="D69" s="17"/>
      <c r="E69" s="18">
        <f>E52</f>
      </c>
      <c r="F69" s="18">
        <f>F52</f>
      </c>
      <c r="G69" s="18">
        <f>G52</f>
      </c>
      <c r="H69" s="18">
        <f>H52</f>
      </c>
      <c r="I69" s="18">
        <f>I52</f>
      </c>
      <c r="J69" s="18">
        <f>J52</f>
      </c>
      <c r="K69" s="18">
        <f>K52</f>
      </c>
      <c r="L69" s="18">
        <f>L52</f>
      </c>
      <c r="M69" s="18">
        <f>M52</f>
      </c>
      <c r="N69" s="18">
        <f>N52</f>
      </c>
      <c r="O69" s="18">
        <f>O52</f>
      </c>
      <c r="P69" s="18">
        <f>P52</f>
      </c>
      <c r="Q69" s="18">
        <f>Q52</f>
      </c>
      <c r="R69" s="18">
        <f>R52</f>
      </c>
      <c r="S69" s="18">
        <f>S52</f>
      </c>
      <c r="T69" s="18">
        <f>T52</f>
      </c>
      <c r="U69" s="18">
        <f>U52</f>
      </c>
      <c r="V69" s="18">
        <f>V52</f>
      </c>
      <c r="W69" s="18">
        <f>W52</f>
      </c>
      <c r="X69" s="18">
        <f>X52</f>
      </c>
      <c r="Y69" s="18">
        <f>Y52</f>
      </c>
      <c r="Z69" s="18">
        <f>Z52</f>
      </c>
      <c r="AA69" s="18">
        <f>AA52</f>
      </c>
      <c r="AB69" s="18">
        <f>AB52</f>
      </c>
      <c r="AC69" s="18">
        <f>AC52</f>
      </c>
      <c r="AD69" s="18">
        <f>AD52</f>
      </c>
      <c r="AE69" s="18">
        <f>AE52</f>
      </c>
      <c r="AF69" s="18">
        <f>AF52</f>
      </c>
      <c r="AG69" s="18">
        <f>AG52</f>
      </c>
      <c r="AH69" s="18">
        <f>AH52</f>
      </c>
      <c r="AI69" s="18">
        <f>AI52</f>
      </c>
      <c r="AJ69" s="18">
        <f>AJ52</f>
      </c>
      <c r="AK69" s="19"/>
    </row>
    <row r="70" ht="12.75" customHeight="1" spans="2:37" x14ac:dyDescent="0.25">
      <c r="B70" s="16" t="s">
        <v>44</v>
      </c>
      <c r="C70" s="17"/>
      <c r="D70" s="17"/>
      <c r="E70" s="18">
        <f>E63</f>
      </c>
      <c r="F70" s="18">
        <f>F63</f>
      </c>
      <c r="G70" s="18">
        <f>G63</f>
      </c>
      <c r="H70" s="18">
        <f>H63</f>
      </c>
      <c r="I70" s="18">
        <f>I63</f>
      </c>
      <c r="J70" s="18">
        <f>J63</f>
      </c>
      <c r="K70" s="18">
        <f>K63</f>
      </c>
      <c r="L70" s="18">
        <f>L63</f>
      </c>
      <c r="M70" s="18">
        <f>M63</f>
      </c>
      <c r="N70" s="18">
        <f>N63</f>
      </c>
      <c r="O70" s="18">
        <f>O63</f>
      </c>
      <c r="P70" s="18">
        <f>P63</f>
      </c>
      <c r="Q70" s="18">
        <f>Q63</f>
      </c>
      <c r="R70" s="18">
        <f>R63</f>
      </c>
      <c r="S70" s="18">
        <f>S63</f>
      </c>
      <c r="T70" s="18">
        <f>T63</f>
      </c>
      <c r="U70" s="18">
        <f>U63</f>
      </c>
      <c r="V70" s="18">
        <f>V63</f>
      </c>
      <c r="W70" s="18">
        <f>W63</f>
      </c>
      <c r="X70" s="18">
        <f>X63</f>
      </c>
      <c r="Y70" s="18">
        <f>Y63</f>
      </c>
      <c r="Z70" s="18">
        <f>Z63</f>
      </c>
      <c r="AA70" s="18">
        <f>AA63</f>
      </c>
      <c r="AB70" s="18">
        <f>AB63</f>
      </c>
      <c r="AC70" s="18">
        <f>AC63</f>
      </c>
      <c r="AD70" s="18">
        <f>AD63</f>
      </c>
      <c r="AE70" s="18">
        <f>AE63</f>
      </c>
      <c r="AF70" s="18">
        <f>AF63</f>
      </c>
      <c r="AG70" s="18">
        <f>AG63</f>
      </c>
      <c r="AH70" s="18">
        <f>AH63</f>
      </c>
      <c r="AI70" s="18">
        <f>AI63</f>
      </c>
      <c r="AJ70" s="18">
        <f>AJ63</f>
      </c>
      <c r="AK70" s="19"/>
    </row>
    <row r="71" ht="12.75" customHeight="1" spans="2:37" x14ac:dyDescent="0.25">
      <c r="B71" s="20" t="s">
        <v>45</v>
      </c>
      <c r="C71" s="21"/>
      <c r="D71" s="21"/>
      <c r="E71" s="22">
        <f>E67+E68+E69+E70</f>
      </c>
      <c r="F71" s="22">
        <f>F67+F68+F69+F70</f>
      </c>
      <c r="G71" s="22">
        <f>G67+G68+G69+G70</f>
      </c>
      <c r="H71" s="22">
        <f>H67+H68+H69+H70</f>
      </c>
      <c r="I71" s="22">
        <f>I67+I68+I69+I70</f>
      </c>
      <c r="J71" s="22">
        <f>J67+J68+J69+J70</f>
      </c>
      <c r="K71" s="22">
        <f>K67+K68+K69+K70</f>
      </c>
      <c r="L71" s="22">
        <f>L67+L68+L69+L70</f>
      </c>
      <c r="M71" s="22">
        <f>M67+M68+M69+M70</f>
      </c>
      <c r="N71" s="22">
        <f>N67+N68+N69+N70</f>
      </c>
      <c r="O71" s="22">
        <f>O67+O68+O69+O70</f>
      </c>
      <c r="P71" s="22">
        <f>P67+P68+P69+P70</f>
      </c>
      <c r="Q71" s="22">
        <f>Q67+Q68+Q69+Q70</f>
      </c>
      <c r="R71" s="22">
        <f>R67+R68+R69+R70</f>
      </c>
      <c r="S71" s="22">
        <f>S67+S68+S69+S70</f>
      </c>
      <c r="T71" s="22">
        <f>T67+T68+T69+T70</f>
      </c>
      <c r="U71" s="22">
        <f>U67+U68+U69+U70</f>
      </c>
      <c r="V71" s="22">
        <f>V67+V68+V69+V70</f>
      </c>
      <c r="W71" s="22">
        <f>W67+W68+W69+W70</f>
      </c>
      <c r="X71" s="22">
        <f>X67+X68+X69+X70</f>
      </c>
      <c r="Y71" s="22">
        <f>Y67+Y68+Y69+Y70</f>
      </c>
      <c r="Z71" s="22">
        <f>Z67+Z68+Z69+Z70</f>
      </c>
      <c r="AA71" s="22">
        <f>AA67+AA68+AA69+AA70</f>
      </c>
      <c r="AB71" s="22">
        <f>AB67+AB68+AB69+AB70</f>
      </c>
      <c r="AC71" s="22">
        <f>AC67+AC68+AC69+AC70</f>
      </c>
      <c r="AD71" s="22">
        <f>AD67+AD68+AD69+AD70</f>
      </c>
      <c r="AE71" s="22">
        <f>AE67+AE68+AE69+AE70</f>
      </c>
      <c r="AF71" s="22">
        <f>AF67+AF68+AF69+AF70</f>
      </c>
      <c r="AG71" s="22">
        <f>AG67+AG68+AG69+AG70</f>
      </c>
      <c r="AH71" s="22">
        <f>AH67+AH68+AH69+AH70</f>
      </c>
      <c r="AI71" s="22">
        <f>AI67+AI68+AI69+AI70</f>
      </c>
      <c r="AJ71" s="22">
        <f>AJ67+AJ68+AJ69+AJ70</f>
      </c>
      <c r="AK71" s="23"/>
    </row>
    <row r="73" ht="12.75" customHeight="1" spans="2:37" x14ac:dyDescent="0.25">
      <c r="B73" s="11" t="s">
        <v>46</v>
      </c>
      <c r="C73" s="12"/>
      <c r="D73" s="13"/>
      <c r="E73" s="14" t="s">
        <v>7</v>
      </c>
      <c r="F73" s="14" t="s">
        <v>8</v>
      </c>
      <c r="G73" s="14" t="s">
        <v>9</v>
      </c>
      <c r="H73" s="14" t="s">
        <v>10</v>
      </c>
      <c r="I73" s="14" t="s">
        <v>11</v>
      </c>
      <c r="J73" s="14" t="s">
        <v>12</v>
      </c>
      <c r="K73" s="14" t="s">
        <v>13</v>
      </c>
      <c r="L73" s="14" t="s">
        <v>14</v>
      </c>
      <c r="M73" s="14" t="s">
        <v>15</v>
      </c>
      <c r="N73" s="14" t="s">
        <v>16</v>
      </c>
      <c r="O73" s="14" t="s">
        <v>17</v>
      </c>
      <c r="P73" s="14" t="s">
        <v>18</v>
      </c>
      <c r="Q73" s="14" t="s">
        <v>19</v>
      </c>
      <c r="R73" s="14" t="s">
        <v>20</v>
      </c>
      <c r="S73" s="14" t="s">
        <v>21</v>
      </c>
      <c r="T73" s="14" t="s">
        <v>22</v>
      </c>
      <c r="U73" s="14" t="s">
        <v>23</v>
      </c>
      <c r="V73" s="14" t="s">
        <v>24</v>
      </c>
      <c r="W73" s="14" t="s">
        <v>25</v>
      </c>
      <c r="X73" s="14" t="s">
        <v>26</v>
      </c>
      <c r="Y73" s="14" t="s">
        <v>27</v>
      </c>
      <c r="Z73" s="14" t="s">
        <v>28</v>
      </c>
      <c r="AA73" s="14" t="s">
        <v>29</v>
      </c>
      <c r="AB73" s="14" t="s">
        <v>30</v>
      </c>
      <c r="AC73" s="14" t="s">
        <v>31</v>
      </c>
      <c r="AD73" s="14" t="s">
        <v>32</v>
      </c>
      <c r="AE73" s="14" t="s">
        <v>33</v>
      </c>
      <c r="AF73" s="14" t="s">
        <v>34</v>
      </c>
      <c r="AG73" s="14" t="s">
        <v>35</v>
      </c>
      <c r="AH73" s="14" t="s">
        <v>36</v>
      </c>
      <c r="AI73" s="14" t="s">
        <v>37</v>
      </c>
      <c r="AJ73" s="14" t="s">
        <v>38</v>
      </c>
      <c r="AK73" s="15"/>
    </row>
    <row r="74" ht="12.75" customHeight="1" spans="2:37" x14ac:dyDescent="0.25">
      <c r="B74" s="16" t="s">
        <v>41</v>
      </c>
      <c r="C74" s="17"/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9"/>
    </row>
    <row r="75" ht="12.75" customHeight="1" spans="2:37" x14ac:dyDescent="0.25">
      <c r="B75" s="16" t="s">
        <v>42</v>
      </c>
      <c r="C75" s="17"/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9"/>
    </row>
    <row r="76" ht="12.75" customHeight="1" spans="2:37" x14ac:dyDescent="0.25">
      <c r="B76" s="16" t="s">
        <v>43</v>
      </c>
      <c r="C76" s="17"/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 ht="12.75" customHeight="1" spans="2:37" x14ac:dyDescent="0.25">
      <c r="B77" s="16" t="s">
        <v>44</v>
      </c>
      <c r="C77" s="17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 ht="12.75" customHeight="1" spans="2:37" x14ac:dyDescent="0.25">
      <c r="B78" s="20" t="s">
        <v>45</v>
      </c>
      <c r="C78" s="21"/>
      <c r="D78" s="21"/>
      <c r="E78" s="22">
        <f>E74+E75+E76+E77</f>
      </c>
      <c r="F78" s="22">
        <f>F74+F75+F76+F77</f>
      </c>
      <c r="G78" s="22">
        <f>G74+G75+G76+G77</f>
      </c>
      <c r="H78" s="22">
        <f>H74+H75+H76+H77</f>
      </c>
      <c r="I78" s="22">
        <f>I74+I75+I76+I77</f>
      </c>
      <c r="J78" s="22">
        <f>J74+J75+J76+J77</f>
      </c>
      <c r="K78" s="22">
        <f>K74+K75+K76+K77</f>
      </c>
      <c r="L78" s="22">
        <f>L74+L75+L76+L77</f>
      </c>
      <c r="M78" s="22">
        <f>M74+M75+M76+M77</f>
      </c>
      <c r="N78" s="22">
        <f>N74+N75+N76+N77</f>
      </c>
      <c r="O78" s="22">
        <f>O74+O75+O76+O77</f>
      </c>
      <c r="P78" s="22">
        <f>P74+P75+P76+P77</f>
      </c>
      <c r="Q78" s="22">
        <f>Q74+Q75+Q76+Q77</f>
      </c>
      <c r="R78" s="22">
        <f>R74+R75+R76+R77</f>
      </c>
      <c r="S78" s="22">
        <f>S74+S75+S76+S77</f>
      </c>
      <c r="T78" s="22">
        <f>T74+T75+T76+T77</f>
      </c>
      <c r="U78" s="22">
        <f>U74+U75+U76+U77</f>
      </c>
      <c r="V78" s="22">
        <f>V74+V75+V76+V77</f>
      </c>
      <c r="W78" s="22">
        <f>W74+W75+W76+W77</f>
      </c>
      <c r="X78" s="22">
        <f>X74+X75+X76+X77</f>
      </c>
      <c r="Y78" s="22">
        <f>Y74+Y75+Y76+Y77</f>
      </c>
      <c r="Z78" s="22">
        <f>Z74+Z75+Z76+Z77</f>
      </c>
      <c r="AA78" s="22">
        <f>AA74+AA75+AA76+AA77</f>
      </c>
      <c r="AB78" s="22">
        <f>AB74+AB75+AB76+AB77</f>
      </c>
      <c r="AC78" s="22">
        <f>AC74+AC75+AC76+AC77</f>
      </c>
      <c r="AD78" s="22">
        <f>AD74+AD75+AD76+AD77</f>
      </c>
      <c r="AE78" s="22">
        <f>AE74+AE75+AE76+AE77</f>
      </c>
      <c r="AF78" s="22">
        <f>AF74+AF75+AF76+AF77</f>
      </c>
      <c r="AG78" s="22">
        <f>AG74+AG75+AG76+AG77</f>
      </c>
      <c r="AH78" s="22">
        <f>AH74+AH75+AH76+AH77</f>
      </c>
      <c r="AI78" s="22">
        <f>AI74+AI75+AI76+AI77</f>
      </c>
      <c r="AJ78" s="22">
        <f>AJ74+AJ75+AJ76+AJ77</f>
      </c>
      <c r="AK78" s="23"/>
    </row>
    <row r="80" ht="12.75" customHeight="1" spans="2:37" x14ac:dyDescent="0.25">
      <c r="B80" s="11" t="s">
        <v>47</v>
      </c>
      <c r="C80" s="12"/>
      <c r="D80" s="13"/>
      <c r="E80" s="14" t="s">
        <v>7</v>
      </c>
      <c r="F80" s="14" t="s">
        <v>8</v>
      </c>
      <c r="G80" s="14" t="s">
        <v>9</v>
      </c>
      <c r="H80" s="14" t="s">
        <v>10</v>
      </c>
      <c r="I80" s="14" t="s">
        <v>11</v>
      </c>
      <c r="J80" s="14" t="s">
        <v>12</v>
      </c>
      <c r="K80" s="14" t="s">
        <v>13</v>
      </c>
      <c r="L80" s="14" t="s">
        <v>14</v>
      </c>
      <c r="M80" s="14" t="s">
        <v>15</v>
      </c>
      <c r="N80" s="14" t="s">
        <v>16</v>
      </c>
      <c r="O80" s="14" t="s">
        <v>17</v>
      </c>
      <c r="P80" s="14" t="s">
        <v>18</v>
      </c>
      <c r="Q80" s="14" t="s">
        <v>19</v>
      </c>
      <c r="R80" s="14" t="s">
        <v>20</v>
      </c>
      <c r="S80" s="14" t="s">
        <v>21</v>
      </c>
      <c r="T80" s="14" t="s">
        <v>22</v>
      </c>
      <c r="U80" s="14" t="s">
        <v>23</v>
      </c>
      <c r="V80" s="14" t="s">
        <v>24</v>
      </c>
      <c r="W80" s="14" t="s">
        <v>25</v>
      </c>
      <c r="X80" s="14" t="s">
        <v>26</v>
      </c>
      <c r="Y80" s="14" t="s">
        <v>27</v>
      </c>
      <c r="Z80" s="14" t="s">
        <v>28</v>
      </c>
      <c r="AA80" s="14" t="s">
        <v>29</v>
      </c>
      <c r="AB80" s="14" t="s">
        <v>30</v>
      </c>
      <c r="AC80" s="14" t="s">
        <v>31</v>
      </c>
      <c r="AD80" s="14" t="s">
        <v>32</v>
      </c>
      <c r="AE80" s="14" t="s">
        <v>33</v>
      </c>
      <c r="AF80" s="14" t="s">
        <v>34</v>
      </c>
      <c r="AG80" s="14" t="s">
        <v>35</v>
      </c>
      <c r="AH80" s="14" t="s">
        <v>36</v>
      </c>
      <c r="AI80" s="14" t="s">
        <v>37</v>
      </c>
      <c r="AJ80" s="14" t="s">
        <v>38</v>
      </c>
      <c r="AK80" s="15"/>
    </row>
    <row r="81" ht="12.75" customHeight="1" spans="2:37" x14ac:dyDescent="0.25">
      <c r="B81" s="16" t="s">
        <v>41</v>
      </c>
      <c r="C81" s="17"/>
      <c r="D81" s="17"/>
      <c r="E81" s="24">
        <f>E74-E67</f>
      </c>
      <c r="F81" s="24">
        <f>F74-F67</f>
      </c>
      <c r="G81" s="24">
        <f>G74-G67</f>
      </c>
      <c r="H81" s="24">
        <f>H74-H67</f>
      </c>
      <c r="I81" s="24">
        <f>I74-I67</f>
      </c>
      <c r="J81" s="24">
        <f>J74-J67</f>
      </c>
      <c r="K81" s="24">
        <f>K74-K67</f>
      </c>
      <c r="L81" s="24">
        <f>L74-L67</f>
      </c>
      <c r="M81" s="24">
        <f>M74-M67</f>
      </c>
      <c r="N81" s="24">
        <f>N74-N67</f>
      </c>
      <c r="O81" s="24">
        <f>O74-O67</f>
      </c>
      <c r="P81" s="24">
        <f>P74-P67</f>
      </c>
      <c r="Q81" s="24">
        <f>Q74-Q67</f>
      </c>
      <c r="R81" s="24">
        <f>R74-R67</f>
      </c>
      <c r="S81" s="24">
        <f>S74-S67</f>
      </c>
      <c r="T81" s="24">
        <f>T74-T67</f>
      </c>
      <c r="U81" s="24">
        <f>U74-U67</f>
      </c>
      <c r="V81" s="24">
        <f>V74-V67</f>
      </c>
      <c r="W81" s="24">
        <f>W74-W67</f>
      </c>
      <c r="X81" s="24">
        <f>X74-X67</f>
      </c>
      <c r="Y81" s="24">
        <f>Y74-Y67</f>
      </c>
      <c r="Z81" s="24">
        <f>Z74-Z67</f>
      </c>
      <c r="AA81" s="24">
        <f>AA74-AA67</f>
      </c>
      <c r="AB81" s="24">
        <f>AB74-AB67</f>
      </c>
      <c r="AC81" s="24">
        <f>AC74-AC67</f>
      </c>
      <c r="AD81" s="24">
        <f>AD74-AD67</f>
      </c>
      <c r="AE81" s="24">
        <f>AE74-AE67</f>
      </c>
      <c r="AF81" s="24">
        <f>AF74-AF67</f>
      </c>
      <c r="AG81" s="24">
        <f>AG74-AG67</f>
      </c>
      <c r="AH81" s="24">
        <f>AH74-AH67</f>
      </c>
      <c r="AI81" s="24">
        <f>AI74-AI67</f>
      </c>
      <c r="AJ81" s="24">
        <f>AJ74-AJ67</f>
      </c>
      <c r="AK81" s="19"/>
    </row>
    <row r="82" ht="12.75" customHeight="1" spans="2:37" x14ac:dyDescent="0.25">
      <c r="B82" s="16" t="s">
        <v>42</v>
      </c>
      <c r="C82" s="17"/>
      <c r="D82" s="17"/>
      <c r="E82" s="24">
        <f>E75-E68</f>
      </c>
      <c r="F82" s="24">
        <f>F75-F68</f>
      </c>
      <c r="G82" s="24">
        <f>G75-G68</f>
      </c>
      <c r="H82" s="24">
        <f>H75-H68</f>
      </c>
      <c r="I82" s="24">
        <f>I75-I68</f>
      </c>
      <c r="J82" s="24">
        <f>J75-J68</f>
      </c>
      <c r="K82" s="24">
        <f>K75-K68</f>
      </c>
      <c r="L82" s="24">
        <f>L75-L68</f>
      </c>
      <c r="M82" s="24">
        <f>M75-M68</f>
      </c>
      <c r="N82" s="24">
        <f>N75-N68</f>
      </c>
      <c r="O82" s="24">
        <f>O75-O68</f>
      </c>
      <c r="P82" s="24">
        <f>P75-P68</f>
      </c>
      <c r="Q82" s="24">
        <f>Q75-Q68</f>
      </c>
      <c r="R82" s="24">
        <f>R75-R68</f>
      </c>
      <c r="S82" s="24">
        <f>S75-S68</f>
      </c>
      <c r="T82" s="24">
        <f>T75-T68</f>
      </c>
      <c r="U82" s="24">
        <f>U75-U68</f>
      </c>
      <c r="V82" s="24">
        <f>V75-V68</f>
      </c>
      <c r="W82" s="24">
        <f>W75-W68</f>
      </c>
      <c r="X82" s="24">
        <f>X75-X68</f>
      </c>
      <c r="Y82" s="24">
        <f>Y75-Y68</f>
      </c>
      <c r="Z82" s="24">
        <f>Z75-Z68</f>
      </c>
      <c r="AA82" s="24">
        <f>AA75-AA68</f>
      </c>
      <c r="AB82" s="24">
        <f>AB75-AB68</f>
      </c>
      <c r="AC82" s="24">
        <f>AC75-AC68</f>
      </c>
      <c r="AD82" s="24">
        <f>AD75-AD68</f>
      </c>
      <c r="AE82" s="24">
        <f>AE75-AE68</f>
      </c>
      <c r="AF82" s="24">
        <f>AF75-AF68</f>
      </c>
      <c r="AG82" s="24">
        <f>AG75-AG68</f>
      </c>
      <c r="AH82" s="24">
        <f>AH75-AH68</f>
      </c>
      <c r="AI82" s="24">
        <f>AI75-AI68</f>
      </c>
      <c r="AJ82" s="24">
        <f>AJ75-AJ68</f>
      </c>
      <c r="AK82" s="19"/>
    </row>
    <row r="83" ht="12.75" customHeight="1" spans="2:37" x14ac:dyDescent="0.25">
      <c r="B83" s="16" t="s">
        <v>43</v>
      </c>
      <c r="C83" s="17"/>
      <c r="D83" s="17"/>
      <c r="E83" s="24">
        <f>E76-E69</f>
      </c>
      <c r="F83" s="24">
        <f>F76-F69</f>
      </c>
      <c r="G83" s="24">
        <f>G76-G69</f>
      </c>
      <c r="H83" s="24">
        <f>H76-H69</f>
      </c>
      <c r="I83" s="24">
        <f>I76-I69</f>
      </c>
      <c r="J83" s="24">
        <f>J76-J69</f>
      </c>
      <c r="K83" s="24">
        <f>K76-K69</f>
      </c>
      <c r="L83" s="24">
        <f>L76-L69</f>
      </c>
      <c r="M83" s="24">
        <f>M76-M69</f>
      </c>
      <c r="N83" s="24">
        <f>N76-N69</f>
      </c>
      <c r="O83" s="24">
        <f>O76-O69</f>
      </c>
      <c r="P83" s="24">
        <f>P76-P69</f>
      </c>
      <c r="Q83" s="24">
        <f>Q76-Q69</f>
      </c>
      <c r="R83" s="24">
        <f>R76-R69</f>
      </c>
      <c r="S83" s="24">
        <f>S76-S69</f>
      </c>
      <c r="T83" s="24">
        <f>T76-T69</f>
      </c>
      <c r="U83" s="24">
        <f>U76-U69</f>
      </c>
      <c r="V83" s="24">
        <f>V76-V69</f>
      </c>
      <c r="W83" s="24">
        <f>W76-W69</f>
      </c>
      <c r="X83" s="24">
        <f>X76-X69</f>
      </c>
      <c r="Y83" s="24">
        <f>Y76-Y69</f>
      </c>
      <c r="Z83" s="24">
        <f>Z76-Z69</f>
      </c>
      <c r="AA83" s="24">
        <f>AA76-AA69</f>
      </c>
      <c r="AB83" s="24">
        <f>AB76-AB69</f>
      </c>
      <c r="AC83" s="24">
        <f>AC76-AC69</f>
      </c>
      <c r="AD83" s="24">
        <f>AD76-AD69</f>
      </c>
      <c r="AE83" s="24">
        <f>AE76-AE69</f>
      </c>
      <c r="AF83" s="24">
        <f>AF76-AF69</f>
      </c>
      <c r="AG83" s="24">
        <f>AG76-AG69</f>
      </c>
      <c r="AH83" s="24">
        <f>AH76-AH69</f>
      </c>
      <c r="AI83" s="24">
        <f>AI76-AI69</f>
      </c>
      <c r="AJ83" s="24">
        <f>AJ76-AJ69</f>
      </c>
      <c r="AK83" s="19"/>
    </row>
    <row r="84" ht="12.75" customHeight="1" spans="2:37" x14ac:dyDescent="0.25">
      <c r="B84" s="16" t="s">
        <v>44</v>
      </c>
      <c r="C84" s="17"/>
      <c r="D84" s="17"/>
      <c r="E84" s="24">
        <f>E77-E70</f>
      </c>
      <c r="F84" s="24">
        <f>F77-F70</f>
      </c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19"/>
    </row>
    <row r="85" ht="12.75" customHeight="1" spans="2:37" x14ac:dyDescent="0.25">
      <c r="B85" s="20" t="s">
        <v>45</v>
      </c>
      <c r="C85" s="21"/>
      <c r="D85" s="21"/>
      <c r="E85" s="25">
        <f>E81+E82+E83+E84</f>
      </c>
      <c r="F85" s="25">
        <f>F81+F82+F83+F84</f>
      </c>
      <c r="G85" s="25">
        <f>G81+G82+G83+G84</f>
      </c>
      <c r="H85" s="25">
        <f>H81+H82+H83+H84</f>
      </c>
      <c r="I85" s="25">
        <f>I81+I82+I83+I84</f>
      </c>
      <c r="J85" s="25">
        <f>J81+J82+J83+J84</f>
      </c>
      <c r="K85" s="25">
        <f>K81+K82+K83+K84</f>
      </c>
      <c r="L85" s="25">
        <f>L81+L82+L83+L84</f>
      </c>
      <c r="M85" s="25">
        <f>M81+M82+M83+M84</f>
      </c>
      <c r="N85" s="25">
        <f>N81+N82+N83+N84</f>
      </c>
      <c r="O85" s="25">
        <f>O81+O82+O83+O84</f>
      </c>
      <c r="P85" s="25">
        <f>P81+P82+P83+P84</f>
      </c>
      <c r="Q85" s="25">
        <f>Q81+Q82+Q83+Q84</f>
      </c>
      <c r="R85" s="25">
        <f>R81+R82+R83+R84</f>
      </c>
      <c r="S85" s="25">
        <f>S81+S82+S83+S84</f>
      </c>
      <c r="T85" s="25">
        <f>T81+T82+T83+T84</f>
      </c>
      <c r="U85" s="25">
        <f>U81+U82+U83+U84</f>
      </c>
      <c r="V85" s="25">
        <f>V81+V82+V83+V84</f>
      </c>
      <c r="W85" s="25">
        <f>W81+W82+W83+W84</f>
      </c>
      <c r="X85" s="25">
        <f>X81+X82+X83+X84</f>
      </c>
      <c r="Y85" s="25">
        <f>Y81+Y82+Y83+Y84</f>
      </c>
      <c r="Z85" s="25">
        <f>Z81+Z82+Z83+Z84</f>
      </c>
      <c r="AA85" s="25">
        <f>AA81+AA82+AA83+AA84</f>
      </c>
      <c r="AB85" s="25">
        <f>AB81+AB82+AB83+AB84</f>
      </c>
      <c r="AC85" s="25">
        <f>AC81+AC82+AC83+AC84</f>
      </c>
      <c r="AD85" s="25">
        <f>AD81+AD82+AD83+AD84</f>
      </c>
      <c r="AE85" s="25">
        <f>AE81+AE82+AE83+AE84</f>
      </c>
      <c r="AF85" s="25">
        <f>AF81+AF82+AF83+AF84</f>
      </c>
      <c r="AG85" s="25">
        <f>AG81+AG82+AG83+AG84</f>
      </c>
      <c r="AH85" s="25">
        <f>AH81+AH82+AH83+AH84</f>
      </c>
      <c r="AI85" s="25">
        <f>AI81+AI82+AI83+AI84</f>
      </c>
      <c r="AJ85" s="25">
        <f>AJ81+AJ82+AJ83+AJ84</f>
      </c>
      <c r="AK85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1534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1549</v>
      </c>
      <c r="AB8" s="44" t="s">
        <v>1550</v>
      </c>
      <c r="AC8" s="44" t="s">
        <v>1551</v>
      </c>
      <c r="AD8" s="44" t="s">
        <v>1552</v>
      </c>
      <c r="AE8" s="44" t="s">
        <v>1553</v>
      </c>
      <c r="AF8" s="44" t="s">
        <v>1554</v>
      </c>
      <c r="AG8" s="44" t="s">
        <v>1555</v>
      </c>
      <c r="AH8" s="44" t="s">
        <v>1556</v>
      </c>
      <c r="AI8" s="44" t="s">
        <v>1557</v>
      </c>
      <c r="AJ8" s="44" t="s">
        <v>1558</v>
      </c>
      <c r="AK8" s="44" t="s">
        <v>1559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1534</v>
      </c>
      <c r="D14" s="50" t="s">
        <v>42</v>
      </c>
      <c r="E14" s="32" t="s">
        <v>1535</v>
      </c>
      <c r="F14" s="32" t="s">
        <v>1473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1014.95</v>
      </c>
      <c r="AC14" s="33">
        <v>981.84</v>
      </c>
      <c r="AD14" s="33">
        <v>1067.66</v>
      </c>
      <c r="AE14" s="33">
        <v>1036.14</v>
      </c>
      <c r="AF14" s="33">
        <v>922.51</v>
      </c>
      <c r="AG14" s="33">
        <v>645.99</v>
      </c>
      <c r="AH14" s="33">
        <v>336.74</v>
      </c>
      <c r="AI14" s="33">
        <v>432</v>
      </c>
      <c r="AJ14" s="33">
        <v>776.92</v>
      </c>
      <c r="AK14" s="33">
        <v>691.08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1534</v>
      </c>
      <c r="D15" s="50" t="s">
        <v>42</v>
      </c>
      <c r="E15" s="32" t="s">
        <v>1535</v>
      </c>
      <c r="F15" s="32" t="s">
        <v>1475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21.13</v>
      </c>
      <c r="AC15" s="33">
        <v>0.55</v>
      </c>
      <c r="AD15" s="33">
        <v>22.56</v>
      </c>
      <c r="AE15" s="33">
        <v>22.51</v>
      </c>
      <c r="AF15" s="33">
        <v>23.8</v>
      </c>
      <c r="AG15" s="33">
        <v>24.28</v>
      </c>
      <c r="AH15" s="33">
        <v>36.25</v>
      </c>
      <c r="AI15" s="33">
        <v>34.97</v>
      </c>
      <c r="AJ15" s="33">
        <v>25.51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1534</v>
      </c>
      <c r="D16" s="50" t="s">
        <v>42</v>
      </c>
      <c r="E16" s="32" t="s">
        <v>1535</v>
      </c>
      <c r="F16" s="32" t="s">
        <v>1476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>
        <v>22.93</v>
      </c>
      <c r="AC16" s="33">
        <v>22.8</v>
      </c>
      <c r="AD16" s="33">
        <v>22.93</v>
      </c>
      <c r="AE16" s="33">
        <v>24.03</v>
      </c>
      <c r="AF16" s="33">
        <v>24.02</v>
      </c>
      <c r="AG16" s="33">
        <v>24.02</v>
      </c>
      <c r="AH16" s="33">
        <v>24.75</v>
      </c>
      <c r="AI16" s="33">
        <v>25.62</v>
      </c>
      <c r="AJ16" s="33">
        <v>24.29</v>
      </c>
      <c r="AK16" s="33">
        <v>23.8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1534</v>
      </c>
      <c r="D17" s="50" t="s">
        <v>42</v>
      </c>
      <c r="E17" s="32" t="s">
        <v>1535</v>
      </c>
      <c r="F17" s="32" t="s">
        <v>1536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>
        <v>15.76</v>
      </c>
      <c r="AC17" s="33">
        <v>19.26</v>
      </c>
      <c r="AD17" s="33">
        <v>24.52</v>
      </c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1534</v>
      </c>
      <c r="D18" s="50" t="s">
        <v>42</v>
      </c>
      <c r="E18" s="32" t="s">
        <v>1535</v>
      </c>
      <c r="F18" s="32" t="s">
        <v>1537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3">
        <v>93.16</v>
      </c>
      <c r="AD18" s="33">
        <v>52.05</v>
      </c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1534</v>
      </c>
      <c r="D19" s="50" t="s">
        <v>42</v>
      </c>
      <c r="E19" s="32" t="s">
        <v>1535</v>
      </c>
      <c r="F19" s="32" t="s">
        <v>1481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>
        <v>26.41</v>
      </c>
      <c r="AC19" s="33">
        <v>-1.14</v>
      </c>
      <c r="AD19" s="33">
        <v>24.03</v>
      </c>
      <c r="AE19" s="33">
        <v>25.39</v>
      </c>
      <c r="AF19" s="33">
        <v>25.9</v>
      </c>
      <c r="AG19" s="33">
        <v>26.74</v>
      </c>
      <c r="AH19" s="33">
        <v>28.39</v>
      </c>
      <c r="AI19" s="33">
        <v>29.02</v>
      </c>
      <c r="AJ19" s="33">
        <v>28.18</v>
      </c>
      <c r="AK19" s="33">
        <v>26.84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1534</v>
      </c>
      <c r="D20" s="50" t="s">
        <v>42</v>
      </c>
      <c r="E20" s="32" t="s">
        <v>1535</v>
      </c>
      <c r="F20" s="32" t="s">
        <v>1482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>
        <v>30.12</v>
      </c>
      <c r="AC20" s="33">
        <v>30.68</v>
      </c>
      <c r="AD20" s="33">
        <v>31.12</v>
      </c>
      <c r="AE20" s="33">
        <v>29.07</v>
      </c>
      <c r="AF20" s="33">
        <v>30.97</v>
      </c>
      <c r="AG20" s="33">
        <v>29.32</v>
      </c>
      <c r="AH20" s="33">
        <v>30.38</v>
      </c>
      <c r="AI20" s="33">
        <v>31.58</v>
      </c>
      <c r="AJ20" s="33">
        <v>31.22</v>
      </c>
      <c r="AK20" s="33">
        <v>30.73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1534</v>
      </c>
      <c r="D21" s="50" t="s">
        <v>42</v>
      </c>
      <c r="E21" s="32" t="s">
        <v>1535</v>
      </c>
      <c r="F21" s="32" t="s">
        <v>1483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3">
        <v>247.52</v>
      </c>
      <c r="AE21" s="33">
        <v>-99.7</v>
      </c>
      <c r="AF21" s="33">
        <v>29.88</v>
      </c>
      <c r="AG21" s="33">
        <v>129.58</v>
      </c>
      <c r="AH21" s="33">
        <v>129.58</v>
      </c>
      <c r="AI21" s="33">
        <v>130.52</v>
      </c>
      <c r="AJ21" s="33">
        <v>130.52</v>
      </c>
      <c r="AK21" s="33">
        <v>130.52</v>
      </c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1534</v>
      </c>
      <c r="D22" s="50" t="s">
        <v>42</v>
      </c>
      <c r="E22" s="32" t="s">
        <v>1535</v>
      </c>
      <c r="F22" s="32" t="s">
        <v>1484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361.4</v>
      </c>
      <c r="AB22" s="33">
        <v>371.54</v>
      </c>
      <c r="AC22" s="33">
        <v>16.21</v>
      </c>
      <c r="AD22" s="33">
        <v>421.03</v>
      </c>
      <c r="AE22" s="33">
        <v>439.44</v>
      </c>
      <c r="AF22" s="33">
        <v>381.31</v>
      </c>
      <c r="AG22" s="33">
        <v>370.73</v>
      </c>
      <c r="AH22" s="33">
        <v>374.96</v>
      </c>
      <c r="AI22" s="33">
        <v>387.81</v>
      </c>
      <c r="AJ22" s="33">
        <v>395.21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1534</v>
      </c>
      <c r="D23" s="50" t="s">
        <v>42</v>
      </c>
      <c r="E23" s="32" t="s">
        <v>1535</v>
      </c>
      <c r="F23" s="32" t="s">
        <v>1485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3">
        <v>423.76</v>
      </c>
      <c r="AC23" s="33">
        <v>-25.22</v>
      </c>
      <c r="AD23" s="33">
        <v>433.84</v>
      </c>
      <c r="AE23" s="33">
        <v>643.45</v>
      </c>
      <c r="AF23" s="33">
        <v>632.68</v>
      </c>
      <c r="AG23" s="33">
        <v>336.77</v>
      </c>
      <c r="AH23" s="33">
        <v>315.49</v>
      </c>
      <c r="AI23" s="33">
        <v>240.77</v>
      </c>
      <c r="AJ23" s="33">
        <v>81.56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1534</v>
      </c>
      <c r="D24" s="50" t="s">
        <v>42</v>
      </c>
      <c r="E24" s="32" t="s">
        <v>1535</v>
      </c>
      <c r="F24" s="32" t="s">
        <v>1486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84.57</v>
      </c>
      <c r="AC24" s="33">
        <v>85.25</v>
      </c>
      <c r="AD24" s="33">
        <v>85.92</v>
      </c>
      <c r="AE24" s="33">
        <v>86.42</v>
      </c>
      <c r="AF24" s="33">
        <v>88.38</v>
      </c>
      <c r="AG24" s="33">
        <v>89.92</v>
      </c>
      <c r="AH24" s="33">
        <v>89.67</v>
      </c>
      <c r="AI24" s="33">
        <v>95.16</v>
      </c>
      <c r="AJ24" s="33">
        <v>91.77</v>
      </c>
      <c r="AK24" s="33">
        <v>88</v>
      </c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1534</v>
      </c>
      <c r="D25" s="50" t="s">
        <v>42</v>
      </c>
      <c r="E25" s="32" t="s">
        <v>1535</v>
      </c>
      <c r="F25" s="32" t="s">
        <v>1538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3">
        <v>394.7</v>
      </c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1534</v>
      </c>
      <c r="D26" s="50" t="s">
        <v>42</v>
      </c>
      <c r="E26" s="32" t="s">
        <v>1535</v>
      </c>
      <c r="F26" s="32" t="s">
        <v>1490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3">
        <v>50.78</v>
      </c>
      <c r="AF26" s="33">
        <f>16.27+3.50</f>
        <v>19.77</v>
      </c>
      <c r="AG26" s="33">
        <v>16.27</v>
      </c>
      <c r="AH26" s="33">
        <v>16.27</v>
      </c>
      <c r="AI26" s="33">
        <v>16.27</v>
      </c>
      <c r="AJ26" s="33">
        <f>11.93+16.27</f>
        <v>28.2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1534</v>
      </c>
      <c r="D27" s="50" t="s">
        <v>42</v>
      </c>
      <c r="E27" s="32" t="s">
        <v>1535</v>
      </c>
      <c r="F27" s="32" t="s">
        <v>1492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3">
        <v>82.66</v>
      </c>
      <c r="AE27" s="33">
        <v>44.83</v>
      </c>
      <c r="AF27" s="33">
        <v>46</v>
      </c>
      <c r="AG27" s="33">
        <v>46</v>
      </c>
      <c r="AH27" s="33">
        <v>46</v>
      </c>
      <c r="AI27" s="33">
        <v>44.92</v>
      </c>
      <c r="AJ27" s="33">
        <v>29.73</v>
      </c>
      <c r="AK27" s="33">
        <v>29.73</v>
      </c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1534</v>
      </c>
      <c r="D28" s="50" t="s">
        <v>42</v>
      </c>
      <c r="E28" s="32" t="s">
        <v>1535</v>
      </c>
      <c r="F28" s="32" t="s">
        <v>1494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3">
        <v>71.89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1534</v>
      </c>
      <c r="D29" s="50" t="s">
        <v>42</v>
      </c>
      <c r="E29" s="32" t="s">
        <v>1535</v>
      </c>
      <c r="F29" s="32" t="s">
        <v>1539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3">
        <v>61.43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1534</v>
      </c>
      <c r="D30" s="50" t="s">
        <v>42</v>
      </c>
      <c r="E30" s="32" t="s">
        <v>1535</v>
      </c>
      <c r="F30" s="32" t="s">
        <v>1497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3">
        <v>82.66</v>
      </c>
      <c r="AE30" s="33">
        <v>44.83</v>
      </c>
      <c r="AF30" s="33">
        <v>46</v>
      </c>
      <c r="AG30" s="33">
        <v>46</v>
      </c>
      <c r="AH30" s="33">
        <v>46</v>
      </c>
      <c r="AI30" s="33">
        <v>46</v>
      </c>
      <c r="AJ30" s="33">
        <v>46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1534</v>
      </c>
      <c r="D31" s="50" t="s">
        <v>42</v>
      </c>
      <c r="E31" s="32" t="s">
        <v>1535</v>
      </c>
      <c r="F31" s="32" t="s">
        <v>1540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3">
        <v>74.62</v>
      </c>
      <c r="AJ31" s="32"/>
      <c r="AK31" s="33">
        <v>34.63</v>
      </c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1534</v>
      </c>
      <c r="D32" s="50" t="s">
        <v>42</v>
      </c>
      <c r="E32" s="32" t="s">
        <v>1535</v>
      </c>
      <c r="F32" s="32" t="s">
        <v>1541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3">
        <v>116.63</v>
      </c>
      <c r="AF32" s="33">
        <f>62.61+125.45</f>
        <v>188.06</v>
      </c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1534</v>
      </c>
      <c r="D33" s="50" t="s">
        <v>42</v>
      </c>
      <c r="E33" s="32" t="s">
        <v>1535</v>
      </c>
      <c r="F33" s="32" t="s">
        <v>1542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3">
        <v>123.93</v>
      </c>
      <c r="AJ33" s="33">
        <v>-70.1</v>
      </c>
      <c r="AK33" s="33">
        <v>-16.16</v>
      </c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1534</v>
      </c>
      <c r="D34" s="50" t="s">
        <v>42</v>
      </c>
      <c r="E34" s="32" t="s">
        <v>1535</v>
      </c>
      <c r="F34" s="32" t="s">
        <v>1507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3">
        <v>82.66</v>
      </c>
      <c r="AE34" s="33">
        <v>44.83</v>
      </c>
      <c r="AF34" s="33">
        <v>46</v>
      </c>
      <c r="AG34" s="33">
        <v>46</v>
      </c>
      <c r="AH34" s="33">
        <v>46</v>
      </c>
      <c r="AI34" s="33">
        <v>46</v>
      </c>
      <c r="AJ34" s="33">
        <v>46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1534</v>
      </c>
      <c r="D35" s="50" t="s">
        <v>42</v>
      </c>
      <c r="E35" s="32" t="s">
        <v>1535</v>
      </c>
      <c r="F35" s="32" t="s">
        <v>1508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3">
        <v>40.37</v>
      </c>
      <c r="AI35" s="33">
        <v>103.34</v>
      </c>
      <c r="AJ35" s="33">
        <v>32.37</v>
      </c>
      <c r="AK35" s="33">
        <v>59.35</v>
      </c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1534</v>
      </c>
      <c r="D36" s="50" t="s">
        <v>42</v>
      </c>
      <c r="E36" s="32" t="s">
        <v>1535</v>
      </c>
      <c r="F36" s="32" t="s">
        <v>1543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3">
        <v>82.66</v>
      </c>
      <c r="AE36" s="33">
        <v>44.83</v>
      </c>
      <c r="AF36" s="33">
        <v>46</v>
      </c>
      <c r="AG36" s="33">
        <v>46</v>
      </c>
      <c r="AH36" s="33">
        <v>46</v>
      </c>
      <c r="AI36" s="33">
        <v>46</v>
      </c>
      <c r="AJ36" s="33">
        <v>46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1534</v>
      </c>
      <c r="D37" s="50" t="s">
        <v>42</v>
      </c>
      <c r="E37" s="32" t="s">
        <v>1535</v>
      </c>
      <c r="F37" s="32" t="s">
        <v>1544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3">
        <v>47.28</v>
      </c>
      <c r="AE37" s="33">
        <v>19.26</v>
      </c>
      <c r="AF37" s="33">
        <v>16.27</v>
      </c>
      <c r="AG37" s="33">
        <v>16.27</v>
      </c>
      <c r="AH37" s="33">
        <v>16.27</v>
      </c>
      <c r="AI37" s="33">
        <v>16.27</v>
      </c>
      <c r="AJ37" s="33">
        <v>16.27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1534</v>
      </c>
      <c r="D38" s="50" t="s">
        <v>42</v>
      </c>
      <c r="E38" s="32" t="s">
        <v>1535</v>
      </c>
      <c r="F38" s="32" t="s">
        <v>1545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3">
        <v>56.04</v>
      </c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1534</v>
      </c>
      <c r="D39" s="50" t="s">
        <v>42</v>
      </c>
      <c r="E39" s="32" t="s">
        <v>1535</v>
      </c>
      <c r="F39" s="32" t="s">
        <v>1546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3">
        <v>19.31</v>
      </c>
      <c r="AC39" s="33">
        <v>0</v>
      </c>
      <c r="AD39" s="33">
        <v>19.31</v>
      </c>
      <c r="AE39" s="33">
        <v>19.31</v>
      </c>
      <c r="AF39" s="33">
        <v>19.92</v>
      </c>
      <c r="AG39" s="33">
        <v>19.92</v>
      </c>
      <c r="AH39" s="33">
        <v>19.92</v>
      </c>
      <c r="AI39" s="33">
        <v>19.92</v>
      </c>
      <c r="AJ39" s="33">
        <v>20.16</v>
      </c>
      <c r="AK39" s="33">
        <v>20.04</v>
      </c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1534</v>
      </c>
      <c r="D40" s="50" t="s">
        <v>42</v>
      </c>
      <c r="E40" s="32" t="s">
        <v>1535</v>
      </c>
      <c r="F40" s="32" t="s">
        <v>1547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3">
        <v>161.31</v>
      </c>
      <c r="AE40" s="33">
        <v>69.05</v>
      </c>
      <c r="AF40" s="33">
        <v>65.16</v>
      </c>
      <c r="AG40" s="33">
        <v>51.87</v>
      </c>
      <c r="AH40" s="33">
        <v>44.94</v>
      </c>
      <c r="AI40" s="33">
        <v>51.23</v>
      </c>
      <c r="AJ40" s="33">
        <v>65.4</v>
      </c>
      <c r="AK40" s="33">
        <v>84.59</v>
      </c>
      <c r="AL40" s="34">
        <f>SUM(G40:AK40)</f>
      </c>
      <c r="AM40" s="35"/>
    </row>
    <row r="41" ht="13.5" customHeight="1" spans="2:39" x14ac:dyDescent="0.25">
      <c r="B41" s="5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40"/>
    </row>
    <row r="42" ht="13.5" customHeight="1" spans="2:39" x14ac:dyDescent="0.25">
      <c r="B42" s="20"/>
      <c r="C42" s="21"/>
      <c r="D42" s="21" t="s">
        <v>85</v>
      </c>
      <c r="E42" s="21"/>
      <c r="F42" s="21"/>
      <c r="G42" s="22">
        <f>SUM(G14:G40)</f>
      </c>
      <c r="H42" s="22">
        <f>SUM(H14:H40)</f>
      </c>
      <c r="I42" s="22">
        <f>SUM(I14:I40)</f>
      </c>
      <c r="J42" s="22">
        <f>SUM(J14:J40)</f>
      </c>
      <c r="K42" s="22">
        <f>SUM(K14:K40)</f>
      </c>
      <c r="L42" s="22">
        <f>SUM(L14:L40)</f>
      </c>
      <c r="M42" s="22">
        <f>SUM(M14:M40)</f>
      </c>
      <c r="N42" s="22">
        <f>SUM(N14:N40)</f>
      </c>
      <c r="O42" s="22">
        <f>SUM(O14:O40)</f>
      </c>
      <c r="P42" s="22">
        <f>SUM(P14:P40)</f>
      </c>
      <c r="Q42" s="22">
        <f>SUM(Q14:Q40)</f>
      </c>
      <c r="R42" s="22">
        <f>SUM(R14:R40)</f>
      </c>
      <c r="S42" s="22">
        <f>SUM(S14:S40)</f>
      </c>
      <c r="T42" s="22">
        <f>SUM(T14:T40)</f>
      </c>
      <c r="U42" s="22">
        <f>SUM(U14:U40)</f>
      </c>
      <c r="V42" s="22">
        <f>SUM(V14:V40)</f>
      </c>
      <c r="W42" s="22">
        <f>SUM(W14:W40)</f>
      </c>
      <c r="X42" s="22">
        <f>SUM(X14:X40)</f>
      </c>
      <c r="Y42" s="22">
        <f>SUM(Y14:Y40)</f>
      </c>
      <c r="Z42" s="22">
        <f>SUM(Z14:Z40)</f>
      </c>
      <c r="AA42" s="22">
        <f>SUM(AA14:AA40)</f>
      </c>
      <c r="AB42" s="22">
        <f>SUM(AB14:AB40)</f>
      </c>
      <c r="AC42" s="22">
        <f>SUM(AC14:AC40)</f>
      </c>
      <c r="AD42" s="22">
        <f>SUM(AD14:AD40)</f>
      </c>
      <c r="AE42" s="22">
        <f>SUM(AE14:AE40)</f>
      </c>
      <c r="AF42" s="22">
        <f>SUM(AF14:AF40)</f>
      </c>
      <c r="AG42" s="22">
        <f>SUM(AG14:AG40)</f>
      </c>
      <c r="AH42" s="22">
        <f>SUM(AH14:AH40)</f>
      </c>
      <c r="AI42" s="22">
        <f>SUM(AI14:AI40)</f>
      </c>
      <c r="AJ42" s="22">
        <f>SUM(AJ14:AJ40)</f>
      </c>
      <c r="AK42" s="22">
        <f>SUM(AK14:AK40)</f>
      </c>
      <c r="AL42" s="22">
        <f>SUM(AL14:AL40)</f>
      </c>
      <c r="AM42" s="23"/>
    </row>
    <row r="44" ht="13.5" customHeight="1" spans="2:39" x14ac:dyDescent="0.25">
      <c r="B44" s="46"/>
      <c r="C44" s="28"/>
      <c r="D44" s="47" t="s">
        <v>43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9"/>
    </row>
    <row r="45" ht="13.5" customHeight="1" spans="2:39" x14ac:dyDescent="0.25">
      <c r="B45" s="48" t="s">
        <v>3</v>
      </c>
      <c r="C45" s="49" t="s">
        <v>1534</v>
      </c>
      <c r="D45" s="50" t="s">
        <v>43</v>
      </c>
      <c r="E45" s="32" t="s">
        <v>1535</v>
      </c>
      <c r="F45" s="32" t="s">
        <v>1474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3">
        <f>284.56+3107.68</f>
        <v>3392.24</v>
      </c>
      <c r="AC45" s="33">
        <f>4453.66+2150.73</f>
        <v>6604.389999999999</v>
      </c>
      <c r="AD45" s="33">
        <f>4549.74+2291.75</f>
        <v>6841.49</v>
      </c>
      <c r="AE45" s="33">
        <f>4155.26+2444.49</f>
        <v>6599.75</v>
      </c>
      <c r="AF45" s="33">
        <f>4240.63+2443.77</f>
        <v>6684.4</v>
      </c>
      <c r="AG45" s="33">
        <f>4653.40+2327.13</f>
        <v>6980.53</v>
      </c>
      <c r="AH45" s="33">
        <f>4609.05+2268.48</f>
        <v>6877.530000000001</v>
      </c>
      <c r="AI45" s="33">
        <f>4217.58+2501.93</f>
        <v>6719.51</v>
      </c>
      <c r="AJ45" s="33">
        <f>4156.14+2408.87</f>
        <v>6565.01</v>
      </c>
      <c r="AK45" s="33">
        <f>4012.78+2196.00</f>
        <v>6208.780000000001</v>
      </c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1534</v>
      </c>
      <c r="D46" s="50" t="s">
        <v>43</v>
      </c>
      <c r="E46" s="32" t="s">
        <v>1535</v>
      </c>
      <c r="F46" s="32" t="s">
        <v>1514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3">
        <f>4727.96+7538.45</f>
        <v>12266.41</v>
      </c>
      <c r="AC46" s="33">
        <f>-7063.47+7850.90</f>
        <v>787.4299999999994</v>
      </c>
      <c r="AD46" s="33">
        <f>5356.61+7939.33</f>
        <v>13295.939999999999</v>
      </c>
      <c r="AE46" s="33">
        <f>7424.17+9324.72</f>
        <v>16748.89</v>
      </c>
      <c r="AF46" s="33">
        <f>4060.73+7141.05</f>
        <v>11201.78</v>
      </c>
      <c r="AG46" s="33">
        <f>2284.17+5508.81</f>
        <v>7792.9800000000005</v>
      </c>
      <c r="AH46" s="33">
        <f>854.95+4274.89</f>
        <v>5129.84</v>
      </c>
      <c r="AI46" s="33">
        <f>705.01+4035.10</f>
        <v>4740.11</v>
      </c>
      <c r="AJ46" s="33">
        <f>1210.88+4659.74</f>
        <v>5870.62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1534</v>
      </c>
      <c r="D47" s="50" t="s">
        <v>43</v>
      </c>
      <c r="E47" s="32" t="s">
        <v>1535</v>
      </c>
      <c r="F47" s="32" t="s">
        <v>1536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3">
        <v>6.52</v>
      </c>
      <c r="AC47" s="33">
        <v>6.52</v>
      </c>
      <c r="AD47" s="33">
        <v>8.7</v>
      </c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1534</v>
      </c>
      <c r="D48" s="50" t="s">
        <v>43</v>
      </c>
      <c r="E48" s="32" t="s">
        <v>1535</v>
      </c>
      <c r="F48" s="32" t="s">
        <v>1494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3">
        <v>26.13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1534</v>
      </c>
      <c r="D49" s="50" t="s">
        <v>43</v>
      </c>
      <c r="E49" s="32" t="s">
        <v>1535</v>
      </c>
      <c r="F49" s="32" t="s">
        <v>1539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3">
        <v>6.52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1534</v>
      </c>
      <c r="D50" s="50" t="s">
        <v>43</v>
      </c>
      <c r="E50" s="32" t="s">
        <v>1535</v>
      </c>
      <c r="F50" s="32" t="s">
        <v>1540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3">
        <v>6.52</v>
      </c>
      <c r="AJ50" s="32"/>
      <c r="AK50" s="33">
        <v>6.52</v>
      </c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1534</v>
      </c>
      <c r="D51" s="50" t="s">
        <v>43</v>
      </c>
      <c r="E51" s="32" t="s">
        <v>1535</v>
      </c>
      <c r="F51" s="32" t="s">
        <v>1548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3">
        <v>12.17</v>
      </c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51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40"/>
    </row>
    <row r="53" ht="13.5" customHeight="1" spans="2:39" x14ac:dyDescent="0.25">
      <c r="B53" s="20"/>
      <c r="C53" s="21"/>
      <c r="D53" s="21" t="s">
        <v>89</v>
      </c>
      <c r="E53" s="21"/>
      <c r="F53" s="21"/>
      <c r="G53" s="22">
        <f>SUM(G45:G51)</f>
      </c>
      <c r="H53" s="22">
        <f>SUM(H45:H51)</f>
      </c>
      <c r="I53" s="22">
        <f>SUM(I45:I51)</f>
      </c>
      <c r="J53" s="22">
        <f>SUM(J45:J51)</f>
      </c>
      <c r="K53" s="22">
        <f>SUM(K45:K51)</f>
      </c>
      <c r="L53" s="22">
        <f>SUM(L45:L51)</f>
      </c>
      <c r="M53" s="22">
        <f>SUM(M45:M51)</f>
      </c>
      <c r="N53" s="22">
        <f>SUM(N45:N51)</f>
      </c>
      <c r="O53" s="22">
        <f>SUM(O45:O51)</f>
      </c>
      <c r="P53" s="22">
        <f>SUM(P45:P51)</f>
      </c>
      <c r="Q53" s="22">
        <f>SUM(Q45:Q51)</f>
      </c>
      <c r="R53" s="22">
        <f>SUM(R45:R51)</f>
      </c>
      <c r="S53" s="22">
        <f>SUM(S45:S51)</f>
      </c>
      <c r="T53" s="22">
        <f>SUM(T45:T51)</f>
      </c>
      <c r="U53" s="22">
        <f>SUM(U45:U51)</f>
      </c>
      <c r="V53" s="22">
        <f>SUM(V45:V51)</f>
      </c>
      <c r="W53" s="22">
        <f>SUM(W45:W51)</f>
      </c>
      <c r="X53" s="22">
        <f>SUM(X45:X51)</f>
      </c>
      <c r="Y53" s="22">
        <f>SUM(Y45:Y51)</f>
      </c>
      <c r="Z53" s="22">
        <f>SUM(Z45:Z51)</f>
      </c>
      <c r="AA53" s="22">
        <f>SUM(AA45:AA51)</f>
      </c>
      <c r="AB53" s="22">
        <f>SUM(AB45:AB51)</f>
      </c>
      <c r="AC53" s="22">
        <f>SUM(AC45:AC51)</f>
      </c>
      <c r="AD53" s="22">
        <f>SUM(AD45:AD51)</f>
      </c>
      <c r="AE53" s="22">
        <f>SUM(AE45:AE51)</f>
      </c>
      <c r="AF53" s="22">
        <f>SUM(AF45:AF51)</f>
      </c>
      <c r="AG53" s="22">
        <f>SUM(AG45:AG51)</f>
      </c>
      <c r="AH53" s="22">
        <f>SUM(AH45:AH51)</f>
      </c>
      <c r="AI53" s="22">
        <f>SUM(AI45:AI51)</f>
      </c>
      <c r="AJ53" s="22">
        <f>SUM(AJ45:AJ51)</f>
      </c>
      <c r="AK53" s="22">
        <f>SUM(AK45:AK51)</f>
      </c>
      <c r="AL53" s="22">
        <f>SUM(AL45:AL51)</f>
      </c>
      <c r="AM53" s="23"/>
    </row>
    <row r="55" ht="13.5" customHeight="1" spans="2:39" x14ac:dyDescent="0.25">
      <c r="B55" s="46"/>
      <c r="C55" s="28"/>
      <c r="D55" s="47" t="s">
        <v>44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9"/>
    </row>
    <row r="56" ht="13.5" customHeight="1" spans="2:39" x14ac:dyDescent="0.25">
      <c r="B56" s="48" t="s">
        <v>3</v>
      </c>
      <c r="C56" s="49" t="s">
        <v>1534</v>
      </c>
      <c r="D56" s="50" t="s">
        <v>44</v>
      </c>
      <c r="E56" s="32" t="s">
        <v>1535</v>
      </c>
      <c r="F56" s="32" t="s">
        <v>1474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3">
        <v>4945.95</v>
      </c>
      <c r="AC56" s="33">
        <v>90.95</v>
      </c>
      <c r="AD56" s="33">
        <v>90.95</v>
      </c>
      <c r="AE56" s="33">
        <v>90.95</v>
      </c>
      <c r="AF56" s="33">
        <v>104.65</v>
      </c>
      <c r="AG56" s="33">
        <v>104.65</v>
      </c>
      <c r="AH56" s="33">
        <v>104.65</v>
      </c>
      <c r="AI56" s="33">
        <v>104.65</v>
      </c>
      <c r="AJ56" s="33">
        <v>104.65</v>
      </c>
      <c r="AK56" s="33">
        <v>104.65</v>
      </c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1534</v>
      </c>
      <c r="D57" s="50" t="s">
        <v>44</v>
      </c>
      <c r="E57" s="32" t="s">
        <v>1535</v>
      </c>
      <c r="F57" s="32" t="s">
        <v>1536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3">
        <v>19.05</v>
      </c>
      <c r="AC57" s="33">
        <v>19.05</v>
      </c>
      <c r="AD57" s="33">
        <v>17.45</v>
      </c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1534</v>
      </c>
      <c r="D58" s="50" t="s">
        <v>44</v>
      </c>
      <c r="E58" s="32" t="s">
        <v>1535</v>
      </c>
      <c r="F58" s="32" t="s">
        <v>1494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3">
        <v>3.6</v>
      </c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1534</v>
      </c>
      <c r="D59" s="50" t="s">
        <v>44</v>
      </c>
      <c r="E59" s="32" t="s">
        <v>1535</v>
      </c>
      <c r="F59" s="32" t="s">
        <v>1539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3">
        <v>23.21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1534</v>
      </c>
      <c r="D60" s="50" t="s">
        <v>44</v>
      </c>
      <c r="E60" s="32" t="s">
        <v>1535</v>
      </c>
      <c r="F60" s="32" t="s">
        <v>1540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3">
        <v>26.71</v>
      </c>
      <c r="AJ60" s="32"/>
      <c r="AK60" s="33">
        <v>23.21</v>
      </c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1534</v>
      </c>
      <c r="D61" s="50" t="s">
        <v>44</v>
      </c>
      <c r="E61" s="32" t="s">
        <v>1535</v>
      </c>
      <c r="F61" s="32" t="s">
        <v>1548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3">
        <v>31.45</v>
      </c>
      <c r="AE61" s="32"/>
      <c r="AF61" s="32"/>
      <c r="AG61" s="32"/>
      <c r="AH61" s="32"/>
      <c r="AI61" s="32"/>
      <c r="AJ61" s="32"/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1534</v>
      </c>
      <c r="D62" s="50" t="s">
        <v>44</v>
      </c>
      <c r="E62" s="32" t="s">
        <v>1535</v>
      </c>
      <c r="F62" s="32" t="s">
        <v>1506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3">
        <v>24.47</v>
      </c>
      <c r="AD62" s="33">
        <v>52.44</v>
      </c>
      <c r="AE62" s="33">
        <v>24.47</v>
      </c>
      <c r="AF62" s="33">
        <v>31.96</v>
      </c>
      <c r="AG62" s="33">
        <v>7.49</v>
      </c>
      <c r="AH62" s="33">
        <v>28.46</v>
      </c>
      <c r="AI62" s="33">
        <v>28.46</v>
      </c>
      <c r="AJ62" s="33">
        <v>28.46</v>
      </c>
      <c r="AK62" s="33">
        <v>28.46</v>
      </c>
      <c r="AL62" s="34">
        <f>SUM(G62:AK62)</f>
      </c>
      <c r="AM62" s="35"/>
    </row>
    <row r="63" ht="13.5" customHeight="1" spans="2:39" x14ac:dyDescent="0.25">
      <c r="B63" s="51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40"/>
    </row>
    <row r="64" ht="13.5" customHeight="1" spans="2:39" x14ac:dyDescent="0.25">
      <c r="B64" s="20"/>
      <c r="C64" s="21"/>
      <c r="D64" s="21" t="s">
        <v>90</v>
      </c>
      <c r="E64" s="21"/>
      <c r="F64" s="21"/>
      <c r="G64" s="22">
        <f>SUM(G56:G62)</f>
      </c>
      <c r="H64" s="22">
        <f>SUM(H56:H62)</f>
      </c>
      <c r="I64" s="22">
        <f>SUM(I56:I62)</f>
      </c>
      <c r="J64" s="22">
        <f>SUM(J56:J62)</f>
      </c>
      <c r="K64" s="22">
        <f>SUM(K56:K62)</f>
      </c>
      <c r="L64" s="22">
        <f>SUM(L56:L62)</f>
      </c>
      <c r="M64" s="22">
        <f>SUM(M56:M62)</f>
      </c>
      <c r="N64" s="22">
        <f>SUM(N56:N62)</f>
      </c>
      <c r="O64" s="22">
        <f>SUM(O56:O62)</f>
      </c>
      <c r="P64" s="22">
        <f>SUM(P56:P62)</f>
      </c>
      <c r="Q64" s="22">
        <f>SUM(Q56:Q62)</f>
      </c>
      <c r="R64" s="22">
        <f>SUM(R56:R62)</f>
      </c>
      <c r="S64" s="22">
        <f>SUM(S56:S62)</f>
      </c>
      <c r="T64" s="22">
        <f>SUM(T56:T62)</f>
      </c>
      <c r="U64" s="22">
        <f>SUM(U56:U62)</f>
      </c>
      <c r="V64" s="22">
        <f>SUM(V56:V62)</f>
      </c>
      <c r="W64" s="22">
        <f>SUM(W56:W62)</f>
      </c>
      <c r="X64" s="22">
        <f>SUM(X56:X62)</f>
      </c>
      <c r="Y64" s="22">
        <f>SUM(Y56:Y62)</f>
      </c>
      <c r="Z64" s="22">
        <f>SUM(Z56:Z62)</f>
      </c>
      <c r="AA64" s="22">
        <f>SUM(AA56:AA62)</f>
      </c>
      <c r="AB64" s="22">
        <f>SUM(AB56:AB62)</f>
      </c>
      <c r="AC64" s="22">
        <f>SUM(AC56:AC62)</f>
      </c>
      <c r="AD64" s="22">
        <f>SUM(AD56:AD62)</f>
      </c>
      <c r="AE64" s="22">
        <f>SUM(AE56:AE62)</f>
      </c>
      <c r="AF64" s="22">
        <f>SUM(AF56:AF62)</f>
      </c>
      <c r="AG64" s="22">
        <f>SUM(AG56:AG62)</f>
      </c>
      <c r="AH64" s="22">
        <f>SUM(AH56:AH62)</f>
      </c>
      <c r="AI64" s="22">
        <f>SUM(AI56:AI62)</f>
      </c>
      <c r="AJ64" s="22">
        <f>SUM(AJ56:AJ62)</f>
      </c>
      <c r="AK64" s="22">
        <f>SUM(AK56:AK62)</f>
      </c>
      <c r="AL64" s="22">
        <f>SUM(AL56:AL62)</f>
      </c>
      <c r="AM64" s="23"/>
    </row>
    <row r="67" ht="12.75" customHeight="1" spans="2:39" x14ac:dyDescent="0.25">
      <c r="B67" s="11" t="s">
        <v>40</v>
      </c>
      <c r="C67" s="12"/>
      <c r="D67" s="12"/>
      <c r="E67" s="12"/>
      <c r="F67" s="12"/>
      <c r="G67" s="52" t="s">
        <v>7</v>
      </c>
      <c r="H67" s="52" t="s">
        <v>8</v>
      </c>
      <c r="I67" s="52" t="s">
        <v>9</v>
      </c>
      <c r="J67" s="52" t="s">
        <v>10</v>
      </c>
      <c r="K67" s="52" t="s">
        <v>11</v>
      </c>
      <c r="L67" s="52" t="s">
        <v>12</v>
      </c>
      <c r="M67" s="52" t="s">
        <v>13</v>
      </c>
      <c r="N67" s="52" t="s">
        <v>14</v>
      </c>
      <c r="O67" s="52" t="s">
        <v>15</v>
      </c>
      <c r="P67" s="52" t="s">
        <v>16</v>
      </c>
      <c r="Q67" s="52" t="s">
        <v>17</v>
      </c>
      <c r="R67" s="52" t="s">
        <v>18</v>
      </c>
      <c r="S67" s="52" t="s">
        <v>19</v>
      </c>
      <c r="T67" s="52" t="s">
        <v>20</v>
      </c>
      <c r="U67" s="52" t="s">
        <v>21</v>
      </c>
      <c r="V67" s="52" t="s">
        <v>22</v>
      </c>
      <c r="W67" s="52" t="s">
        <v>23</v>
      </c>
      <c r="X67" s="52" t="s">
        <v>24</v>
      </c>
      <c r="Y67" s="52" t="s">
        <v>25</v>
      </c>
      <c r="Z67" s="52" t="s">
        <v>26</v>
      </c>
      <c r="AA67" s="52" t="s">
        <v>27</v>
      </c>
      <c r="AB67" s="52" t="s">
        <v>28</v>
      </c>
      <c r="AC67" s="52" t="s">
        <v>29</v>
      </c>
      <c r="AD67" s="52" t="s">
        <v>30</v>
      </c>
      <c r="AE67" s="52" t="s">
        <v>31</v>
      </c>
      <c r="AF67" s="52" t="s">
        <v>32</v>
      </c>
      <c r="AG67" s="52" t="s">
        <v>33</v>
      </c>
      <c r="AH67" s="52" t="s">
        <v>34</v>
      </c>
      <c r="AI67" s="52" t="s">
        <v>35</v>
      </c>
      <c r="AJ67" s="52" t="s">
        <v>36</v>
      </c>
      <c r="AK67" s="52" t="s">
        <v>37</v>
      </c>
      <c r="AL67" s="52" t="s">
        <v>38</v>
      </c>
      <c r="AM67" s="15"/>
    </row>
    <row r="68" ht="12.75" customHeight="1" spans="2:39" x14ac:dyDescent="0.25">
      <c r="B68" s="16"/>
      <c r="C68" s="17"/>
      <c r="D68" s="17" t="s">
        <v>41</v>
      </c>
      <c r="E68" s="17"/>
      <c r="F68" s="17"/>
      <c r="G68" s="18">
        <f>G11</f>
      </c>
      <c r="H68" s="18">
        <f>H11</f>
      </c>
      <c r="I68" s="18">
        <f>I11</f>
      </c>
      <c r="J68" s="18">
        <f>J11</f>
      </c>
      <c r="K68" s="18">
        <f>K11</f>
      </c>
      <c r="L68" s="18">
        <f>L11</f>
      </c>
      <c r="M68" s="18">
        <f>M11</f>
      </c>
      <c r="N68" s="18">
        <f>N11</f>
      </c>
      <c r="O68" s="18">
        <f>O11</f>
      </c>
      <c r="P68" s="18">
        <f>P11</f>
      </c>
      <c r="Q68" s="18">
        <f>Q11</f>
      </c>
      <c r="R68" s="18">
        <f>R11</f>
      </c>
      <c r="S68" s="18">
        <f>S11</f>
      </c>
      <c r="T68" s="18">
        <f>T11</f>
      </c>
      <c r="U68" s="18">
        <f>U11</f>
      </c>
      <c r="V68" s="18">
        <f>V11</f>
      </c>
      <c r="W68" s="18">
        <f>W11</f>
      </c>
      <c r="X68" s="18">
        <f>X11</f>
      </c>
      <c r="Y68" s="18">
        <f>Y11</f>
      </c>
      <c r="Z68" s="18">
        <f>Z11</f>
      </c>
      <c r="AA68" s="18">
        <f>AA11</f>
      </c>
      <c r="AB68" s="18">
        <f>AB11</f>
      </c>
      <c r="AC68" s="18">
        <f>AC11</f>
      </c>
      <c r="AD68" s="18">
        <f>AD11</f>
      </c>
      <c r="AE68" s="18">
        <f>AE11</f>
      </c>
      <c r="AF68" s="18">
        <f>AF11</f>
      </c>
      <c r="AG68" s="18">
        <f>AG11</f>
      </c>
      <c r="AH68" s="18">
        <f>AH11</f>
      </c>
      <c r="AI68" s="18">
        <f>AI11</f>
      </c>
      <c r="AJ68" s="18">
        <f>AJ11</f>
      </c>
      <c r="AK68" s="18">
        <f>AK11</f>
      </c>
      <c r="AL68" s="18">
        <f>AL11</f>
      </c>
      <c r="AM68" s="19"/>
    </row>
    <row r="69" ht="12.75" customHeight="1" spans="2:39" x14ac:dyDescent="0.25">
      <c r="B69" s="16"/>
      <c r="C69" s="17"/>
      <c r="D69" s="17" t="s">
        <v>42</v>
      </c>
      <c r="E69" s="17"/>
      <c r="F69" s="17"/>
      <c r="G69" s="18">
        <f>G42</f>
      </c>
      <c r="H69" s="18">
        <f>H42</f>
      </c>
      <c r="I69" s="18">
        <f>I42</f>
      </c>
      <c r="J69" s="18">
        <f>J42</f>
      </c>
      <c r="K69" s="18">
        <f>K42</f>
      </c>
      <c r="L69" s="18">
        <f>L42</f>
      </c>
      <c r="M69" s="18">
        <f>M42</f>
      </c>
      <c r="N69" s="18">
        <f>N42</f>
      </c>
      <c r="O69" s="18">
        <f>O42</f>
      </c>
      <c r="P69" s="18">
        <f>P42</f>
      </c>
      <c r="Q69" s="18">
        <f>Q42</f>
      </c>
      <c r="R69" s="18">
        <f>R42</f>
      </c>
      <c r="S69" s="18">
        <f>S42</f>
      </c>
      <c r="T69" s="18">
        <f>T42</f>
      </c>
      <c r="U69" s="18">
        <f>U42</f>
      </c>
      <c r="V69" s="18">
        <f>V42</f>
      </c>
      <c r="W69" s="18">
        <f>W42</f>
      </c>
      <c r="X69" s="18">
        <f>X42</f>
      </c>
      <c r="Y69" s="18">
        <f>Y42</f>
      </c>
      <c r="Z69" s="18">
        <f>Z42</f>
      </c>
      <c r="AA69" s="18">
        <f>AA42</f>
      </c>
      <c r="AB69" s="18">
        <f>AB42</f>
      </c>
      <c r="AC69" s="18">
        <f>AC42</f>
      </c>
      <c r="AD69" s="18">
        <f>AD42</f>
      </c>
      <c r="AE69" s="18">
        <f>AE42</f>
      </c>
      <c r="AF69" s="18">
        <f>AF42</f>
      </c>
      <c r="AG69" s="18">
        <f>AG42</f>
      </c>
      <c r="AH69" s="18">
        <f>AH42</f>
      </c>
      <c r="AI69" s="18">
        <f>AI42</f>
      </c>
      <c r="AJ69" s="18">
        <f>AJ42</f>
      </c>
      <c r="AK69" s="18">
        <f>AK42</f>
      </c>
      <c r="AL69" s="18">
        <f>AL42</f>
      </c>
      <c r="AM69" s="19"/>
    </row>
    <row r="70" ht="12.75" customHeight="1" spans="2:39" x14ac:dyDescent="0.25">
      <c r="B70" s="16"/>
      <c r="C70" s="17"/>
      <c r="D70" s="17" t="s">
        <v>43</v>
      </c>
      <c r="E70" s="17"/>
      <c r="F70" s="17"/>
      <c r="G70" s="18">
        <f>G53</f>
      </c>
      <c r="H70" s="18">
        <f>H53</f>
      </c>
      <c r="I70" s="18">
        <f>I53</f>
      </c>
      <c r="J70" s="18">
        <f>J53</f>
      </c>
      <c r="K70" s="18">
        <f>K53</f>
      </c>
      <c r="L70" s="18">
        <f>L53</f>
      </c>
      <c r="M70" s="18">
        <f>M53</f>
      </c>
      <c r="N70" s="18">
        <f>N53</f>
      </c>
      <c r="O70" s="18">
        <f>O53</f>
      </c>
      <c r="P70" s="18">
        <f>P53</f>
      </c>
      <c r="Q70" s="18">
        <f>Q53</f>
      </c>
      <c r="R70" s="18">
        <f>R53</f>
      </c>
      <c r="S70" s="18">
        <f>S53</f>
      </c>
      <c r="T70" s="18">
        <f>T53</f>
      </c>
      <c r="U70" s="18">
        <f>U53</f>
      </c>
      <c r="V70" s="18">
        <f>V53</f>
      </c>
      <c r="W70" s="18">
        <f>W53</f>
      </c>
      <c r="X70" s="18">
        <f>X53</f>
      </c>
      <c r="Y70" s="18">
        <f>Y53</f>
      </c>
      <c r="Z70" s="18">
        <f>Z53</f>
      </c>
      <c r="AA70" s="18">
        <f>AA53</f>
      </c>
      <c r="AB70" s="18">
        <f>AB53</f>
      </c>
      <c r="AC70" s="18">
        <f>AC53</f>
      </c>
      <c r="AD70" s="18">
        <f>AD53</f>
      </c>
      <c r="AE70" s="18">
        <f>AE53</f>
      </c>
      <c r="AF70" s="18">
        <f>AF53</f>
      </c>
      <c r="AG70" s="18">
        <f>AG53</f>
      </c>
      <c r="AH70" s="18">
        <f>AH53</f>
      </c>
      <c r="AI70" s="18">
        <f>AI53</f>
      </c>
      <c r="AJ70" s="18">
        <f>AJ53</f>
      </c>
      <c r="AK70" s="18">
        <f>AK53</f>
      </c>
      <c r="AL70" s="18">
        <f>AL53</f>
      </c>
      <c r="AM70" s="19"/>
    </row>
    <row r="71" ht="12.75" customHeight="1" spans="2:39" x14ac:dyDescent="0.25">
      <c r="B71" s="16"/>
      <c r="C71" s="17"/>
      <c r="D71" s="17" t="s">
        <v>44</v>
      </c>
      <c r="E71" s="17"/>
      <c r="F71" s="17"/>
      <c r="G71" s="18">
        <f>G64</f>
      </c>
      <c r="H71" s="18">
        <f>H64</f>
      </c>
      <c r="I71" s="18">
        <f>I64</f>
      </c>
      <c r="J71" s="18">
        <f>J64</f>
      </c>
      <c r="K71" s="18">
        <f>K64</f>
      </c>
      <c r="L71" s="18">
        <f>L64</f>
      </c>
      <c r="M71" s="18">
        <f>M64</f>
      </c>
      <c r="N71" s="18">
        <f>N64</f>
      </c>
      <c r="O71" s="18">
        <f>O64</f>
      </c>
      <c r="P71" s="18">
        <f>P64</f>
      </c>
      <c r="Q71" s="18">
        <f>Q64</f>
      </c>
      <c r="R71" s="18">
        <f>R64</f>
      </c>
      <c r="S71" s="18">
        <f>S64</f>
      </c>
      <c r="T71" s="18">
        <f>T64</f>
      </c>
      <c r="U71" s="18">
        <f>U64</f>
      </c>
      <c r="V71" s="18">
        <f>V64</f>
      </c>
      <c r="W71" s="18">
        <f>W64</f>
      </c>
      <c r="X71" s="18">
        <f>X64</f>
      </c>
      <c r="Y71" s="18">
        <f>Y64</f>
      </c>
      <c r="Z71" s="18">
        <f>Z64</f>
      </c>
      <c r="AA71" s="18">
        <f>AA64</f>
      </c>
      <c r="AB71" s="18">
        <f>AB64</f>
      </c>
      <c r="AC71" s="18">
        <f>AC64</f>
      </c>
      <c r="AD71" s="18">
        <f>AD64</f>
      </c>
      <c r="AE71" s="18">
        <f>AE64</f>
      </c>
      <c r="AF71" s="18">
        <f>AF64</f>
      </c>
      <c r="AG71" s="18">
        <f>AG64</f>
      </c>
      <c r="AH71" s="18">
        <f>AH64</f>
      </c>
      <c r="AI71" s="18">
        <f>AI64</f>
      </c>
      <c r="AJ71" s="18">
        <f>AJ64</f>
      </c>
      <c r="AK71" s="18">
        <f>AK64</f>
      </c>
      <c r="AL71" s="18">
        <f>AL64</f>
      </c>
      <c r="AM71" s="19"/>
    </row>
    <row r="72" ht="12.75" customHeight="1" spans="2:39" x14ac:dyDescent="0.25">
      <c r="B72" s="20"/>
      <c r="C72" s="21"/>
      <c r="D72" s="21" t="s">
        <v>45</v>
      </c>
      <c r="E72" s="21"/>
      <c r="F72" s="21"/>
      <c r="G72" s="22">
        <f>G68+G69+G70+G71</f>
      </c>
      <c r="H72" s="22">
        <f>H68+H69+H70+H71</f>
      </c>
      <c r="I72" s="22">
        <f>I68+I69+I70+I71</f>
      </c>
      <c r="J72" s="22">
        <f>J68+J69+J70+J71</f>
      </c>
      <c r="K72" s="22">
        <f>K68+K69+K70+K71</f>
      </c>
      <c r="L72" s="22">
        <f>L68+L69+L70+L71</f>
      </c>
      <c r="M72" s="22">
        <f>M68+M69+M70+M71</f>
      </c>
      <c r="N72" s="22">
        <f>N68+N69+N70+N71</f>
      </c>
      <c r="O72" s="22">
        <f>O68+O69+O70+O71</f>
      </c>
      <c r="P72" s="22">
        <f>P68+P69+P70+P71</f>
      </c>
      <c r="Q72" s="22">
        <f>Q68+Q69+Q70+Q71</f>
      </c>
      <c r="R72" s="22">
        <f>R68+R69+R70+R71</f>
      </c>
      <c r="S72" s="22">
        <f>S68+S69+S70+S71</f>
      </c>
      <c r="T72" s="22">
        <f>T68+T69+T70+T71</f>
      </c>
      <c r="U72" s="22">
        <f>U68+U69+U70+U71</f>
      </c>
      <c r="V72" s="22">
        <f>V68+V69+V70+V71</f>
      </c>
      <c r="W72" s="22">
        <f>W68+W69+W70+W71</f>
      </c>
      <c r="X72" s="22">
        <f>X68+X69+X70+X71</f>
      </c>
      <c r="Y72" s="22">
        <f>Y68+Y69+Y70+Y71</f>
      </c>
      <c r="Z72" s="22">
        <f>Z68+Z69+Z70+Z71</f>
      </c>
      <c r="AA72" s="22">
        <f>AA68+AA69+AA70+AA71</f>
      </c>
      <c r="AB72" s="22">
        <f>AB68+AB69+AB70+AB71</f>
      </c>
      <c r="AC72" s="22">
        <f>AC68+AC69+AC70+AC71</f>
      </c>
      <c r="AD72" s="22">
        <f>AD68+AD69+AD70+AD71</f>
      </c>
      <c r="AE72" s="22">
        <f>AE68+AE69+AE70+AE71</f>
      </c>
      <c r="AF72" s="22">
        <f>AF68+AF69+AF70+AF71</f>
      </c>
      <c r="AG72" s="22">
        <f>AG68+AG69+AG70+AG71</f>
      </c>
      <c r="AH72" s="22">
        <f>AH68+AH69+AH70+AH71</f>
      </c>
      <c r="AI72" s="22">
        <f>AI68+AI69+AI70+AI71</f>
      </c>
      <c r="AJ72" s="22">
        <f>AJ68+AJ69+AJ70+AJ71</f>
      </c>
      <c r="AK72" s="22">
        <f>AK68+AK69+AK70+AK71</f>
      </c>
      <c r="AL72" s="22">
        <f>AL68+AL69+AL70+AL71</f>
      </c>
      <c r="AM72" s="23"/>
    </row>
    <row r="74" ht="12.75" customHeight="1" spans="2:39" x14ac:dyDescent="0.25">
      <c r="B74" s="11" t="s">
        <v>46</v>
      </c>
      <c r="C74" s="12"/>
      <c r="D74" s="12"/>
      <c r="E74" s="12"/>
      <c r="F74" s="12"/>
      <c r="G74" s="52" t="s">
        <v>7</v>
      </c>
      <c r="H74" s="52" t="s">
        <v>8</v>
      </c>
      <c r="I74" s="52" t="s">
        <v>9</v>
      </c>
      <c r="J74" s="52" t="s">
        <v>10</v>
      </c>
      <c r="K74" s="52" t="s">
        <v>11</v>
      </c>
      <c r="L74" s="52" t="s">
        <v>12</v>
      </c>
      <c r="M74" s="52" t="s">
        <v>13</v>
      </c>
      <c r="N74" s="52" t="s">
        <v>14</v>
      </c>
      <c r="O74" s="52" t="s">
        <v>15</v>
      </c>
      <c r="P74" s="52" t="s">
        <v>16</v>
      </c>
      <c r="Q74" s="52" t="s">
        <v>17</v>
      </c>
      <c r="R74" s="52" t="s">
        <v>18</v>
      </c>
      <c r="S74" s="52" t="s">
        <v>19</v>
      </c>
      <c r="T74" s="52" t="s">
        <v>20</v>
      </c>
      <c r="U74" s="52" t="s">
        <v>21</v>
      </c>
      <c r="V74" s="52" t="s">
        <v>22</v>
      </c>
      <c r="W74" s="52" t="s">
        <v>23</v>
      </c>
      <c r="X74" s="52" t="s">
        <v>24</v>
      </c>
      <c r="Y74" s="52" t="s">
        <v>25</v>
      </c>
      <c r="Z74" s="52" t="s">
        <v>26</v>
      </c>
      <c r="AA74" s="52" t="s">
        <v>27</v>
      </c>
      <c r="AB74" s="52" t="s">
        <v>28</v>
      </c>
      <c r="AC74" s="52" t="s">
        <v>29</v>
      </c>
      <c r="AD74" s="52" t="s">
        <v>30</v>
      </c>
      <c r="AE74" s="52" t="s">
        <v>31</v>
      </c>
      <c r="AF74" s="52" t="s">
        <v>32</v>
      </c>
      <c r="AG74" s="52" t="s">
        <v>33</v>
      </c>
      <c r="AH74" s="52" t="s">
        <v>34</v>
      </c>
      <c r="AI74" s="52" t="s">
        <v>35</v>
      </c>
      <c r="AJ74" s="52" t="s">
        <v>36</v>
      </c>
      <c r="AK74" s="52" t="s">
        <v>37</v>
      </c>
      <c r="AL74" s="52" t="s">
        <v>38</v>
      </c>
      <c r="AM74" s="15"/>
    </row>
    <row r="75" ht="12.75" customHeight="1" spans="2:39" x14ac:dyDescent="0.25">
      <c r="B75" s="16"/>
      <c r="C75" s="17"/>
      <c r="D75" s="17" t="s">
        <v>41</v>
      </c>
      <c r="E75" s="17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9"/>
    </row>
    <row r="76" ht="12.75" customHeight="1" spans="2:39" x14ac:dyDescent="0.25">
      <c r="B76" s="16"/>
      <c r="C76" s="17"/>
      <c r="D76" s="17" t="s">
        <v>42</v>
      </c>
      <c r="E76" s="17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9"/>
    </row>
    <row r="77" ht="12.75" customHeight="1" spans="2:39" x14ac:dyDescent="0.25">
      <c r="B77" s="16"/>
      <c r="C77" s="17"/>
      <c r="D77" s="17" t="s">
        <v>43</v>
      </c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9"/>
    </row>
    <row r="78" ht="12.75" customHeight="1" spans="2:39" x14ac:dyDescent="0.25">
      <c r="B78" s="16"/>
      <c r="C78" s="17"/>
      <c r="D78" s="17" t="s">
        <v>44</v>
      </c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9"/>
    </row>
    <row r="79" ht="12.75" customHeight="1" spans="2:39" x14ac:dyDescent="0.25">
      <c r="B79" s="20"/>
      <c r="C79" s="21"/>
      <c r="D79" s="21" t="s">
        <v>45</v>
      </c>
      <c r="E79" s="21"/>
      <c r="F79" s="21"/>
      <c r="G79" s="22">
        <f>G75+G76+G77+G78</f>
      </c>
      <c r="H79" s="22">
        <f>H75+H76+H77+H78</f>
      </c>
      <c r="I79" s="22">
        <f>I75+I76+I77+I78</f>
      </c>
      <c r="J79" s="22">
        <f>J75+J76+J77+J78</f>
      </c>
      <c r="K79" s="22">
        <f>K75+K76+K77+K78</f>
      </c>
      <c r="L79" s="22">
        <f>L75+L76+L77+L78</f>
      </c>
      <c r="M79" s="22">
        <f>M75+M76+M77+M78</f>
      </c>
      <c r="N79" s="22">
        <f>N75+N76+N77+N78</f>
      </c>
      <c r="O79" s="22">
        <f>O75+O76+O77+O78</f>
      </c>
      <c r="P79" s="22">
        <f>P75+P76+P77+P78</f>
      </c>
      <c r="Q79" s="22">
        <f>Q75+Q76+Q77+Q78</f>
      </c>
      <c r="R79" s="22">
        <f>R75+R76+R77+R78</f>
      </c>
      <c r="S79" s="22">
        <f>S75+S76+S77+S78</f>
      </c>
      <c r="T79" s="22">
        <f>T75+T76+T77+T78</f>
      </c>
      <c r="U79" s="22">
        <f>U75+U76+U77+U78</f>
      </c>
      <c r="V79" s="22">
        <f>V75+V76+V77+V78</f>
      </c>
      <c r="W79" s="22">
        <f>W75+W76+W77+W78</f>
      </c>
      <c r="X79" s="22">
        <f>X75+X76+X77+X78</f>
      </c>
      <c r="Y79" s="22">
        <f>Y75+Y76+Y77+Y78</f>
      </c>
      <c r="Z79" s="22">
        <f>Z75+Z76+Z77+Z78</f>
      </c>
      <c r="AA79" s="22">
        <f>AA75+AA76+AA77+AA78</f>
      </c>
      <c r="AB79" s="22">
        <f>AB75+AB76+AB77+AB78</f>
      </c>
      <c r="AC79" s="22">
        <f>AC75+AC76+AC77+AC78</f>
      </c>
      <c r="AD79" s="22">
        <f>AD75+AD76+AD77+AD78</f>
      </c>
      <c r="AE79" s="22">
        <f>AE75+AE76+AE77+AE78</f>
      </c>
      <c r="AF79" s="22">
        <f>AF75+AF76+AF77+AF78</f>
      </c>
      <c r="AG79" s="22">
        <f>AG75+AG76+AG77+AG78</f>
      </c>
      <c r="AH79" s="22">
        <f>AH75+AH76+AH77+AH78</f>
      </c>
      <c r="AI79" s="22">
        <f>AI75+AI76+AI77+AI78</f>
      </c>
      <c r="AJ79" s="22">
        <f>AJ75+AJ76+AJ77+AJ78</f>
      </c>
      <c r="AK79" s="22">
        <f>AK75+AK76+AK77+AK78</f>
      </c>
      <c r="AL79" s="22">
        <f>AL75+AL76+AL77+AL78</f>
      </c>
      <c r="AM79" s="23"/>
    </row>
    <row r="81" ht="12.75" customHeight="1" spans="2:39" x14ac:dyDescent="0.25">
      <c r="B81" s="11" t="s">
        <v>47</v>
      </c>
      <c r="C81" s="12"/>
      <c r="D81" s="12"/>
      <c r="E81" s="12"/>
      <c r="F81" s="12"/>
      <c r="G81" s="52" t="s">
        <v>7</v>
      </c>
      <c r="H81" s="52" t="s">
        <v>8</v>
      </c>
      <c r="I81" s="52" t="s">
        <v>9</v>
      </c>
      <c r="J81" s="52" t="s">
        <v>10</v>
      </c>
      <c r="K81" s="52" t="s">
        <v>11</v>
      </c>
      <c r="L81" s="52" t="s">
        <v>12</v>
      </c>
      <c r="M81" s="52" t="s">
        <v>13</v>
      </c>
      <c r="N81" s="52" t="s">
        <v>14</v>
      </c>
      <c r="O81" s="52" t="s">
        <v>15</v>
      </c>
      <c r="P81" s="52" t="s">
        <v>16</v>
      </c>
      <c r="Q81" s="52" t="s">
        <v>17</v>
      </c>
      <c r="R81" s="52" t="s">
        <v>18</v>
      </c>
      <c r="S81" s="52" t="s">
        <v>19</v>
      </c>
      <c r="T81" s="52" t="s">
        <v>20</v>
      </c>
      <c r="U81" s="52" t="s">
        <v>21</v>
      </c>
      <c r="V81" s="52" t="s">
        <v>22</v>
      </c>
      <c r="W81" s="52" t="s">
        <v>23</v>
      </c>
      <c r="X81" s="52" t="s">
        <v>24</v>
      </c>
      <c r="Y81" s="52" t="s">
        <v>25</v>
      </c>
      <c r="Z81" s="52" t="s">
        <v>26</v>
      </c>
      <c r="AA81" s="52" t="s">
        <v>27</v>
      </c>
      <c r="AB81" s="52" t="s">
        <v>28</v>
      </c>
      <c r="AC81" s="52" t="s">
        <v>29</v>
      </c>
      <c r="AD81" s="52" t="s">
        <v>30</v>
      </c>
      <c r="AE81" s="52" t="s">
        <v>31</v>
      </c>
      <c r="AF81" s="52" t="s">
        <v>32</v>
      </c>
      <c r="AG81" s="52" t="s">
        <v>33</v>
      </c>
      <c r="AH81" s="52" t="s">
        <v>34</v>
      </c>
      <c r="AI81" s="52" t="s">
        <v>35</v>
      </c>
      <c r="AJ81" s="52" t="s">
        <v>36</v>
      </c>
      <c r="AK81" s="52" t="s">
        <v>37</v>
      </c>
      <c r="AL81" s="52" t="s">
        <v>38</v>
      </c>
      <c r="AM81" s="15"/>
    </row>
    <row r="82" ht="12.75" customHeight="1" spans="2:39" x14ac:dyDescent="0.25">
      <c r="B82" s="16"/>
      <c r="C82" s="17"/>
      <c r="D82" s="17" t="s">
        <v>41</v>
      </c>
      <c r="E82" s="17"/>
      <c r="F82" s="17"/>
      <c r="G82" s="24">
        <f>G75-G68</f>
      </c>
      <c r="H82" s="24">
        <f>H75-H68</f>
      </c>
      <c r="I82" s="24">
        <f>I75-I68</f>
      </c>
      <c r="J82" s="24">
        <f>J75-J68</f>
      </c>
      <c r="K82" s="24">
        <f>K75-K68</f>
      </c>
      <c r="L82" s="24">
        <f>L75-L68</f>
      </c>
      <c r="M82" s="24">
        <f>M75-M68</f>
      </c>
      <c r="N82" s="24">
        <f>N75-N68</f>
      </c>
      <c r="O82" s="24">
        <f>O75-O68</f>
      </c>
      <c r="P82" s="24">
        <f>P75-P68</f>
      </c>
      <c r="Q82" s="24">
        <f>Q75-Q68</f>
      </c>
      <c r="R82" s="24">
        <f>R75-R68</f>
      </c>
      <c r="S82" s="24">
        <f>S75-S68</f>
      </c>
      <c r="T82" s="24">
        <f>T75-T68</f>
      </c>
      <c r="U82" s="24">
        <f>U75-U68</f>
      </c>
      <c r="V82" s="24">
        <f>V75-V68</f>
      </c>
      <c r="W82" s="24">
        <f>W75-W68</f>
      </c>
      <c r="X82" s="24">
        <f>X75-X68</f>
      </c>
      <c r="Y82" s="24">
        <f>Y75-Y68</f>
      </c>
      <c r="Z82" s="24">
        <f>Z75-Z68</f>
      </c>
      <c r="AA82" s="24">
        <f>AA75-AA68</f>
      </c>
      <c r="AB82" s="24">
        <f>AB75-AB68</f>
      </c>
      <c r="AC82" s="24">
        <f>AC75-AC68</f>
      </c>
      <c r="AD82" s="24">
        <f>AD75-AD68</f>
      </c>
      <c r="AE82" s="24">
        <f>AE75-AE68</f>
      </c>
      <c r="AF82" s="24">
        <f>AF75-AF68</f>
      </c>
      <c r="AG82" s="24">
        <f>AG75-AG68</f>
      </c>
      <c r="AH82" s="24">
        <f>AH75-AH68</f>
      </c>
      <c r="AI82" s="24">
        <f>AI75-AI68</f>
      </c>
      <c r="AJ82" s="24">
        <f>AJ75-AJ68</f>
      </c>
      <c r="AK82" s="24">
        <f>AK75-AK68</f>
      </c>
      <c r="AL82" s="24">
        <f>AL75-AL68</f>
      </c>
      <c r="AM82" s="19"/>
    </row>
    <row r="83" ht="12.75" customHeight="1" spans="2:39" x14ac:dyDescent="0.25">
      <c r="B83" s="16"/>
      <c r="C83" s="17"/>
      <c r="D83" s="17" t="s">
        <v>42</v>
      </c>
      <c r="E83" s="17"/>
      <c r="F83" s="17"/>
      <c r="G83" s="24">
        <f>G76-G69</f>
      </c>
      <c r="H83" s="24">
        <f>H76-H69</f>
      </c>
      <c r="I83" s="24">
        <f>I76-I69</f>
      </c>
      <c r="J83" s="24">
        <f>J76-J69</f>
      </c>
      <c r="K83" s="24">
        <f>K76-K69</f>
      </c>
      <c r="L83" s="24">
        <f>L76-L69</f>
      </c>
      <c r="M83" s="24">
        <f>M76-M69</f>
      </c>
      <c r="N83" s="24">
        <f>N76-N69</f>
      </c>
      <c r="O83" s="24">
        <f>O76-O69</f>
      </c>
      <c r="P83" s="24">
        <f>P76-P69</f>
      </c>
      <c r="Q83" s="24">
        <f>Q76-Q69</f>
      </c>
      <c r="R83" s="24">
        <f>R76-R69</f>
      </c>
      <c r="S83" s="24">
        <f>S76-S69</f>
      </c>
      <c r="T83" s="24">
        <f>T76-T69</f>
      </c>
      <c r="U83" s="24">
        <f>U76-U69</f>
      </c>
      <c r="V83" s="24">
        <f>V76-V69</f>
      </c>
      <c r="W83" s="24">
        <f>W76-W69</f>
      </c>
      <c r="X83" s="24">
        <f>X76-X69</f>
      </c>
      <c r="Y83" s="24">
        <f>Y76-Y69</f>
      </c>
      <c r="Z83" s="24">
        <f>Z76-Z69</f>
      </c>
      <c r="AA83" s="24">
        <f>AA76-AA69</f>
      </c>
      <c r="AB83" s="24">
        <f>AB76-AB69</f>
      </c>
      <c r="AC83" s="24">
        <f>AC76-AC69</f>
      </c>
      <c r="AD83" s="24">
        <f>AD76-AD69</f>
      </c>
      <c r="AE83" s="24">
        <f>AE76-AE69</f>
      </c>
      <c r="AF83" s="24">
        <f>AF76-AF69</f>
      </c>
      <c r="AG83" s="24">
        <f>AG76-AG69</f>
      </c>
      <c r="AH83" s="24">
        <f>AH76-AH69</f>
      </c>
      <c r="AI83" s="24">
        <f>AI76-AI69</f>
      </c>
      <c r="AJ83" s="24">
        <f>AJ76-AJ69</f>
      </c>
      <c r="AK83" s="24">
        <f>AK76-AK69</f>
      </c>
      <c r="AL83" s="24">
        <f>AL76-AL69</f>
      </c>
      <c r="AM83" s="19"/>
    </row>
    <row r="84" ht="12.75" customHeight="1" spans="2:39" x14ac:dyDescent="0.25">
      <c r="B84" s="16"/>
      <c r="C84" s="17"/>
      <c r="D84" s="17" t="s">
        <v>43</v>
      </c>
      <c r="E84" s="17"/>
      <c r="F84" s="17"/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24">
        <f>AK77-AK70</f>
      </c>
      <c r="AL84" s="24">
        <f>AL77-AL70</f>
      </c>
      <c r="AM84" s="19"/>
    </row>
    <row r="85" ht="12.75" customHeight="1" spans="2:39" x14ac:dyDescent="0.25">
      <c r="B85" s="16"/>
      <c r="C85" s="17"/>
      <c r="D85" s="17" t="s">
        <v>44</v>
      </c>
      <c r="E85" s="17"/>
      <c r="F85" s="17"/>
      <c r="G85" s="24">
        <f>G78-G71</f>
      </c>
      <c r="H85" s="24">
        <f>H78-H71</f>
      </c>
      <c r="I85" s="24">
        <f>I78-I71</f>
      </c>
      <c r="J85" s="24">
        <f>J78-J71</f>
      </c>
      <c r="K85" s="24">
        <f>K78-K71</f>
      </c>
      <c r="L85" s="24">
        <f>L78-L71</f>
      </c>
      <c r="M85" s="24">
        <f>M78-M71</f>
      </c>
      <c r="N85" s="24">
        <f>N78-N71</f>
      </c>
      <c r="O85" s="24">
        <f>O78-O71</f>
      </c>
      <c r="P85" s="24">
        <f>P78-P71</f>
      </c>
      <c r="Q85" s="24">
        <f>Q78-Q71</f>
      </c>
      <c r="R85" s="24">
        <f>R78-R71</f>
      </c>
      <c r="S85" s="24">
        <f>S78-S71</f>
      </c>
      <c r="T85" s="24">
        <f>T78-T71</f>
      </c>
      <c r="U85" s="24">
        <f>U78-U71</f>
      </c>
      <c r="V85" s="24">
        <f>V78-V71</f>
      </c>
      <c r="W85" s="24">
        <f>W78-W71</f>
      </c>
      <c r="X85" s="24">
        <f>X78-X71</f>
      </c>
      <c r="Y85" s="24">
        <f>Y78-Y71</f>
      </c>
      <c r="Z85" s="24">
        <f>Z78-Z71</f>
      </c>
      <c r="AA85" s="24">
        <f>AA78-AA71</f>
      </c>
      <c r="AB85" s="24">
        <f>AB78-AB71</f>
      </c>
      <c r="AC85" s="24">
        <f>AC78-AC71</f>
      </c>
      <c r="AD85" s="24">
        <f>AD78-AD71</f>
      </c>
      <c r="AE85" s="24">
        <f>AE78-AE71</f>
      </c>
      <c r="AF85" s="24">
        <f>AF78-AF71</f>
      </c>
      <c r="AG85" s="24">
        <f>AG78-AG71</f>
      </c>
      <c r="AH85" s="24">
        <f>AH78-AH71</f>
      </c>
      <c r="AI85" s="24">
        <f>AI78-AI71</f>
      </c>
      <c r="AJ85" s="24">
        <f>AJ78-AJ71</f>
      </c>
      <c r="AK85" s="24">
        <f>AK78-AK71</f>
      </c>
      <c r="AL85" s="24">
        <f>AL78-AL71</f>
      </c>
      <c r="AM85" s="19"/>
    </row>
    <row r="86" ht="12.75" customHeight="1" spans="2:39" x14ac:dyDescent="0.25">
      <c r="B86" s="20"/>
      <c r="C86" s="21"/>
      <c r="D86" s="21" t="s">
        <v>45</v>
      </c>
      <c r="E86" s="21"/>
      <c r="F86" s="21"/>
      <c r="G86" s="25">
        <f>G82+G83+G84+G85</f>
      </c>
      <c r="H86" s="25">
        <f>H82+H83+H84+H85</f>
      </c>
      <c r="I86" s="25">
        <f>I82+I83+I84+I85</f>
      </c>
      <c r="J86" s="25">
        <f>J82+J83+J84+J85</f>
      </c>
      <c r="K86" s="25">
        <f>K82+K83+K84+K85</f>
      </c>
      <c r="L86" s="25">
        <f>L82+L83+L84+L85</f>
      </c>
      <c r="M86" s="25">
        <f>M82+M83+M84+M85</f>
      </c>
      <c r="N86" s="25">
        <f>N82+N83+N84+N85</f>
      </c>
      <c r="O86" s="25">
        <f>O82+O83+O84+O85</f>
      </c>
      <c r="P86" s="25">
        <f>P82+P83+P84+P85</f>
      </c>
      <c r="Q86" s="25">
        <f>Q82+Q83+Q84+Q85</f>
      </c>
      <c r="R86" s="25">
        <f>R82+R83+R84+R85</f>
      </c>
      <c r="S86" s="25">
        <f>S82+S83+S84+S85</f>
      </c>
      <c r="T86" s="25">
        <f>T82+T83+T84+T85</f>
      </c>
      <c r="U86" s="25">
        <f>U82+U83+U84+U85</f>
      </c>
      <c r="V86" s="25">
        <f>V82+V83+V84+V85</f>
      </c>
      <c r="W86" s="25">
        <f>W82+W83+W84+W85</f>
      </c>
      <c r="X86" s="25">
        <f>X82+X83+X84+X85</f>
      </c>
      <c r="Y86" s="25">
        <f>Y82+Y83+Y84+Y85</f>
      </c>
      <c r="Z86" s="25">
        <f>Z82+Z83+Z84+Z85</f>
      </c>
      <c r="AA86" s="25">
        <f>AA82+AA83+AA84+AA85</f>
      </c>
      <c r="AB86" s="25">
        <f>AB82+AB83+AB84+AB85</f>
      </c>
      <c r="AC86" s="25">
        <f>AC82+AC83+AC84+AC85</f>
      </c>
      <c r="AD86" s="25">
        <f>AD82+AD83+AD84+AD85</f>
      </c>
      <c r="AE86" s="25">
        <f>AE82+AE83+AE84+AE85</f>
      </c>
      <c r="AF86" s="25">
        <f>AF82+AF83+AF84+AF85</f>
      </c>
      <c r="AG86" s="25">
        <f>AG82+AG83+AG84+AG85</f>
      </c>
      <c r="AH86" s="25">
        <f>AH82+AH83+AH84+AH85</f>
      </c>
      <c r="AI86" s="25">
        <f>AI82+AI83+AI84+AI85</f>
      </c>
      <c r="AJ86" s="25">
        <f>AJ82+AJ83+AJ84+AJ85</f>
      </c>
      <c r="AK86" s="25">
        <f>AK82+AK83+AK84+AK85</f>
      </c>
      <c r="AL86" s="25">
        <f>AL82+AL83+AL84+AL85</f>
      </c>
      <c r="AM86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1560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1561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3">
        <v>30.87</v>
      </c>
      <c r="Z13" s="32"/>
      <c r="AA13" s="36">
        <f>31.21+0.38</f>
        <v>31.59</v>
      </c>
      <c r="AB13" s="32"/>
      <c r="AC13" s="33">
        <v>31.25</v>
      </c>
      <c r="AD13" s="36">
        <f>30.66+30.87</f>
        <v>61.53</v>
      </c>
      <c r="AE13" s="33">
        <v>30.66</v>
      </c>
      <c r="AF13" s="33">
        <v>36.54</v>
      </c>
      <c r="AG13" s="33">
        <v>36.48</v>
      </c>
      <c r="AH13" s="32"/>
      <c r="AI13" s="33">
        <v>36.55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1562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3">
        <v>94.27</v>
      </c>
      <c r="Z14" s="32"/>
      <c r="AA14" s="36">
        <f>94.27+0.00</f>
        <v>94.27</v>
      </c>
      <c r="AB14" s="32"/>
      <c r="AC14" s="33">
        <v>94.27</v>
      </c>
      <c r="AD14" s="36">
        <f>94.27+94.27</f>
        <v>188.54</v>
      </c>
      <c r="AE14" s="33">
        <v>94.27</v>
      </c>
      <c r="AF14" s="33">
        <v>58.93</v>
      </c>
      <c r="AG14" s="33">
        <v>58.93</v>
      </c>
      <c r="AH14" s="32"/>
      <c r="AI14" s="33">
        <v>58.87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1563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33.68</v>
      </c>
      <c r="Z15" s="32"/>
      <c r="AA15" s="36">
        <f>32.97+-0.54</f>
        <v>32.43</v>
      </c>
      <c r="AB15" s="32"/>
      <c r="AC15" s="33">
        <v>34.3</v>
      </c>
      <c r="AD15" s="36">
        <f>34.40+34.30</f>
        <v>68.69999999999999</v>
      </c>
      <c r="AE15" s="33">
        <v>34.58</v>
      </c>
      <c r="AF15" s="33">
        <v>40.62</v>
      </c>
      <c r="AG15" s="33">
        <v>40.23</v>
      </c>
      <c r="AH15" s="32"/>
      <c r="AI15" s="33">
        <v>39.87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1564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3">
        <v>29.41</v>
      </c>
      <c r="Z16" s="32"/>
      <c r="AA16" s="36">
        <f>29.41+0.00</f>
        <v>29.41</v>
      </c>
      <c r="AB16" s="32"/>
      <c r="AC16" s="33">
        <v>29.41</v>
      </c>
      <c r="AD16" s="36">
        <f>29.41+29.41</f>
        <v>58.82</v>
      </c>
      <c r="AE16" s="33">
        <v>29.41</v>
      </c>
      <c r="AF16" s="33">
        <v>35.3</v>
      </c>
      <c r="AG16" s="33">
        <v>35.3</v>
      </c>
      <c r="AH16" s="32"/>
      <c r="AI16" s="33">
        <v>35.26</v>
      </c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1565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>
        <v>278.95</v>
      </c>
      <c r="Z17" s="32"/>
      <c r="AA17" s="36">
        <f>278.95+0.00</f>
        <v>278.95</v>
      </c>
      <c r="AB17" s="32"/>
      <c r="AC17" s="33">
        <v>278.95</v>
      </c>
      <c r="AD17" s="36">
        <f>278.95+278.95</f>
        <v>557.9</v>
      </c>
      <c r="AE17" s="33">
        <v>278.95</v>
      </c>
      <c r="AF17" s="33">
        <v>273.01</v>
      </c>
      <c r="AG17" s="33">
        <v>273.01</v>
      </c>
      <c r="AH17" s="32"/>
      <c r="AI17" s="33">
        <v>272.76</v>
      </c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1566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3">
        <v>343.32</v>
      </c>
      <c r="Z18" s="32"/>
      <c r="AA18" s="36">
        <f>433.37+35.40</f>
        <v>468.77</v>
      </c>
      <c r="AB18" s="32"/>
      <c r="AC18" s="33">
        <v>355.09</v>
      </c>
      <c r="AD18" s="36">
        <f>190.50+272.13</f>
        <v>462.63</v>
      </c>
      <c r="AE18" s="33">
        <v>150.75</v>
      </c>
      <c r="AF18" s="33">
        <v>179.52</v>
      </c>
      <c r="AG18" s="33">
        <v>329.96</v>
      </c>
      <c r="AH18" s="32"/>
      <c r="AI18" s="33">
        <v>189.61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1567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3">
        <v>96.37</v>
      </c>
      <c r="Z19" s="32"/>
      <c r="AA19" s="36">
        <f>88.93+-3.65</f>
        <v>85.28</v>
      </c>
      <c r="AB19" s="32"/>
      <c r="AC19" s="33">
        <v>98.54</v>
      </c>
      <c r="AD19" s="36">
        <f>74.60+64.18</f>
        <v>138.78</v>
      </c>
      <c r="AE19" s="33">
        <v>89.53</v>
      </c>
      <c r="AF19" s="33">
        <v>99.24</v>
      </c>
      <c r="AG19" s="33">
        <v>97.16</v>
      </c>
      <c r="AH19" s="32"/>
      <c r="AI19" s="33">
        <v>89.62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1568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3">
        <v>56.62</v>
      </c>
      <c r="Z20" s="32"/>
      <c r="AA20" s="36">
        <f>66.92+10.42</f>
        <v>77.34</v>
      </c>
      <c r="AB20" s="32"/>
      <c r="AC20" s="33">
        <v>117.38</v>
      </c>
      <c r="AD20" s="36">
        <f>76.49+82.87</f>
        <v>159.36</v>
      </c>
      <c r="AE20" s="33">
        <v>64.88</v>
      </c>
      <c r="AF20" s="33">
        <v>67.35</v>
      </c>
      <c r="AG20" s="33">
        <v>58.55</v>
      </c>
      <c r="AH20" s="32"/>
      <c r="AI20" s="33">
        <v>60.44</v>
      </c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1569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89.83</v>
      </c>
      <c r="Z21" s="32"/>
      <c r="AA21" s="36">
        <f>94.91+7.12</f>
        <v>102.03</v>
      </c>
      <c r="AB21" s="32"/>
      <c r="AC21" s="33">
        <v>103.03</v>
      </c>
      <c r="AD21" s="36">
        <f>71.43+89.97</f>
        <v>161.4</v>
      </c>
      <c r="AE21" s="33">
        <v>70.82</v>
      </c>
      <c r="AF21" s="33">
        <v>75.24</v>
      </c>
      <c r="AG21" s="33">
        <v>79.56</v>
      </c>
      <c r="AH21" s="32"/>
      <c r="AI21" s="33">
        <v>77.71</v>
      </c>
      <c r="AJ21" s="34">
        <f>SUM(E21:AI21)</f>
      </c>
      <c r="AK21" s="35"/>
    </row>
    <row r="22" ht="12.75" customHeight="1" spans="2:37" x14ac:dyDescent="0.25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ht="12.75" customHeight="1" spans="2:37" x14ac:dyDescent="0.25">
      <c r="B23" s="20" t="s">
        <v>85</v>
      </c>
      <c r="C23" s="21"/>
      <c r="D23" s="21"/>
      <c r="E23" s="22">
        <f>SUM(E13:E21)</f>
      </c>
      <c r="F23" s="22">
        <f>SUM(F13:F21)</f>
      </c>
      <c r="G23" s="22">
        <f>SUM(G13:G21)</f>
      </c>
      <c r="H23" s="22">
        <f>SUM(H13:H21)</f>
      </c>
      <c r="I23" s="22">
        <f>SUM(I13:I21)</f>
      </c>
      <c r="J23" s="22">
        <f>SUM(J13:J21)</f>
      </c>
      <c r="K23" s="22">
        <f>SUM(K13:K21)</f>
      </c>
      <c r="L23" s="22">
        <f>SUM(L13:L21)</f>
      </c>
      <c r="M23" s="22">
        <f>SUM(M13:M21)</f>
      </c>
      <c r="N23" s="22">
        <f>SUM(N13:N21)</f>
      </c>
      <c r="O23" s="22">
        <f>SUM(O13:O21)</f>
      </c>
      <c r="P23" s="22">
        <f>SUM(P13:P21)</f>
      </c>
      <c r="Q23" s="22">
        <f>SUM(Q13:Q21)</f>
      </c>
      <c r="R23" s="22">
        <f>SUM(R13:R21)</f>
      </c>
      <c r="S23" s="22">
        <f>SUM(S13:S21)</f>
      </c>
      <c r="T23" s="22">
        <f>SUM(T13:T21)</f>
      </c>
      <c r="U23" s="22">
        <f>SUM(U13:U21)</f>
      </c>
      <c r="V23" s="22">
        <f>SUM(V13:V21)</f>
      </c>
      <c r="W23" s="22">
        <f>SUM(W13:W21)</f>
      </c>
      <c r="X23" s="22">
        <f>SUM(X13:X21)</f>
      </c>
      <c r="Y23" s="22">
        <f>SUM(Y13:Y21)</f>
      </c>
      <c r="Z23" s="22">
        <f>SUM(Z13:Z21)</f>
      </c>
      <c r="AA23" s="22">
        <f>SUM(AA13:AA21)</f>
      </c>
      <c r="AB23" s="22">
        <f>SUM(AB13:AB21)</f>
      </c>
      <c r="AC23" s="22">
        <f>SUM(AC13:AC21)</f>
      </c>
      <c r="AD23" s="22">
        <f>SUM(AD13:AD21)</f>
      </c>
      <c r="AE23" s="22">
        <f>SUM(AE13:AE21)</f>
      </c>
      <c r="AF23" s="22">
        <f>SUM(AF13:AF21)</f>
      </c>
      <c r="AG23" s="22">
        <f>SUM(AG13:AG21)</f>
      </c>
      <c r="AH23" s="22">
        <f>SUM(AH13:AH21)</f>
      </c>
      <c r="AI23" s="22">
        <f>SUM(AI13:AI21)</f>
      </c>
      <c r="AJ23" s="22">
        <f>SUM(AJ13:AJ21)</f>
      </c>
      <c r="AK23" s="23"/>
    </row>
    <row r="25" ht="12.75" customHeight="1" spans="2:37" x14ac:dyDescent="0.25">
      <c r="B25" s="26" t="s">
        <v>43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/>
    </row>
    <row r="26" ht="12.75" customHeight="1" spans="2:37" x14ac:dyDescent="0.25">
      <c r="B26" s="30" t="s">
        <v>43</v>
      </c>
      <c r="C26" s="31" t="s">
        <v>1570</v>
      </c>
      <c r="D26" s="32" t="s">
        <v>1571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6">
        <f>14219.24+0.00</f>
        <v>14219.24</v>
      </c>
      <c r="Y26" s="32"/>
      <c r="Z26" s="36">
        <f>-8518.81+9694.23+7411.67+12612.75</f>
        <v>21199.84</v>
      </c>
      <c r="AA26" s="32"/>
      <c r="AB26" s="36">
        <f>7309.09+12437.79</f>
        <v>19746.88</v>
      </c>
      <c r="AC26" s="36">
        <f>6555.11+10778.94+8793.85+14470.88</f>
        <v>40598.78</v>
      </c>
      <c r="AD26" s="32"/>
      <c r="AE26" s="36">
        <f>11454.61+18858.80</f>
        <v>30313.41</v>
      </c>
      <c r="AF26" s="36">
        <f>6259.63+10291.64</f>
        <v>16551.27</v>
      </c>
      <c r="AG26" s="36">
        <f>7843.09+12902.96</f>
        <v>20746.05</v>
      </c>
      <c r="AH26" s="36">
        <f>6447.73+10601.84</f>
        <v>17049.57</v>
      </c>
      <c r="AI26" s="32"/>
      <c r="AJ26" s="34">
        <f>SUM(E26:AI26)</f>
      </c>
      <c r="AK26" s="35"/>
    </row>
    <row r="27" ht="12.75" customHeight="1" spans="2:37" x14ac:dyDescent="0.25">
      <c r="B27" s="37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</row>
    <row r="28" ht="12.75" customHeight="1" spans="2:37" x14ac:dyDescent="0.25">
      <c r="B28" s="20" t="s">
        <v>89</v>
      </c>
      <c r="C28" s="21"/>
      <c r="D28" s="21"/>
      <c r="E28" s="22">
        <f>SUM(E26:E26)</f>
      </c>
      <c r="F28" s="22">
        <f>SUM(F26:F26)</f>
      </c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3"/>
    </row>
    <row r="30" ht="12.75" customHeight="1" spans="2:37" x14ac:dyDescent="0.25">
      <c r="B30" s="26" t="s">
        <v>44</v>
      </c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9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90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3"/>
    </row>
    <row r="35" ht="12.75" customHeight="1" spans="2:37" x14ac:dyDescent="0.25">
      <c r="B35" s="11" t="s">
        <v>40</v>
      </c>
      <c r="C35" s="12"/>
      <c r="D35" s="13"/>
      <c r="E35" s="14" t="s">
        <v>7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  <c r="K35" s="14" t="s">
        <v>13</v>
      </c>
      <c r="L35" s="14" t="s">
        <v>14</v>
      </c>
      <c r="M35" s="14" t="s">
        <v>15</v>
      </c>
      <c r="N35" s="14" t="s">
        <v>16</v>
      </c>
      <c r="O35" s="14" t="s">
        <v>17</v>
      </c>
      <c r="P35" s="14" t="s">
        <v>18</v>
      </c>
      <c r="Q35" s="14" t="s">
        <v>19</v>
      </c>
      <c r="R35" s="14" t="s">
        <v>20</v>
      </c>
      <c r="S35" s="14" t="s">
        <v>21</v>
      </c>
      <c r="T35" s="14" t="s">
        <v>22</v>
      </c>
      <c r="U35" s="14" t="s">
        <v>23</v>
      </c>
      <c r="V35" s="14" t="s">
        <v>24</v>
      </c>
      <c r="W35" s="14" t="s">
        <v>25</v>
      </c>
      <c r="X35" s="14" t="s">
        <v>26</v>
      </c>
      <c r="Y35" s="14" t="s">
        <v>27</v>
      </c>
      <c r="Z35" s="14" t="s">
        <v>28</v>
      </c>
      <c r="AA35" s="14" t="s">
        <v>29</v>
      </c>
      <c r="AB35" s="14" t="s">
        <v>30</v>
      </c>
      <c r="AC35" s="14" t="s">
        <v>31</v>
      </c>
      <c r="AD35" s="14" t="s">
        <v>32</v>
      </c>
      <c r="AE35" s="14" t="s">
        <v>33</v>
      </c>
      <c r="AF35" s="14" t="s">
        <v>34</v>
      </c>
      <c r="AG35" s="14" t="s">
        <v>35</v>
      </c>
      <c r="AH35" s="14" t="s">
        <v>36</v>
      </c>
      <c r="AI35" s="14" t="s">
        <v>37</v>
      </c>
      <c r="AJ35" s="14" t="s">
        <v>38</v>
      </c>
      <c r="AK35" s="15"/>
    </row>
    <row r="36" ht="12.75" customHeight="1" spans="2:37" x14ac:dyDescent="0.25">
      <c r="B36" s="16" t="s">
        <v>41</v>
      </c>
      <c r="C36" s="17"/>
      <c r="D36" s="17"/>
      <c r="E36" s="18">
        <f>E10</f>
      </c>
      <c r="F36" s="18">
        <f>F10</f>
      </c>
      <c r="G36" s="18">
        <f>G10</f>
      </c>
      <c r="H36" s="18">
        <f>H10</f>
      </c>
      <c r="I36" s="18">
        <f>I10</f>
      </c>
      <c r="J36" s="18">
        <f>J10</f>
      </c>
      <c r="K36" s="18">
        <f>K10</f>
      </c>
      <c r="L36" s="18">
        <f>L10</f>
      </c>
      <c r="M36" s="18">
        <f>M10</f>
      </c>
      <c r="N36" s="18">
        <f>N10</f>
      </c>
      <c r="O36" s="18">
        <f>O10</f>
      </c>
      <c r="P36" s="18">
        <f>P10</f>
      </c>
      <c r="Q36" s="18">
        <f>Q10</f>
      </c>
      <c r="R36" s="18">
        <f>R10</f>
      </c>
      <c r="S36" s="18">
        <f>S10</f>
      </c>
      <c r="T36" s="18">
        <f>T10</f>
      </c>
      <c r="U36" s="18">
        <f>U10</f>
      </c>
      <c r="V36" s="18">
        <f>V10</f>
      </c>
      <c r="W36" s="18">
        <f>W10</f>
      </c>
      <c r="X36" s="18">
        <f>X10</f>
      </c>
      <c r="Y36" s="18">
        <f>Y10</f>
      </c>
      <c r="Z36" s="18">
        <f>Z10</f>
      </c>
      <c r="AA36" s="18">
        <f>AA10</f>
      </c>
      <c r="AB36" s="18">
        <f>AB10</f>
      </c>
      <c r="AC36" s="18">
        <f>AC10</f>
      </c>
      <c r="AD36" s="18">
        <f>AD10</f>
      </c>
      <c r="AE36" s="18">
        <f>AE10</f>
      </c>
      <c r="AF36" s="18">
        <f>AF10</f>
      </c>
      <c r="AG36" s="18">
        <f>AG10</f>
      </c>
      <c r="AH36" s="18">
        <f>AH10</f>
      </c>
      <c r="AI36" s="18">
        <f>AI10</f>
      </c>
      <c r="AJ36" s="18">
        <f>AJ10</f>
      </c>
      <c r="AK36" s="19"/>
    </row>
    <row r="37" ht="12.75" customHeight="1" spans="2:37" x14ac:dyDescent="0.25">
      <c r="B37" s="16" t="s">
        <v>42</v>
      </c>
      <c r="C37" s="17"/>
      <c r="D37" s="17"/>
      <c r="E37" s="18">
        <f>E23</f>
      </c>
      <c r="F37" s="18">
        <f>F23</f>
      </c>
      <c r="G37" s="18">
        <f>G23</f>
      </c>
      <c r="H37" s="18">
        <f>H23</f>
      </c>
      <c r="I37" s="18">
        <f>I23</f>
      </c>
      <c r="J37" s="18">
        <f>J23</f>
      </c>
      <c r="K37" s="18">
        <f>K23</f>
      </c>
      <c r="L37" s="18">
        <f>L23</f>
      </c>
      <c r="M37" s="18">
        <f>M23</f>
      </c>
      <c r="N37" s="18">
        <f>N23</f>
      </c>
      <c r="O37" s="18">
        <f>O23</f>
      </c>
      <c r="P37" s="18">
        <f>P23</f>
      </c>
      <c r="Q37" s="18">
        <f>Q23</f>
      </c>
      <c r="R37" s="18">
        <f>R23</f>
      </c>
      <c r="S37" s="18">
        <f>S23</f>
      </c>
      <c r="T37" s="18">
        <f>T23</f>
      </c>
      <c r="U37" s="18">
        <f>U23</f>
      </c>
      <c r="V37" s="18">
        <f>V23</f>
      </c>
      <c r="W37" s="18">
        <f>W23</f>
      </c>
      <c r="X37" s="18">
        <f>X23</f>
      </c>
      <c r="Y37" s="18">
        <f>Y23</f>
      </c>
      <c r="Z37" s="18">
        <f>Z23</f>
      </c>
      <c r="AA37" s="18">
        <f>AA23</f>
      </c>
      <c r="AB37" s="18">
        <f>AB23</f>
      </c>
      <c r="AC37" s="18">
        <f>AC23</f>
      </c>
      <c r="AD37" s="18">
        <f>AD23</f>
      </c>
      <c r="AE37" s="18">
        <f>AE23</f>
      </c>
      <c r="AF37" s="18">
        <f>AF23</f>
      </c>
      <c r="AG37" s="18">
        <f>AG23</f>
      </c>
      <c r="AH37" s="18">
        <f>AH23</f>
      </c>
      <c r="AI37" s="18">
        <f>AI23</f>
      </c>
      <c r="AJ37" s="18">
        <f>AJ23</f>
      </c>
      <c r="AK37" s="19"/>
    </row>
    <row r="38" ht="12.75" customHeight="1" spans="2:37" x14ac:dyDescent="0.25">
      <c r="B38" s="16" t="s">
        <v>43</v>
      </c>
      <c r="C38" s="17"/>
      <c r="D38" s="17"/>
      <c r="E38" s="18">
        <f>E28</f>
      </c>
      <c r="F38" s="18">
        <f>F28</f>
      </c>
      <c r="G38" s="18">
        <f>G28</f>
      </c>
      <c r="H38" s="18">
        <f>H28</f>
      </c>
      <c r="I38" s="18">
        <f>I28</f>
      </c>
      <c r="J38" s="18">
        <f>J28</f>
      </c>
      <c r="K38" s="18">
        <f>K28</f>
      </c>
      <c r="L38" s="18">
        <f>L28</f>
      </c>
      <c r="M38" s="18">
        <f>M28</f>
      </c>
      <c r="N38" s="18">
        <f>N28</f>
      </c>
      <c r="O38" s="18">
        <f>O28</f>
      </c>
      <c r="P38" s="18">
        <f>P28</f>
      </c>
      <c r="Q38" s="18">
        <f>Q28</f>
      </c>
      <c r="R38" s="18">
        <f>R28</f>
      </c>
      <c r="S38" s="18">
        <f>S28</f>
      </c>
      <c r="T38" s="18">
        <f>T28</f>
      </c>
      <c r="U38" s="18">
        <f>U28</f>
      </c>
      <c r="V38" s="18">
        <f>V28</f>
      </c>
      <c r="W38" s="18">
        <f>W28</f>
      </c>
      <c r="X38" s="18">
        <f>X28</f>
      </c>
      <c r="Y38" s="18">
        <f>Y28</f>
      </c>
      <c r="Z38" s="18">
        <f>Z28</f>
      </c>
      <c r="AA38" s="18">
        <f>AA28</f>
      </c>
      <c r="AB38" s="18">
        <f>AB28</f>
      </c>
      <c r="AC38" s="18">
        <f>AC28</f>
      </c>
      <c r="AD38" s="18">
        <f>AD28</f>
      </c>
      <c r="AE38" s="18">
        <f>AE28</f>
      </c>
      <c r="AF38" s="18">
        <f>AF28</f>
      </c>
      <c r="AG38" s="18">
        <f>AG28</f>
      </c>
      <c r="AH38" s="18">
        <f>AH28</f>
      </c>
      <c r="AI38" s="18">
        <f>AI28</f>
      </c>
      <c r="AJ38" s="18">
        <f>AJ28</f>
      </c>
      <c r="AK38" s="19"/>
    </row>
    <row r="39" ht="12.75" customHeight="1" spans="2:37" x14ac:dyDescent="0.25">
      <c r="B39" s="16" t="s">
        <v>44</v>
      </c>
      <c r="C39" s="17"/>
      <c r="D39" s="17"/>
      <c r="E39" s="18">
        <f>E32</f>
      </c>
      <c r="F39" s="18">
        <f>F32</f>
      </c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9"/>
    </row>
    <row r="40" ht="12.75" customHeight="1" spans="2:37" x14ac:dyDescent="0.25">
      <c r="B40" s="20" t="s">
        <v>45</v>
      </c>
      <c r="C40" s="21"/>
      <c r="D40" s="21"/>
      <c r="E40" s="22">
        <f>E36+E37+E38+E39</f>
      </c>
      <c r="F40" s="22">
        <f>F36+F37+F38+F39</f>
      </c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3"/>
    </row>
    <row r="42" ht="12.75" customHeight="1" spans="2:37" x14ac:dyDescent="0.25">
      <c r="B42" s="11" t="s">
        <v>46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42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43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44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47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42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43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44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20" t="s">
        <v>45</v>
      </c>
      <c r="C54" s="21"/>
      <c r="D54" s="21"/>
      <c r="E54" s="25">
        <f>E50+E51+E52+E53</f>
      </c>
      <c r="F54" s="25">
        <f>F50+F51+F52+F53</f>
      </c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1560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1572</v>
      </c>
      <c r="AA8" s="44" t="s">
        <v>1573</v>
      </c>
      <c r="AB8" s="44" t="s">
        <v>1574</v>
      </c>
      <c r="AC8" s="44" t="s">
        <v>1575</v>
      </c>
      <c r="AD8" s="44" t="s">
        <v>1576</v>
      </c>
      <c r="AE8" s="44" t="s">
        <v>1577</v>
      </c>
      <c r="AF8" s="44" t="s">
        <v>1578</v>
      </c>
      <c r="AG8" s="44" t="s">
        <v>1579</v>
      </c>
      <c r="AH8" s="44" t="s">
        <v>1580</v>
      </c>
      <c r="AI8" s="44" t="s">
        <v>1581</v>
      </c>
      <c r="AJ8" s="44" t="s">
        <v>1161</v>
      </c>
      <c r="AK8" s="44" t="s">
        <v>178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1560</v>
      </c>
      <c r="D14" s="50" t="s">
        <v>42</v>
      </c>
      <c r="E14" s="32" t="s">
        <v>227</v>
      </c>
      <c r="F14" s="32" t="s">
        <v>1561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v>30.87</v>
      </c>
      <c r="AB14" s="32"/>
      <c r="AC14" s="33">
        <f>31.21+0.38</f>
        <v>31.59</v>
      </c>
      <c r="AD14" s="32"/>
      <c r="AE14" s="33">
        <v>31.25</v>
      </c>
      <c r="AF14" s="33">
        <f>30.66+30.87</f>
        <v>61.53</v>
      </c>
      <c r="AG14" s="33">
        <v>30.66</v>
      </c>
      <c r="AH14" s="33">
        <v>36.54</v>
      </c>
      <c r="AI14" s="33">
        <v>36.48</v>
      </c>
      <c r="AJ14" s="32"/>
      <c r="AK14" s="33">
        <v>36.55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1560</v>
      </c>
      <c r="D15" s="50" t="s">
        <v>42</v>
      </c>
      <c r="E15" s="32" t="s">
        <v>227</v>
      </c>
      <c r="F15" s="32" t="s">
        <v>1562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>
        <v>94.27</v>
      </c>
      <c r="AB15" s="32"/>
      <c r="AC15" s="33">
        <f>94.27+0.00</f>
        <v>94.27</v>
      </c>
      <c r="AD15" s="32"/>
      <c r="AE15" s="33">
        <v>94.27</v>
      </c>
      <c r="AF15" s="33">
        <f>94.27+94.27</f>
        <v>188.54</v>
      </c>
      <c r="AG15" s="33">
        <v>94.27</v>
      </c>
      <c r="AH15" s="33">
        <v>58.93</v>
      </c>
      <c r="AI15" s="33">
        <v>58.93</v>
      </c>
      <c r="AJ15" s="32"/>
      <c r="AK15" s="33">
        <v>58.87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1560</v>
      </c>
      <c r="D16" s="50" t="s">
        <v>42</v>
      </c>
      <c r="E16" s="32" t="s">
        <v>227</v>
      </c>
      <c r="F16" s="32" t="s">
        <v>1563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33.68</v>
      </c>
      <c r="AB16" s="32"/>
      <c r="AC16" s="33">
        <f>32.97+-0.54</f>
        <v>32.43</v>
      </c>
      <c r="AD16" s="32"/>
      <c r="AE16" s="33">
        <v>34.3</v>
      </c>
      <c r="AF16" s="33">
        <f>34.40+34.30</f>
        <v>68.69999999999999</v>
      </c>
      <c r="AG16" s="33">
        <v>34.58</v>
      </c>
      <c r="AH16" s="33">
        <v>40.62</v>
      </c>
      <c r="AI16" s="33">
        <v>40.23</v>
      </c>
      <c r="AJ16" s="32"/>
      <c r="AK16" s="33">
        <v>39.87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1560</v>
      </c>
      <c r="D17" s="50" t="s">
        <v>42</v>
      </c>
      <c r="E17" s="32" t="s">
        <v>227</v>
      </c>
      <c r="F17" s="32" t="s">
        <v>1564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29.41</v>
      </c>
      <c r="AB17" s="32"/>
      <c r="AC17" s="33">
        <f>29.41+0.00</f>
        <v>29.41</v>
      </c>
      <c r="AD17" s="32"/>
      <c r="AE17" s="33">
        <v>29.41</v>
      </c>
      <c r="AF17" s="33">
        <f>29.41+29.41</f>
        <v>58.82</v>
      </c>
      <c r="AG17" s="33">
        <v>29.41</v>
      </c>
      <c r="AH17" s="33">
        <v>35.3</v>
      </c>
      <c r="AI17" s="33">
        <v>35.3</v>
      </c>
      <c r="AJ17" s="32"/>
      <c r="AK17" s="33">
        <v>35.26</v>
      </c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1560</v>
      </c>
      <c r="D18" s="50" t="s">
        <v>42</v>
      </c>
      <c r="E18" s="32" t="s">
        <v>227</v>
      </c>
      <c r="F18" s="32" t="s">
        <v>1565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>
        <v>278.95</v>
      </c>
      <c r="AB18" s="32"/>
      <c r="AC18" s="33">
        <f>278.95+0.00</f>
        <v>278.95</v>
      </c>
      <c r="AD18" s="32"/>
      <c r="AE18" s="33">
        <v>278.95</v>
      </c>
      <c r="AF18" s="33">
        <f>278.95+278.95</f>
        <v>557.9</v>
      </c>
      <c r="AG18" s="33">
        <v>278.95</v>
      </c>
      <c r="AH18" s="33">
        <v>273.01</v>
      </c>
      <c r="AI18" s="33">
        <v>273.01</v>
      </c>
      <c r="AJ18" s="32"/>
      <c r="AK18" s="33">
        <v>272.76</v>
      </c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1560</v>
      </c>
      <c r="D19" s="50" t="s">
        <v>42</v>
      </c>
      <c r="E19" s="32" t="s">
        <v>227</v>
      </c>
      <c r="F19" s="32" t="s">
        <v>1566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>
        <v>343.32</v>
      </c>
      <c r="AB19" s="32"/>
      <c r="AC19" s="33">
        <f>433.37+35.40</f>
        <v>468.77</v>
      </c>
      <c r="AD19" s="32"/>
      <c r="AE19" s="33">
        <v>355.09</v>
      </c>
      <c r="AF19" s="33">
        <f>190.50+272.13</f>
        <v>462.63</v>
      </c>
      <c r="AG19" s="33">
        <v>150.75</v>
      </c>
      <c r="AH19" s="33">
        <v>179.52</v>
      </c>
      <c r="AI19" s="33">
        <v>329.96</v>
      </c>
      <c r="AJ19" s="32"/>
      <c r="AK19" s="33">
        <v>189.61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1560</v>
      </c>
      <c r="D20" s="50" t="s">
        <v>42</v>
      </c>
      <c r="E20" s="32" t="s">
        <v>227</v>
      </c>
      <c r="F20" s="32" t="s">
        <v>1567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>
        <v>96.37</v>
      </c>
      <c r="AB20" s="32"/>
      <c r="AC20" s="33">
        <f>88.93+-3.65</f>
        <v>85.28</v>
      </c>
      <c r="AD20" s="32"/>
      <c r="AE20" s="33">
        <v>98.54</v>
      </c>
      <c r="AF20" s="33">
        <f>74.60+64.18</f>
        <v>138.78</v>
      </c>
      <c r="AG20" s="33">
        <v>89.53</v>
      </c>
      <c r="AH20" s="33">
        <v>99.24</v>
      </c>
      <c r="AI20" s="33">
        <v>97.16</v>
      </c>
      <c r="AJ20" s="32"/>
      <c r="AK20" s="33">
        <v>89.62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1560</v>
      </c>
      <c r="D21" s="50" t="s">
        <v>42</v>
      </c>
      <c r="E21" s="32" t="s">
        <v>227</v>
      </c>
      <c r="F21" s="32" t="s">
        <v>1568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v>56.62</v>
      </c>
      <c r="AB21" s="32"/>
      <c r="AC21" s="33">
        <f>66.92+10.42</f>
        <v>77.34</v>
      </c>
      <c r="AD21" s="32"/>
      <c r="AE21" s="33">
        <v>117.38</v>
      </c>
      <c r="AF21" s="33">
        <f>76.49+82.87</f>
        <v>159.36</v>
      </c>
      <c r="AG21" s="33">
        <v>64.88</v>
      </c>
      <c r="AH21" s="33">
        <v>67.35</v>
      </c>
      <c r="AI21" s="33">
        <v>58.55</v>
      </c>
      <c r="AJ21" s="32"/>
      <c r="AK21" s="33">
        <v>60.44</v>
      </c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1560</v>
      </c>
      <c r="D22" s="50" t="s">
        <v>42</v>
      </c>
      <c r="E22" s="32" t="s">
        <v>227</v>
      </c>
      <c r="F22" s="32" t="s">
        <v>1569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89.83</v>
      </c>
      <c r="AB22" s="32"/>
      <c r="AC22" s="33">
        <f>94.91+7.12</f>
        <v>102.03</v>
      </c>
      <c r="AD22" s="32"/>
      <c r="AE22" s="33">
        <v>103.03</v>
      </c>
      <c r="AF22" s="33">
        <f>71.43+89.97</f>
        <v>161.4</v>
      </c>
      <c r="AG22" s="33">
        <v>70.82</v>
      </c>
      <c r="AH22" s="33">
        <v>75.24</v>
      </c>
      <c r="AI22" s="33">
        <v>79.56</v>
      </c>
      <c r="AJ22" s="32"/>
      <c r="AK22" s="33">
        <v>77.71</v>
      </c>
      <c r="AL22" s="34">
        <f>SUM(G22:AK22)</f>
      </c>
      <c r="AM22" s="35"/>
    </row>
    <row r="23" ht="13.5" customHeight="1" spans="2:39" x14ac:dyDescent="0.25">
      <c r="B23" s="51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0"/>
    </row>
    <row r="24" ht="13.5" customHeight="1" spans="2:39" x14ac:dyDescent="0.25">
      <c r="B24" s="20"/>
      <c r="C24" s="21"/>
      <c r="D24" s="21" t="s">
        <v>85</v>
      </c>
      <c r="E24" s="21"/>
      <c r="F24" s="21"/>
      <c r="G24" s="22">
        <f>SUM(G14:G22)</f>
      </c>
      <c r="H24" s="22">
        <f>SUM(H14:H22)</f>
      </c>
      <c r="I24" s="22">
        <f>SUM(I14:I22)</f>
      </c>
      <c r="J24" s="22">
        <f>SUM(J14:J22)</f>
      </c>
      <c r="K24" s="22">
        <f>SUM(K14:K22)</f>
      </c>
      <c r="L24" s="22">
        <f>SUM(L14:L22)</f>
      </c>
      <c r="M24" s="22">
        <f>SUM(M14:M22)</f>
      </c>
      <c r="N24" s="22">
        <f>SUM(N14:N22)</f>
      </c>
      <c r="O24" s="22">
        <f>SUM(O14:O22)</f>
      </c>
      <c r="P24" s="22">
        <f>SUM(P14:P22)</f>
      </c>
      <c r="Q24" s="22">
        <f>SUM(Q14:Q22)</f>
      </c>
      <c r="R24" s="22">
        <f>SUM(R14:R22)</f>
      </c>
      <c r="S24" s="22">
        <f>SUM(S14:S22)</f>
      </c>
      <c r="T24" s="22">
        <f>SUM(T14:T22)</f>
      </c>
      <c r="U24" s="22">
        <f>SUM(U14:U22)</f>
      </c>
      <c r="V24" s="22">
        <f>SUM(V14:V22)</f>
      </c>
      <c r="W24" s="22">
        <f>SUM(W14:W22)</f>
      </c>
      <c r="X24" s="22">
        <f>SUM(X14:X22)</f>
      </c>
      <c r="Y24" s="22">
        <f>SUM(Y14:Y22)</f>
      </c>
      <c r="Z24" s="22">
        <f>SUM(Z14:Z22)</f>
      </c>
      <c r="AA24" s="22">
        <f>SUM(AA14:AA22)</f>
      </c>
      <c r="AB24" s="22">
        <f>SUM(AB14:AB22)</f>
      </c>
      <c r="AC24" s="22">
        <f>SUM(AC14:AC22)</f>
      </c>
      <c r="AD24" s="22">
        <f>SUM(AD14:AD22)</f>
      </c>
      <c r="AE24" s="22">
        <f>SUM(AE14:AE22)</f>
      </c>
      <c r="AF24" s="22">
        <f>SUM(AF14:AF22)</f>
      </c>
      <c r="AG24" s="22">
        <f>SUM(AG14:AG22)</f>
      </c>
      <c r="AH24" s="22">
        <f>SUM(AH14:AH22)</f>
      </c>
      <c r="AI24" s="22">
        <f>SUM(AI14:AI22)</f>
      </c>
      <c r="AJ24" s="22">
        <f>SUM(AJ14:AJ22)</f>
      </c>
      <c r="AK24" s="22">
        <f>SUM(AK14:AK22)</f>
      </c>
      <c r="AL24" s="22">
        <f>SUM(AL14:AL22)</f>
      </c>
      <c r="AM24" s="23"/>
    </row>
    <row r="26" ht="13.5" customHeight="1" spans="2:39" x14ac:dyDescent="0.25">
      <c r="B26" s="46"/>
      <c r="C26" s="28"/>
      <c r="D26" s="47" t="s">
        <v>43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/>
    </row>
    <row r="27" ht="13.5" customHeight="1" spans="2:39" x14ac:dyDescent="0.25">
      <c r="B27" s="48" t="s">
        <v>3</v>
      </c>
      <c r="C27" s="49" t="s">
        <v>1560</v>
      </c>
      <c r="D27" s="50" t="s">
        <v>43</v>
      </c>
      <c r="E27" s="32" t="s">
        <v>1570</v>
      </c>
      <c r="F27" s="32" t="s">
        <v>1571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>
        <f>14219.24+0.00</f>
        <v>14219.24</v>
      </c>
      <c r="AA27" s="32"/>
      <c r="AB27" s="33">
        <f>-8518.81+9694.23+7411.67+12612.75</f>
        <v>21199.84</v>
      </c>
      <c r="AC27" s="32"/>
      <c r="AD27" s="33">
        <f>7309.09+12437.79</f>
        <v>19746.88</v>
      </c>
      <c r="AE27" s="33">
        <f>6555.11+10778.94+8793.85+14470.88</f>
        <v>40598.78</v>
      </c>
      <c r="AF27" s="32"/>
      <c r="AG27" s="33">
        <f>11454.61+18858.80</f>
        <v>30313.41</v>
      </c>
      <c r="AH27" s="33">
        <f>6259.63+10291.64</f>
        <v>16551.27</v>
      </c>
      <c r="AI27" s="33">
        <f>7843.09+12902.96</f>
        <v>20746.05</v>
      </c>
      <c r="AJ27" s="33">
        <f>6447.73+10601.84</f>
        <v>17049.57</v>
      </c>
      <c r="AK27" s="32"/>
      <c r="AL27" s="34">
        <f>SUM(G27:AK27)</f>
      </c>
      <c r="AM27" s="35"/>
    </row>
    <row r="28" ht="13.5" customHeight="1" spans="2:39" x14ac:dyDescent="0.25">
      <c r="B28" s="51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40"/>
    </row>
    <row r="29" ht="13.5" customHeight="1" spans="2:39" x14ac:dyDescent="0.25">
      <c r="B29" s="20"/>
      <c r="C29" s="21"/>
      <c r="D29" s="21" t="s">
        <v>89</v>
      </c>
      <c r="E29" s="21"/>
      <c r="F29" s="21"/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2">
        <f>SUM(AK27:AK27)</f>
      </c>
      <c r="AL29" s="22">
        <f>SUM(AL27:AL27)</f>
      </c>
      <c r="AM29" s="23"/>
    </row>
    <row r="31" ht="13.5" customHeight="1" spans="2:39" x14ac:dyDescent="0.25">
      <c r="B31" s="46"/>
      <c r="C31" s="28"/>
      <c r="D31" s="47" t="s">
        <v>44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9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90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3"/>
    </row>
    <row r="36" ht="12.75" customHeight="1" spans="2:39" x14ac:dyDescent="0.25">
      <c r="B36" s="11" t="s">
        <v>40</v>
      </c>
      <c r="C36" s="12"/>
      <c r="D36" s="12"/>
      <c r="E36" s="12"/>
      <c r="F36" s="12"/>
      <c r="G36" s="52" t="s">
        <v>7</v>
      </c>
      <c r="H36" s="52" t="s">
        <v>8</v>
      </c>
      <c r="I36" s="52" t="s">
        <v>9</v>
      </c>
      <c r="J36" s="52" t="s">
        <v>10</v>
      </c>
      <c r="K36" s="52" t="s">
        <v>11</v>
      </c>
      <c r="L36" s="52" t="s">
        <v>12</v>
      </c>
      <c r="M36" s="52" t="s">
        <v>13</v>
      </c>
      <c r="N36" s="52" t="s">
        <v>14</v>
      </c>
      <c r="O36" s="52" t="s">
        <v>15</v>
      </c>
      <c r="P36" s="52" t="s">
        <v>16</v>
      </c>
      <c r="Q36" s="52" t="s">
        <v>17</v>
      </c>
      <c r="R36" s="52" t="s">
        <v>18</v>
      </c>
      <c r="S36" s="52" t="s">
        <v>19</v>
      </c>
      <c r="T36" s="52" t="s">
        <v>20</v>
      </c>
      <c r="U36" s="52" t="s">
        <v>21</v>
      </c>
      <c r="V36" s="52" t="s">
        <v>22</v>
      </c>
      <c r="W36" s="52" t="s">
        <v>23</v>
      </c>
      <c r="X36" s="52" t="s">
        <v>24</v>
      </c>
      <c r="Y36" s="52" t="s">
        <v>25</v>
      </c>
      <c r="Z36" s="52" t="s">
        <v>26</v>
      </c>
      <c r="AA36" s="52" t="s">
        <v>27</v>
      </c>
      <c r="AB36" s="52" t="s">
        <v>28</v>
      </c>
      <c r="AC36" s="52" t="s">
        <v>29</v>
      </c>
      <c r="AD36" s="52" t="s">
        <v>30</v>
      </c>
      <c r="AE36" s="52" t="s">
        <v>31</v>
      </c>
      <c r="AF36" s="52" t="s">
        <v>32</v>
      </c>
      <c r="AG36" s="52" t="s">
        <v>33</v>
      </c>
      <c r="AH36" s="52" t="s">
        <v>34</v>
      </c>
      <c r="AI36" s="52" t="s">
        <v>35</v>
      </c>
      <c r="AJ36" s="52" t="s">
        <v>36</v>
      </c>
      <c r="AK36" s="52" t="s">
        <v>37</v>
      </c>
      <c r="AL36" s="52" t="s">
        <v>38</v>
      </c>
      <c r="AM36" s="15"/>
    </row>
    <row r="37" ht="12.75" customHeight="1" spans="2:39" x14ac:dyDescent="0.25">
      <c r="B37" s="16"/>
      <c r="C37" s="17"/>
      <c r="D37" s="17" t="s">
        <v>41</v>
      </c>
      <c r="E37" s="17"/>
      <c r="F37" s="17"/>
      <c r="G37" s="18">
        <f>G11</f>
      </c>
      <c r="H37" s="18">
        <f>H11</f>
      </c>
      <c r="I37" s="18">
        <f>I11</f>
      </c>
      <c r="J37" s="18">
        <f>J11</f>
      </c>
      <c r="K37" s="18">
        <f>K11</f>
      </c>
      <c r="L37" s="18">
        <f>L11</f>
      </c>
      <c r="M37" s="18">
        <f>M11</f>
      </c>
      <c r="N37" s="18">
        <f>N11</f>
      </c>
      <c r="O37" s="18">
        <f>O11</f>
      </c>
      <c r="P37" s="18">
        <f>P11</f>
      </c>
      <c r="Q37" s="18">
        <f>Q11</f>
      </c>
      <c r="R37" s="18">
        <f>R11</f>
      </c>
      <c r="S37" s="18">
        <f>S11</f>
      </c>
      <c r="T37" s="18">
        <f>T11</f>
      </c>
      <c r="U37" s="18">
        <f>U11</f>
      </c>
      <c r="V37" s="18">
        <f>V11</f>
      </c>
      <c r="W37" s="18">
        <f>W11</f>
      </c>
      <c r="X37" s="18">
        <f>X11</f>
      </c>
      <c r="Y37" s="18">
        <f>Y11</f>
      </c>
      <c r="Z37" s="18">
        <f>Z11</f>
      </c>
      <c r="AA37" s="18">
        <f>AA11</f>
      </c>
      <c r="AB37" s="18">
        <f>AB11</f>
      </c>
      <c r="AC37" s="18">
        <f>AC11</f>
      </c>
      <c r="AD37" s="18">
        <f>AD11</f>
      </c>
      <c r="AE37" s="18">
        <f>AE11</f>
      </c>
      <c r="AF37" s="18">
        <f>AF11</f>
      </c>
      <c r="AG37" s="18">
        <f>AG11</f>
      </c>
      <c r="AH37" s="18">
        <f>AH11</f>
      </c>
      <c r="AI37" s="18">
        <f>AI11</f>
      </c>
      <c r="AJ37" s="18">
        <f>AJ11</f>
      </c>
      <c r="AK37" s="18">
        <f>AK11</f>
      </c>
      <c r="AL37" s="18">
        <f>AL11</f>
      </c>
      <c r="AM37" s="19"/>
    </row>
    <row r="38" ht="12.75" customHeight="1" spans="2:39" x14ac:dyDescent="0.25">
      <c r="B38" s="16"/>
      <c r="C38" s="17"/>
      <c r="D38" s="17" t="s">
        <v>42</v>
      </c>
      <c r="E38" s="17"/>
      <c r="F38" s="17"/>
      <c r="G38" s="18">
        <f>G24</f>
      </c>
      <c r="H38" s="18">
        <f>H24</f>
      </c>
      <c r="I38" s="18">
        <f>I24</f>
      </c>
      <c r="J38" s="18">
        <f>J24</f>
      </c>
      <c r="K38" s="18">
        <f>K24</f>
      </c>
      <c r="L38" s="18">
        <f>L24</f>
      </c>
      <c r="M38" s="18">
        <f>M24</f>
      </c>
      <c r="N38" s="18">
        <f>N24</f>
      </c>
      <c r="O38" s="18">
        <f>O24</f>
      </c>
      <c r="P38" s="18">
        <f>P24</f>
      </c>
      <c r="Q38" s="18">
        <f>Q24</f>
      </c>
      <c r="R38" s="18">
        <f>R24</f>
      </c>
      <c r="S38" s="18">
        <f>S24</f>
      </c>
      <c r="T38" s="18">
        <f>T24</f>
      </c>
      <c r="U38" s="18">
        <f>U24</f>
      </c>
      <c r="V38" s="18">
        <f>V24</f>
      </c>
      <c r="W38" s="18">
        <f>W24</f>
      </c>
      <c r="X38" s="18">
        <f>X24</f>
      </c>
      <c r="Y38" s="18">
        <f>Y24</f>
      </c>
      <c r="Z38" s="18">
        <f>Z24</f>
      </c>
      <c r="AA38" s="18">
        <f>AA24</f>
      </c>
      <c r="AB38" s="18">
        <f>AB24</f>
      </c>
      <c r="AC38" s="18">
        <f>AC24</f>
      </c>
      <c r="AD38" s="18">
        <f>AD24</f>
      </c>
      <c r="AE38" s="18">
        <f>AE24</f>
      </c>
      <c r="AF38" s="18">
        <f>AF24</f>
      </c>
      <c r="AG38" s="18">
        <f>AG24</f>
      </c>
      <c r="AH38" s="18">
        <f>AH24</f>
      </c>
      <c r="AI38" s="18">
        <f>AI24</f>
      </c>
      <c r="AJ38" s="18">
        <f>AJ24</f>
      </c>
      <c r="AK38" s="18">
        <f>AK24</f>
      </c>
      <c r="AL38" s="18">
        <f>AL24</f>
      </c>
      <c r="AM38" s="19"/>
    </row>
    <row r="39" ht="12.75" customHeight="1" spans="2:39" x14ac:dyDescent="0.25">
      <c r="B39" s="16"/>
      <c r="C39" s="17"/>
      <c r="D39" s="17" t="s">
        <v>43</v>
      </c>
      <c r="E39" s="17"/>
      <c r="F39" s="17"/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8">
        <f>AK29</f>
      </c>
      <c r="AL39" s="18">
        <f>AL29</f>
      </c>
      <c r="AM39" s="19"/>
    </row>
    <row r="40" ht="12.75" customHeight="1" spans="2:39" x14ac:dyDescent="0.25">
      <c r="B40" s="16"/>
      <c r="C40" s="17"/>
      <c r="D40" s="17" t="s">
        <v>44</v>
      </c>
      <c r="E40" s="17"/>
      <c r="F40" s="17"/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8">
        <f>AK33</f>
      </c>
      <c r="AL40" s="18">
        <f>AL33</f>
      </c>
      <c r="AM40" s="19"/>
    </row>
    <row r="41" ht="12.75" customHeight="1" spans="2:39" x14ac:dyDescent="0.25">
      <c r="B41" s="20"/>
      <c r="C41" s="21"/>
      <c r="D41" s="21" t="s">
        <v>45</v>
      </c>
      <c r="E41" s="21"/>
      <c r="F41" s="21"/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2">
        <f>AK37+AK38+AK39+AK40</f>
      </c>
      <c r="AL41" s="22">
        <f>AL37+AL38+AL39+AL40</f>
      </c>
      <c r="AM41" s="23"/>
    </row>
    <row r="43" ht="12.75" customHeight="1" spans="2:39" x14ac:dyDescent="0.25">
      <c r="B43" s="11" t="s">
        <v>46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47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5">
        <f>AK51+AK52+AK53+AK54</f>
      </c>
      <c r="AL55" s="25">
        <f>AL51+AL52+AL53+AL54</f>
      </c>
      <c r="AM5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1582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1583</v>
      </c>
      <c r="E9" s="32"/>
      <c r="F9" s="32"/>
      <c r="G9" s="32"/>
      <c r="H9" s="32"/>
      <c r="I9" s="33">
        <v>578.96</v>
      </c>
      <c r="J9" s="32"/>
      <c r="K9" s="32"/>
      <c r="L9" s="32"/>
      <c r="M9" s="33">
        <v>835.85</v>
      </c>
      <c r="N9" s="32"/>
      <c r="O9" s="32"/>
      <c r="P9" s="33">
        <v>1006.69</v>
      </c>
      <c r="Q9" s="32"/>
      <c r="R9" s="32"/>
      <c r="S9" s="32"/>
      <c r="T9" s="33">
        <v>84.77</v>
      </c>
      <c r="U9" s="33">
        <v>1035.62</v>
      </c>
      <c r="V9" s="32"/>
      <c r="W9" s="33">
        <v>797.62</v>
      </c>
      <c r="X9" s="33">
        <v>578.97</v>
      </c>
      <c r="Y9" s="33">
        <v>765.54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1584</v>
      </c>
      <c r="E14" s="32"/>
      <c r="F14" s="32"/>
      <c r="G14" s="32"/>
      <c r="H14" s="33">
        <v>35.26</v>
      </c>
      <c r="I14" s="33">
        <v>35.54</v>
      </c>
      <c r="J14" s="33">
        <v>34.31</v>
      </c>
      <c r="K14" s="32"/>
      <c r="L14" s="33">
        <v>34</v>
      </c>
      <c r="M14" s="36">
        <f>32.85+32.60</f>
        <v>65.45</v>
      </c>
      <c r="N14" s="32"/>
      <c r="O14" s="36">
        <f>32.85+32.51</f>
        <v>65.36</v>
      </c>
      <c r="P14" s="33">
        <v>32.99</v>
      </c>
      <c r="Q14" s="32"/>
      <c r="R14" s="36">
        <f>33.22+33.30</f>
        <v>66.52</v>
      </c>
      <c r="S14" s="33">
        <v>33.36</v>
      </c>
      <c r="T14" s="36">
        <f>35.21+0.00</f>
        <v>35.21</v>
      </c>
      <c r="U14" s="33">
        <v>34.23</v>
      </c>
      <c r="V14" s="33">
        <v>33.97</v>
      </c>
      <c r="W14" s="33">
        <v>34.13</v>
      </c>
      <c r="X14" s="33">
        <v>33.87</v>
      </c>
      <c r="Y14" s="33">
        <v>33.68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1585</v>
      </c>
      <c r="E15" s="32"/>
      <c r="F15" s="32"/>
      <c r="G15" s="32"/>
      <c r="H15" s="33">
        <v>29.31</v>
      </c>
      <c r="I15" s="33">
        <v>29.31</v>
      </c>
      <c r="J15" s="33">
        <v>29.35</v>
      </c>
      <c r="K15" s="32"/>
      <c r="L15" s="33">
        <v>29.35</v>
      </c>
      <c r="M15" s="36">
        <f>29.35+29.35</f>
        <v>58.7</v>
      </c>
      <c r="N15" s="32"/>
      <c r="O15" s="36">
        <f>29.35+29.35</f>
        <v>58.7</v>
      </c>
      <c r="P15" s="33">
        <v>29.35</v>
      </c>
      <c r="Q15" s="32"/>
      <c r="R15" s="36">
        <f>29.35+29.35</f>
        <v>58.7</v>
      </c>
      <c r="S15" s="33">
        <v>29.35</v>
      </c>
      <c r="T15" s="36">
        <f>0.00+29.35</f>
        <v>29.35</v>
      </c>
      <c r="U15" s="33">
        <v>29.35</v>
      </c>
      <c r="V15" s="33">
        <v>29.41</v>
      </c>
      <c r="W15" s="33">
        <v>29.41</v>
      </c>
      <c r="X15" s="33">
        <v>29.41</v>
      </c>
      <c r="Y15" s="33">
        <v>29.41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1586</v>
      </c>
      <c r="E16" s="32"/>
      <c r="F16" s="32"/>
      <c r="G16" s="32"/>
      <c r="H16" s="33">
        <v>30.69</v>
      </c>
      <c r="I16" s="33">
        <v>30.68</v>
      </c>
      <c r="J16" s="33">
        <v>30.47</v>
      </c>
      <c r="K16" s="32"/>
      <c r="L16" s="33">
        <v>30.39</v>
      </c>
      <c r="M16" s="36">
        <f>30.14+30.31</f>
        <v>60.45</v>
      </c>
      <c r="N16" s="32"/>
      <c r="O16" s="36">
        <f>30.38+30.28</f>
        <v>60.66</v>
      </c>
      <c r="P16" s="33">
        <v>30.31</v>
      </c>
      <c r="Q16" s="32"/>
      <c r="R16" s="36">
        <f>30.23+30.23</f>
        <v>60.46</v>
      </c>
      <c r="S16" s="33">
        <v>30.23</v>
      </c>
      <c r="T16" s="36">
        <f>30.68+0.00</f>
        <v>30.68</v>
      </c>
      <c r="U16" s="33">
        <v>30.67</v>
      </c>
      <c r="V16" s="33">
        <v>30.47</v>
      </c>
      <c r="W16" s="33">
        <v>30.59</v>
      </c>
      <c r="X16" s="33">
        <v>30.66</v>
      </c>
      <c r="Y16" s="33">
        <v>30.87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1587</v>
      </c>
      <c r="E17" s="32"/>
      <c r="F17" s="32"/>
      <c r="G17" s="32"/>
      <c r="H17" s="33">
        <v>257.57</v>
      </c>
      <c r="I17" s="33">
        <v>258.99</v>
      </c>
      <c r="J17" s="33">
        <v>259.32</v>
      </c>
      <c r="K17" s="32"/>
      <c r="L17" s="33">
        <v>248.09</v>
      </c>
      <c r="M17" s="36">
        <f>242.89+242.89</f>
        <v>485.78</v>
      </c>
      <c r="N17" s="32"/>
      <c r="O17" s="36">
        <f>242.89+238.53</f>
        <v>481.41999999999996</v>
      </c>
      <c r="P17" s="33">
        <v>242.89</v>
      </c>
      <c r="Q17" s="32"/>
      <c r="R17" s="36">
        <f>242.89+242.89</f>
        <v>485.78</v>
      </c>
      <c r="S17" s="33">
        <v>242.89</v>
      </c>
      <c r="T17" s="33">
        <v>277.15</v>
      </c>
      <c r="U17" s="33">
        <v>278.42</v>
      </c>
      <c r="V17" s="33">
        <v>278.95</v>
      </c>
      <c r="W17" s="33">
        <v>278.95</v>
      </c>
      <c r="X17" s="33">
        <v>278.95</v>
      </c>
      <c r="Y17" s="33">
        <v>278.95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1588</v>
      </c>
      <c r="E18" s="32"/>
      <c r="F18" s="32"/>
      <c r="G18" s="32"/>
      <c r="H18" s="33">
        <v>204.25</v>
      </c>
      <c r="I18" s="33">
        <v>254.79</v>
      </c>
      <c r="J18" s="33">
        <v>213.75</v>
      </c>
      <c r="K18" s="32"/>
      <c r="L18" s="33">
        <v>230.78</v>
      </c>
      <c r="M18" s="36">
        <f>316.58+407.90</f>
        <v>724.48</v>
      </c>
      <c r="N18" s="32"/>
      <c r="O18" s="36">
        <f>491.46+503.27</f>
        <v>994.73</v>
      </c>
      <c r="P18" s="33">
        <v>458.76</v>
      </c>
      <c r="Q18" s="32"/>
      <c r="R18" s="36">
        <f>372.03+237.88</f>
        <v>609.91</v>
      </c>
      <c r="S18" s="33">
        <v>150.87</v>
      </c>
      <c r="T18" s="36">
        <f>0.00+196.35</f>
        <v>196.35</v>
      </c>
      <c r="U18" s="33">
        <v>274.09</v>
      </c>
      <c r="V18" s="33">
        <v>153.63</v>
      </c>
      <c r="W18" s="33">
        <v>210.78</v>
      </c>
      <c r="X18" s="33">
        <v>236.6</v>
      </c>
      <c r="Y18" s="33">
        <v>343.32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1589</v>
      </c>
      <c r="E19" s="32"/>
      <c r="F19" s="32"/>
      <c r="G19" s="32"/>
      <c r="H19" s="33">
        <v>35.07</v>
      </c>
      <c r="I19" s="33">
        <v>89.48</v>
      </c>
      <c r="J19" s="33">
        <v>74.14</v>
      </c>
      <c r="K19" s="32"/>
      <c r="L19" s="33">
        <v>72.22</v>
      </c>
      <c r="M19" s="36">
        <f>83.48+82.70</f>
        <v>166.18</v>
      </c>
      <c r="N19" s="32"/>
      <c r="O19" s="36">
        <f>66.78+84.16</f>
        <v>150.94</v>
      </c>
      <c r="P19" s="33">
        <v>83.21</v>
      </c>
      <c r="Q19" s="32"/>
      <c r="R19" s="36">
        <f>54.01+53.39</f>
        <v>107.4</v>
      </c>
      <c r="S19" s="33">
        <v>61.12</v>
      </c>
      <c r="T19" s="36">
        <f>93.12+0.00</f>
        <v>93.12</v>
      </c>
      <c r="U19" s="33">
        <v>40.45</v>
      </c>
      <c r="V19" s="33">
        <v>64.3</v>
      </c>
      <c r="W19" s="33">
        <v>93.6</v>
      </c>
      <c r="X19" s="33">
        <v>94.46</v>
      </c>
      <c r="Y19" s="33">
        <v>96.37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1590</v>
      </c>
      <c r="E20" s="32"/>
      <c r="F20" s="32"/>
      <c r="G20" s="32"/>
      <c r="H20" s="33">
        <v>81.5</v>
      </c>
      <c r="I20" s="33">
        <v>81.25</v>
      </c>
      <c r="J20" s="33">
        <v>73.42</v>
      </c>
      <c r="K20" s="32"/>
      <c r="L20" s="33">
        <v>57.76</v>
      </c>
      <c r="M20" s="36">
        <f>48.78+48.91</f>
        <v>97.69</v>
      </c>
      <c r="N20" s="32"/>
      <c r="O20" s="36">
        <f>51.29+45.32</f>
        <v>96.61</v>
      </c>
      <c r="P20" s="33">
        <v>57.46</v>
      </c>
      <c r="Q20" s="32"/>
      <c r="R20" s="36">
        <f>78.49+62.18</f>
        <v>140.67</v>
      </c>
      <c r="S20" s="33">
        <v>73.48</v>
      </c>
      <c r="T20" s="36">
        <f>0.00+66.78</f>
        <v>66.78</v>
      </c>
      <c r="U20" s="33">
        <v>54.91</v>
      </c>
      <c r="V20" s="33">
        <v>71.7</v>
      </c>
      <c r="W20" s="33">
        <v>61.84</v>
      </c>
      <c r="X20" s="33">
        <v>51.42</v>
      </c>
      <c r="Y20" s="33">
        <v>56.62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1591</v>
      </c>
      <c r="E21" s="32"/>
      <c r="F21" s="32"/>
      <c r="G21" s="32"/>
      <c r="H21" s="33">
        <v>75.49</v>
      </c>
      <c r="I21" s="33">
        <v>95.49</v>
      </c>
      <c r="J21" s="33">
        <v>92.53</v>
      </c>
      <c r="K21" s="32"/>
      <c r="L21" s="33">
        <v>78.12</v>
      </c>
      <c r="M21" s="36">
        <f>73.61+74.53</f>
        <v>148.14</v>
      </c>
      <c r="N21" s="32"/>
      <c r="O21" s="36">
        <f>78.87+72.52</f>
        <v>151.39</v>
      </c>
      <c r="P21" s="33">
        <v>57.32</v>
      </c>
      <c r="Q21" s="32"/>
      <c r="R21" s="36">
        <f>39.71+55.87</f>
        <v>95.58</v>
      </c>
      <c r="S21" s="33">
        <v>61.12</v>
      </c>
      <c r="T21" s="36">
        <f>65.48+0.00</f>
        <v>65.48</v>
      </c>
      <c r="U21" s="33">
        <v>54.04</v>
      </c>
      <c r="V21" s="33">
        <v>53.01</v>
      </c>
      <c r="W21" s="33">
        <v>73.6</v>
      </c>
      <c r="X21" s="33">
        <v>77.66</v>
      </c>
      <c r="Y21" s="33">
        <v>89.83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1592</v>
      </c>
      <c r="E22" s="32"/>
      <c r="F22" s="32"/>
      <c r="G22" s="32"/>
      <c r="H22" s="33">
        <v>72.93</v>
      </c>
      <c r="I22" s="33">
        <v>72.81</v>
      </c>
      <c r="J22" s="33">
        <v>72.9</v>
      </c>
      <c r="K22" s="32"/>
      <c r="L22" s="33">
        <v>59.46</v>
      </c>
      <c r="M22" s="36">
        <f>53.26+53.26</f>
        <v>106.52</v>
      </c>
      <c r="N22" s="32"/>
      <c r="O22" s="36">
        <f>53.26+48.02</f>
        <v>101.28</v>
      </c>
      <c r="P22" s="33">
        <v>53.26</v>
      </c>
      <c r="Q22" s="32"/>
      <c r="R22" s="36">
        <f>53.26+53.26</f>
        <v>106.52</v>
      </c>
      <c r="S22" s="33">
        <v>53.26</v>
      </c>
      <c r="T22" s="33">
        <v>94.17</v>
      </c>
      <c r="U22" s="33">
        <v>94.09</v>
      </c>
      <c r="V22" s="33">
        <v>94.27</v>
      </c>
      <c r="W22" s="33">
        <v>94.27</v>
      </c>
      <c r="X22" s="33">
        <v>94.27</v>
      </c>
      <c r="Y22" s="33">
        <v>94.27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85</v>
      </c>
      <c r="C24" s="21"/>
      <c r="D24" s="21"/>
      <c r="E24" s="22">
        <f>SUM(E14:E22)</f>
      </c>
      <c r="F24" s="22">
        <f>SUM(F14:F22)</f>
      </c>
      <c r="G24" s="22">
        <f>SUM(G14:G22)</f>
      </c>
      <c r="H24" s="22">
        <f>SUM(H14:H22)</f>
      </c>
      <c r="I24" s="22">
        <f>SUM(I14:I22)</f>
      </c>
      <c r="J24" s="22">
        <f>SUM(J14:J22)</f>
      </c>
      <c r="K24" s="22">
        <f>SUM(K14:K22)</f>
      </c>
      <c r="L24" s="22">
        <f>SUM(L14:L22)</f>
      </c>
      <c r="M24" s="22">
        <f>SUM(M14:M22)</f>
      </c>
      <c r="N24" s="22">
        <f>SUM(N14:N22)</f>
      </c>
      <c r="O24" s="22">
        <f>SUM(O14:O22)</f>
      </c>
      <c r="P24" s="22">
        <f>SUM(P14:P22)</f>
      </c>
      <c r="Q24" s="22">
        <f>SUM(Q14:Q22)</f>
      </c>
      <c r="R24" s="22">
        <f>SUM(R14:R22)</f>
      </c>
      <c r="S24" s="22">
        <f>SUM(S14:S22)</f>
      </c>
      <c r="T24" s="22">
        <f>SUM(T14:T22)</f>
      </c>
      <c r="U24" s="22">
        <f>SUM(U14:U22)</f>
      </c>
      <c r="V24" s="22">
        <f>SUM(V14:V22)</f>
      </c>
      <c r="W24" s="22">
        <f>SUM(W14:W22)</f>
      </c>
      <c r="X24" s="22">
        <f>SUM(X14:X22)</f>
      </c>
      <c r="Y24" s="22">
        <f>SUM(Y14:Y22)</f>
      </c>
      <c r="Z24" s="22">
        <f>SUM(Z14:Z22)</f>
      </c>
      <c r="AA24" s="22">
        <f>SUM(AA14:AA22)</f>
      </c>
      <c r="AB24" s="22">
        <f>SUM(AB14:AB22)</f>
      </c>
      <c r="AC24" s="22">
        <f>SUM(AC14:AC22)</f>
      </c>
      <c r="AD24" s="22">
        <f>SUM(AD14:AD22)</f>
      </c>
      <c r="AE24" s="22">
        <f>SUM(AE14:AE22)</f>
      </c>
      <c r="AF24" s="22">
        <f>SUM(AF14:AF22)</f>
      </c>
      <c r="AG24" s="22">
        <f>SUM(AG14:AG22)</f>
      </c>
      <c r="AH24" s="22">
        <f>SUM(AH14:AH22)</f>
      </c>
      <c r="AI24" s="22">
        <f>SUM(AI14:AI22)</f>
      </c>
      <c r="AJ24" s="22">
        <f>SUM(AJ14:AJ22)</f>
      </c>
      <c r="AK24" s="23"/>
    </row>
    <row r="26" ht="12.75" customHeight="1" spans="2:37" x14ac:dyDescent="0.25">
      <c r="B26" s="26" t="s">
        <v>43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43</v>
      </c>
      <c r="C27" s="31" t="s">
        <v>3</v>
      </c>
      <c r="D27" s="32" t="s">
        <v>1593</v>
      </c>
      <c r="E27" s="32"/>
      <c r="F27" s="32"/>
      <c r="G27" s="32"/>
      <c r="H27" s="36">
        <f>8956.11+5266.05</f>
        <v>14222.16</v>
      </c>
      <c r="I27" s="36">
        <f>8350.99+4911.41</f>
        <v>13262.4</v>
      </c>
      <c r="J27" s="36">
        <f>9483.15+5574.93</f>
        <v>15058.08</v>
      </c>
      <c r="K27" s="36">
        <f>8887.79+5226.01</f>
        <v>14113.800000000001</v>
      </c>
      <c r="L27" s="36">
        <f>8555.95+5031.53</f>
        <v>13587.48</v>
      </c>
      <c r="M27" s="36">
        <f>10849.55+6375.73</f>
        <v>17225.28</v>
      </c>
      <c r="N27" s="36">
        <f>14987.79+8801.01</f>
        <v>23788.800000000003</v>
      </c>
      <c r="O27" s="36">
        <f>7929.36+4664.31</f>
        <v>12593.67</v>
      </c>
      <c r="P27" s="36">
        <f>3574.45+2112.04</f>
        <v>5686.49</v>
      </c>
      <c r="Q27" s="36">
        <f>25160.62+14768.96+8003.61+4709.16</f>
        <v>52642.350000000006</v>
      </c>
      <c r="R27" s="32"/>
      <c r="S27" s="36">
        <f>10020.97+5892.01</f>
        <v>15912.98</v>
      </c>
      <c r="T27" s="36">
        <f>8858.40+5210.36</f>
        <v>14068.759999999998</v>
      </c>
      <c r="U27" s="36">
        <f>10545.86+6199.78</f>
        <v>16745.64</v>
      </c>
      <c r="V27" s="36">
        <f>8360.92+4918.66</f>
        <v>13279.58</v>
      </c>
      <c r="W27" s="36">
        <f>8736.14+5138.67+8953.26+5265.98</f>
        <v>28094.05</v>
      </c>
      <c r="X27" s="36">
        <f>8953.26+5265.98</f>
        <v>14219.24</v>
      </c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89</v>
      </c>
      <c r="C29" s="21"/>
      <c r="D29" s="21"/>
      <c r="E29" s="22">
        <f>SUM(E27:E27)</f>
      </c>
      <c r="F29" s="22">
        <f>SUM(F27:F27)</f>
      </c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3"/>
    </row>
    <row r="31" ht="12.75" customHeight="1" spans="2:37" x14ac:dyDescent="0.25">
      <c r="B31" s="26" t="s">
        <v>44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90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3"/>
    </row>
    <row r="36" ht="12.75" customHeight="1" spans="2:37" x14ac:dyDescent="0.25">
      <c r="B36" s="11" t="s">
        <v>40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>
        <f>E11</f>
      </c>
      <c r="F37" s="18">
        <f>F11</f>
      </c>
      <c r="G37" s="18">
        <f>G11</f>
      </c>
      <c r="H37" s="18">
        <f>H11</f>
      </c>
      <c r="I37" s="18">
        <f>I11</f>
      </c>
      <c r="J37" s="18">
        <f>J11</f>
      </c>
      <c r="K37" s="18">
        <f>K11</f>
      </c>
      <c r="L37" s="18">
        <f>L11</f>
      </c>
      <c r="M37" s="18">
        <f>M11</f>
      </c>
      <c r="N37" s="18">
        <f>N11</f>
      </c>
      <c r="O37" s="18">
        <f>O11</f>
      </c>
      <c r="P37" s="18">
        <f>P11</f>
      </c>
      <c r="Q37" s="18">
        <f>Q11</f>
      </c>
      <c r="R37" s="18">
        <f>R11</f>
      </c>
      <c r="S37" s="18">
        <f>S11</f>
      </c>
      <c r="T37" s="18">
        <f>T11</f>
      </c>
      <c r="U37" s="18">
        <f>U11</f>
      </c>
      <c r="V37" s="18">
        <f>V11</f>
      </c>
      <c r="W37" s="18">
        <f>W11</f>
      </c>
      <c r="X37" s="18">
        <f>X11</f>
      </c>
      <c r="Y37" s="18">
        <f>Y11</f>
      </c>
      <c r="Z37" s="18">
        <f>Z11</f>
      </c>
      <c r="AA37" s="18">
        <f>AA11</f>
      </c>
      <c r="AB37" s="18">
        <f>AB11</f>
      </c>
      <c r="AC37" s="18">
        <f>AC11</f>
      </c>
      <c r="AD37" s="18">
        <f>AD11</f>
      </c>
      <c r="AE37" s="18">
        <f>AE11</f>
      </c>
      <c r="AF37" s="18">
        <f>AF11</f>
      </c>
      <c r="AG37" s="18">
        <f>AG11</f>
      </c>
      <c r="AH37" s="18">
        <f>AH11</f>
      </c>
      <c r="AI37" s="18">
        <f>AI11</f>
      </c>
      <c r="AJ37" s="18">
        <f>AJ11</f>
      </c>
      <c r="AK37" s="19"/>
    </row>
    <row r="38" ht="12.75" customHeight="1" spans="2:37" x14ac:dyDescent="0.25">
      <c r="B38" s="16" t="s">
        <v>42</v>
      </c>
      <c r="C38" s="17"/>
      <c r="D38" s="17"/>
      <c r="E38" s="18">
        <f>E24</f>
      </c>
      <c r="F38" s="18">
        <f>F24</f>
      </c>
      <c r="G38" s="18">
        <f>G24</f>
      </c>
      <c r="H38" s="18">
        <f>H24</f>
      </c>
      <c r="I38" s="18">
        <f>I24</f>
      </c>
      <c r="J38" s="18">
        <f>J24</f>
      </c>
      <c r="K38" s="18">
        <f>K24</f>
      </c>
      <c r="L38" s="18">
        <f>L24</f>
      </c>
      <c r="M38" s="18">
        <f>M24</f>
      </c>
      <c r="N38" s="18">
        <f>N24</f>
      </c>
      <c r="O38" s="18">
        <f>O24</f>
      </c>
      <c r="P38" s="18">
        <f>P24</f>
      </c>
      <c r="Q38" s="18">
        <f>Q24</f>
      </c>
      <c r="R38" s="18">
        <f>R24</f>
      </c>
      <c r="S38" s="18">
        <f>S24</f>
      </c>
      <c r="T38" s="18">
        <f>T24</f>
      </c>
      <c r="U38" s="18">
        <f>U24</f>
      </c>
      <c r="V38" s="18">
        <f>V24</f>
      </c>
      <c r="W38" s="18">
        <f>W24</f>
      </c>
      <c r="X38" s="18">
        <f>X24</f>
      </c>
      <c r="Y38" s="18">
        <f>Y24</f>
      </c>
      <c r="Z38" s="18">
        <f>Z24</f>
      </c>
      <c r="AA38" s="18">
        <f>AA24</f>
      </c>
      <c r="AB38" s="18">
        <f>AB24</f>
      </c>
      <c r="AC38" s="18">
        <f>AC24</f>
      </c>
      <c r="AD38" s="18">
        <f>AD24</f>
      </c>
      <c r="AE38" s="18">
        <f>AE24</f>
      </c>
      <c r="AF38" s="18">
        <f>AF24</f>
      </c>
      <c r="AG38" s="18">
        <f>AG24</f>
      </c>
      <c r="AH38" s="18">
        <f>AH24</f>
      </c>
      <c r="AI38" s="18">
        <f>AI24</f>
      </c>
      <c r="AJ38" s="18">
        <f>AJ24</f>
      </c>
      <c r="AK38" s="19"/>
    </row>
    <row r="39" ht="12.75" customHeight="1" spans="2:37" x14ac:dyDescent="0.25">
      <c r="B39" s="16" t="s">
        <v>43</v>
      </c>
      <c r="C39" s="17"/>
      <c r="D39" s="17"/>
      <c r="E39" s="18">
        <f>E29</f>
      </c>
      <c r="F39" s="18">
        <f>F29</f>
      </c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9"/>
    </row>
    <row r="40" ht="12.75" customHeight="1" spans="2:37" x14ac:dyDescent="0.25">
      <c r="B40" s="16" t="s">
        <v>44</v>
      </c>
      <c r="C40" s="17"/>
      <c r="D40" s="17"/>
      <c r="E40" s="18">
        <f>E33</f>
      </c>
      <c r="F40" s="18">
        <f>F33</f>
      </c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46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42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43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16" t="s">
        <v>44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47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42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43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16" t="s">
        <v>44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20" t="s">
        <v>45</v>
      </c>
      <c r="C55" s="21"/>
      <c r="D55" s="21"/>
      <c r="E55" s="25">
        <f>E51+E52+E53+E54</f>
      </c>
      <c r="F55" s="25">
        <f>F51+F52+F53+F54</f>
      </c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1582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1594</v>
      </c>
      <c r="K8" s="44" t="s">
        <v>1595</v>
      </c>
      <c r="L8" s="44" t="s">
        <v>1596</v>
      </c>
      <c r="M8" s="44" t="s">
        <v>217</v>
      </c>
      <c r="N8" s="44" t="s">
        <v>1597</v>
      </c>
      <c r="O8" s="44" t="s">
        <v>1598</v>
      </c>
      <c r="P8" s="44" t="s">
        <v>1599</v>
      </c>
      <c r="Q8" s="44" t="s">
        <v>1600</v>
      </c>
      <c r="R8" s="44" t="s">
        <v>1601</v>
      </c>
      <c r="S8" s="44" t="s">
        <v>1602</v>
      </c>
      <c r="T8" s="44" t="s">
        <v>1603</v>
      </c>
      <c r="U8" s="44" t="s">
        <v>1604</v>
      </c>
      <c r="V8" s="44" t="s">
        <v>1605</v>
      </c>
      <c r="W8" s="44" t="s">
        <v>1606</v>
      </c>
      <c r="X8" s="44" t="s">
        <v>1607</v>
      </c>
      <c r="Y8" s="44" t="s">
        <v>1608</v>
      </c>
      <c r="Z8" s="44" t="s">
        <v>1609</v>
      </c>
      <c r="AA8" s="44" t="s">
        <v>1610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1582</v>
      </c>
      <c r="D10" s="50" t="s">
        <v>41</v>
      </c>
      <c r="E10" s="32" t="s">
        <v>3</v>
      </c>
      <c r="F10" s="32" t="s">
        <v>1583</v>
      </c>
      <c r="G10" s="32"/>
      <c r="H10" s="32"/>
      <c r="I10" s="32"/>
      <c r="J10" s="32"/>
      <c r="K10" s="33">
        <v>578.96</v>
      </c>
      <c r="L10" s="32"/>
      <c r="M10" s="32"/>
      <c r="N10" s="32"/>
      <c r="O10" s="33">
        <v>835.85</v>
      </c>
      <c r="P10" s="32"/>
      <c r="Q10" s="32"/>
      <c r="R10" s="33">
        <v>1006.69</v>
      </c>
      <c r="S10" s="32"/>
      <c r="T10" s="32"/>
      <c r="U10" s="32"/>
      <c r="V10" s="33">
        <v>84.77</v>
      </c>
      <c r="W10" s="33">
        <v>1035.62</v>
      </c>
      <c r="X10" s="32"/>
      <c r="Y10" s="33">
        <v>797.62</v>
      </c>
      <c r="Z10" s="33">
        <v>578.97</v>
      </c>
      <c r="AA10" s="33">
        <v>765.54</v>
      </c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1582</v>
      </c>
      <c r="D15" s="50" t="s">
        <v>42</v>
      </c>
      <c r="E15" s="32" t="s">
        <v>3</v>
      </c>
      <c r="F15" s="32" t="s">
        <v>1584</v>
      </c>
      <c r="G15" s="32"/>
      <c r="H15" s="32"/>
      <c r="I15" s="32"/>
      <c r="J15" s="33">
        <v>35.26</v>
      </c>
      <c r="K15" s="33">
        <v>35.54</v>
      </c>
      <c r="L15" s="33">
        <v>34.31</v>
      </c>
      <c r="M15" s="32"/>
      <c r="N15" s="33">
        <v>34</v>
      </c>
      <c r="O15" s="33">
        <f>32.85+32.60</f>
        <v>65.45</v>
      </c>
      <c r="P15" s="32"/>
      <c r="Q15" s="33">
        <f>32.85+32.51</f>
        <v>65.36</v>
      </c>
      <c r="R15" s="33">
        <v>32.99</v>
      </c>
      <c r="S15" s="32"/>
      <c r="T15" s="33">
        <f>33.22+33.30</f>
        <v>66.52</v>
      </c>
      <c r="U15" s="33">
        <v>33.36</v>
      </c>
      <c r="V15" s="33">
        <f>35.21+0.00</f>
        <v>35.21</v>
      </c>
      <c r="W15" s="33">
        <v>34.23</v>
      </c>
      <c r="X15" s="33">
        <v>33.97</v>
      </c>
      <c r="Y15" s="33">
        <v>34.13</v>
      </c>
      <c r="Z15" s="33">
        <v>33.87</v>
      </c>
      <c r="AA15" s="33">
        <v>33.68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1582</v>
      </c>
      <c r="D16" s="50" t="s">
        <v>42</v>
      </c>
      <c r="E16" s="32" t="s">
        <v>3</v>
      </c>
      <c r="F16" s="32" t="s">
        <v>1585</v>
      </c>
      <c r="G16" s="32"/>
      <c r="H16" s="32"/>
      <c r="I16" s="32"/>
      <c r="J16" s="33">
        <v>29.31</v>
      </c>
      <c r="K16" s="33">
        <v>29.31</v>
      </c>
      <c r="L16" s="33">
        <v>29.35</v>
      </c>
      <c r="M16" s="32"/>
      <c r="N16" s="33">
        <v>29.35</v>
      </c>
      <c r="O16" s="33">
        <f>29.35+29.35</f>
        <v>58.7</v>
      </c>
      <c r="P16" s="32"/>
      <c r="Q16" s="33">
        <f>29.35+29.35</f>
        <v>58.7</v>
      </c>
      <c r="R16" s="33">
        <v>29.35</v>
      </c>
      <c r="S16" s="32"/>
      <c r="T16" s="33">
        <f>29.35+29.35</f>
        <v>58.7</v>
      </c>
      <c r="U16" s="33">
        <v>29.35</v>
      </c>
      <c r="V16" s="33">
        <f>0.00+29.35</f>
        <v>29.35</v>
      </c>
      <c r="W16" s="33">
        <v>29.35</v>
      </c>
      <c r="X16" s="33">
        <v>29.41</v>
      </c>
      <c r="Y16" s="33">
        <v>29.41</v>
      </c>
      <c r="Z16" s="33">
        <v>29.41</v>
      </c>
      <c r="AA16" s="33">
        <v>29.41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1582</v>
      </c>
      <c r="D17" s="50" t="s">
        <v>42</v>
      </c>
      <c r="E17" s="32" t="s">
        <v>3</v>
      </c>
      <c r="F17" s="32" t="s">
        <v>1586</v>
      </c>
      <c r="G17" s="32"/>
      <c r="H17" s="32"/>
      <c r="I17" s="32"/>
      <c r="J17" s="33">
        <v>30.69</v>
      </c>
      <c r="K17" s="33">
        <v>30.68</v>
      </c>
      <c r="L17" s="33">
        <v>30.47</v>
      </c>
      <c r="M17" s="32"/>
      <c r="N17" s="33">
        <v>30.39</v>
      </c>
      <c r="O17" s="33">
        <f>30.14+30.31</f>
        <v>60.45</v>
      </c>
      <c r="P17" s="32"/>
      <c r="Q17" s="33">
        <f>30.38+30.28</f>
        <v>60.66</v>
      </c>
      <c r="R17" s="33">
        <v>30.31</v>
      </c>
      <c r="S17" s="32"/>
      <c r="T17" s="33">
        <f>30.23+30.23</f>
        <v>60.46</v>
      </c>
      <c r="U17" s="33">
        <v>30.23</v>
      </c>
      <c r="V17" s="33">
        <f>30.68+0.00</f>
        <v>30.68</v>
      </c>
      <c r="W17" s="33">
        <v>30.67</v>
      </c>
      <c r="X17" s="33">
        <v>30.47</v>
      </c>
      <c r="Y17" s="33">
        <v>30.59</v>
      </c>
      <c r="Z17" s="33">
        <v>30.66</v>
      </c>
      <c r="AA17" s="33">
        <v>30.87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1582</v>
      </c>
      <c r="D18" s="50" t="s">
        <v>42</v>
      </c>
      <c r="E18" s="32" t="s">
        <v>3</v>
      </c>
      <c r="F18" s="32" t="s">
        <v>1587</v>
      </c>
      <c r="G18" s="32"/>
      <c r="H18" s="32"/>
      <c r="I18" s="32"/>
      <c r="J18" s="33">
        <v>257.57</v>
      </c>
      <c r="K18" s="33">
        <v>258.99</v>
      </c>
      <c r="L18" s="33">
        <v>259.32</v>
      </c>
      <c r="M18" s="32"/>
      <c r="N18" s="33">
        <v>248.09</v>
      </c>
      <c r="O18" s="33">
        <f>242.89+242.89</f>
        <v>485.78</v>
      </c>
      <c r="P18" s="32"/>
      <c r="Q18" s="33">
        <f>242.89+238.53</f>
        <v>481.41999999999996</v>
      </c>
      <c r="R18" s="33">
        <v>242.89</v>
      </c>
      <c r="S18" s="32"/>
      <c r="T18" s="33">
        <f>242.89+242.89</f>
        <v>485.78</v>
      </c>
      <c r="U18" s="33">
        <v>242.89</v>
      </c>
      <c r="V18" s="33">
        <v>277.15</v>
      </c>
      <c r="W18" s="33">
        <v>278.42</v>
      </c>
      <c r="X18" s="33">
        <v>278.95</v>
      </c>
      <c r="Y18" s="33">
        <v>278.95</v>
      </c>
      <c r="Z18" s="33">
        <v>278.95</v>
      </c>
      <c r="AA18" s="33">
        <v>278.95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1582</v>
      </c>
      <c r="D19" s="50" t="s">
        <v>42</v>
      </c>
      <c r="E19" s="32" t="s">
        <v>3</v>
      </c>
      <c r="F19" s="32" t="s">
        <v>1588</v>
      </c>
      <c r="G19" s="32"/>
      <c r="H19" s="32"/>
      <c r="I19" s="32"/>
      <c r="J19" s="33">
        <v>204.25</v>
      </c>
      <c r="K19" s="33">
        <v>254.79</v>
      </c>
      <c r="L19" s="33">
        <v>213.75</v>
      </c>
      <c r="M19" s="32"/>
      <c r="N19" s="33">
        <v>230.78</v>
      </c>
      <c r="O19" s="33">
        <f>316.58+407.90</f>
        <v>724.48</v>
      </c>
      <c r="P19" s="32"/>
      <c r="Q19" s="33">
        <f>491.46+503.27</f>
        <v>994.73</v>
      </c>
      <c r="R19" s="33">
        <v>458.76</v>
      </c>
      <c r="S19" s="32"/>
      <c r="T19" s="33">
        <f>372.03+237.88</f>
        <v>609.91</v>
      </c>
      <c r="U19" s="33">
        <v>150.87</v>
      </c>
      <c r="V19" s="33">
        <f>0.00+196.35</f>
        <v>196.35</v>
      </c>
      <c r="W19" s="33">
        <v>274.09</v>
      </c>
      <c r="X19" s="33">
        <v>153.63</v>
      </c>
      <c r="Y19" s="33">
        <v>210.78</v>
      </c>
      <c r="Z19" s="33">
        <v>236.6</v>
      </c>
      <c r="AA19" s="33">
        <v>343.32</v>
      </c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1582</v>
      </c>
      <c r="D20" s="50" t="s">
        <v>42</v>
      </c>
      <c r="E20" s="32" t="s">
        <v>3</v>
      </c>
      <c r="F20" s="32" t="s">
        <v>1589</v>
      </c>
      <c r="G20" s="32"/>
      <c r="H20" s="32"/>
      <c r="I20" s="32"/>
      <c r="J20" s="33">
        <v>35.07</v>
      </c>
      <c r="K20" s="33">
        <v>89.48</v>
      </c>
      <c r="L20" s="33">
        <v>74.14</v>
      </c>
      <c r="M20" s="32"/>
      <c r="N20" s="33">
        <v>72.22</v>
      </c>
      <c r="O20" s="33">
        <f>83.48+82.70</f>
        <v>166.18</v>
      </c>
      <c r="P20" s="32"/>
      <c r="Q20" s="33">
        <f>66.78+84.16</f>
        <v>150.94</v>
      </c>
      <c r="R20" s="33">
        <v>83.21</v>
      </c>
      <c r="S20" s="32"/>
      <c r="T20" s="33">
        <f>54.01+53.39</f>
        <v>107.4</v>
      </c>
      <c r="U20" s="33">
        <v>61.12</v>
      </c>
      <c r="V20" s="33">
        <f>93.12+0.00</f>
        <v>93.12</v>
      </c>
      <c r="W20" s="33">
        <v>40.45</v>
      </c>
      <c r="X20" s="33">
        <v>64.3</v>
      </c>
      <c r="Y20" s="33">
        <v>93.6</v>
      </c>
      <c r="Z20" s="33">
        <v>94.46</v>
      </c>
      <c r="AA20" s="33">
        <v>96.37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1582</v>
      </c>
      <c r="D21" s="50" t="s">
        <v>42</v>
      </c>
      <c r="E21" s="32" t="s">
        <v>3</v>
      </c>
      <c r="F21" s="32" t="s">
        <v>1590</v>
      </c>
      <c r="G21" s="32"/>
      <c r="H21" s="32"/>
      <c r="I21" s="32"/>
      <c r="J21" s="33">
        <v>81.5</v>
      </c>
      <c r="K21" s="33">
        <v>81.25</v>
      </c>
      <c r="L21" s="33">
        <v>73.42</v>
      </c>
      <c r="M21" s="32"/>
      <c r="N21" s="33">
        <v>57.76</v>
      </c>
      <c r="O21" s="33">
        <f>48.78+48.91</f>
        <v>97.69</v>
      </c>
      <c r="P21" s="32"/>
      <c r="Q21" s="33">
        <f>51.29+45.32</f>
        <v>96.61</v>
      </c>
      <c r="R21" s="33">
        <v>57.46</v>
      </c>
      <c r="S21" s="32"/>
      <c r="T21" s="33">
        <f>78.49+62.18</f>
        <v>140.67</v>
      </c>
      <c r="U21" s="33">
        <v>73.48</v>
      </c>
      <c r="V21" s="33">
        <f>0.00+66.78</f>
        <v>66.78</v>
      </c>
      <c r="W21" s="33">
        <v>54.91</v>
      </c>
      <c r="X21" s="33">
        <v>71.7</v>
      </c>
      <c r="Y21" s="33">
        <v>61.84</v>
      </c>
      <c r="Z21" s="33">
        <v>51.42</v>
      </c>
      <c r="AA21" s="33">
        <v>56.62</v>
      </c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1582</v>
      </c>
      <c r="D22" s="50" t="s">
        <v>42</v>
      </c>
      <c r="E22" s="32" t="s">
        <v>3</v>
      </c>
      <c r="F22" s="32" t="s">
        <v>1591</v>
      </c>
      <c r="G22" s="32"/>
      <c r="H22" s="32"/>
      <c r="I22" s="32"/>
      <c r="J22" s="33">
        <v>75.49</v>
      </c>
      <c r="K22" s="33">
        <v>95.49</v>
      </c>
      <c r="L22" s="33">
        <v>92.53</v>
      </c>
      <c r="M22" s="32"/>
      <c r="N22" s="33">
        <v>78.12</v>
      </c>
      <c r="O22" s="33">
        <f>73.61+74.53</f>
        <v>148.14</v>
      </c>
      <c r="P22" s="32"/>
      <c r="Q22" s="33">
        <f>78.87+72.52</f>
        <v>151.39</v>
      </c>
      <c r="R22" s="33">
        <v>57.32</v>
      </c>
      <c r="S22" s="32"/>
      <c r="T22" s="33">
        <f>39.71+55.87</f>
        <v>95.58</v>
      </c>
      <c r="U22" s="33">
        <v>61.12</v>
      </c>
      <c r="V22" s="33">
        <f>65.48+0.00</f>
        <v>65.48</v>
      </c>
      <c r="W22" s="33">
        <v>54.04</v>
      </c>
      <c r="X22" s="33">
        <v>53.01</v>
      </c>
      <c r="Y22" s="33">
        <v>73.6</v>
      </c>
      <c r="Z22" s="33">
        <v>77.66</v>
      </c>
      <c r="AA22" s="33">
        <v>89.83</v>
      </c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1582</v>
      </c>
      <c r="D23" s="50" t="s">
        <v>42</v>
      </c>
      <c r="E23" s="32" t="s">
        <v>3</v>
      </c>
      <c r="F23" s="32" t="s">
        <v>1592</v>
      </c>
      <c r="G23" s="32"/>
      <c r="H23" s="32"/>
      <c r="I23" s="32"/>
      <c r="J23" s="33">
        <v>72.93</v>
      </c>
      <c r="K23" s="33">
        <v>72.81</v>
      </c>
      <c r="L23" s="33">
        <v>72.9</v>
      </c>
      <c r="M23" s="32"/>
      <c r="N23" s="33">
        <v>59.46</v>
      </c>
      <c r="O23" s="33">
        <f>53.26+53.26</f>
        <v>106.52</v>
      </c>
      <c r="P23" s="32"/>
      <c r="Q23" s="33">
        <f>53.26+48.02</f>
        <v>101.28</v>
      </c>
      <c r="R23" s="33">
        <v>53.26</v>
      </c>
      <c r="S23" s="32"/>
      <c r="T23" s="33">
        <f>53.26+53.26</f>
        <v>106.52</v>
      </c>
      <c r="U23" s="33">
        <v>53.26</v>
      </c>
      <c r="V23" s="33">
        <v>94.17</v>
      </c>
      <c r="W23" s="33">
        <v>94.09</v>
      </c>
      <c r="X23" s="33">
        <v>94.27</v>
      </c>
      <c r="Y23" s="33">
        <v>94.27</v>
      </c>
      <c r="Z23" s="33">
        <v>94.27</v>
      </c>
      <c r="AA23" s="33">
        <v>94.27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85</v>
      </c>
      <c r="E25" s="21"/>
      <c r="F25" s="21"/>
      <c r="G25" s="22">
        <f>SUM(G15:G23)</f>
      </c>
      <c r="H25" s="22">
        <f>SUM(H15:H23)</f>
      </c>
      <c r="I25" s="22">
        <f>SUM(I15:I23)</f>
      </c>
      <c r="J25" s="22">
        <f>SUM(J15:J23)</f>
      </c>
      <c r="K25" s="22">
        <f>SUM(K15:K23)</f>
      </c>
      <c r="L25" s="22">
        <f>SUM(L15:L23)</f>
      </c>
      <c r="M25" s="22">
        <f>SUM(M15:M23)</f>
      </c>
      <c r="N25" s="22">
        <f>SUM(N15:N23)</f>
      </c>
      <c r="O25" s="22">
        <f>SUM(O15:O23)</f>
      </c>
      <c r="P25" s="22">
        <f>SUM(P15:P23)</f>
      </c>
      <c r="Q25" s="22">
        <f>SUM(Q15:Q23)</f>
      </c>
      <c r="R25" s="22">
        <f>SUM(R15:R23)</f>
      </c>
      <c r="S25" s="22">
        <f>SUM(S15:S23)</f>
      </c>
      <c r="T25" s="22">
        <f>SUM(T15:T23)</f>
      </c>
      <c r="U25" s="22">
        <f>SUM(U15:U23)</f>
      </c>
      <c r="V25" s="22">
        <f>SUM(V15:V23)</f>
      </c>
      <c r="W25" s="22">
        <f>SUM(W15:W23)</f>
      </c>
      <c r="X25" s="22">
        <f>SUM(X15:X23)</f>
      </c>
      <c r="Y25" s="22">
        <f>SUM(Y15:Y23)</f>
      </c>
      <c r="Z25" s="22">
        <f>SUM(Z15:Z23)</f>
      </c>
      <c r="AA25" s="22">
        <f>SUM(AA15:AA23)</f>
      </c>
      <c r="AB25" s="22">
        <f>SUM(AB15:AB23)</f>
      </c>
      <c r="AC25" s="22">
        <f>SUM(AC15:AC23)</f>
      </c>
      <c r="AD25" s="22">
        <f>SUM(AD15:AD23)</f>
      </c>
      <c r="AE25" s="22">
        <f>SUM(AE15:AE23)</f>
      </c>
      <c r="AF25" s="22">
        <f>SUM(AF15:AF23)</f>
      </c>
      <c r="AG25" s="22">
        <f>SUM(AG15:AG23)</f>
      </c>
      <c r="AH25" s="22">
        <f>SUM(AH15:AH23)</f>
      </c>
      <c r="AI25" s="22">
        <f>SUM(AI15:AI23)</f>
      </c>
      <c r="AJ25" s="22">
        <f>SUM(AJ15:AJ23)</f>
      </c>
      <c r="AK25" s="22">
        <f>SUM(AK15:AK23)</f>
      </c>
      <c r="AL25" s="22">
        <f>SUM(AL15:AL23)</f>
      </c>
      <c r="AM25" s="23"/>
    </row>
    <row r="27" ht="13.5" customHeight="1" spans="2:39" x14ac:dyDescent="0.25">
      <c r="B27" s="46"/>
      <c r="C27" s="28"/>
      <c r="D27" s="47" t="s">
        <v>43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1582</v>
      </c>
      <c r="D28" s="50" t="s">
        <v>43</v>
      </c>
      <c r="E28" s="32" t="s">
        <v>3</v>
      </c>
      <c r="F28" s="32" t="s">
        <v>1593</v>
      </c>
      <c r="G28" s="32"/>
      <c r="H28" s="32"/>
      <c r="I28" s="32"/>
      <c r="J28" s="33">
        <f>8956.11+5266.05</f>
        <v>14222.16</v>
      </c>
      <c r="K28" s="33">
        <f>8350.99+4911.41</f>
        <v>13262.4</v>
      </c>
      <c r="L28" s="33">
        <f>9483.15+5574.93</f>
        <v>15058.08</v>
      </c>
      <c r="M28" s="33">
        <f>8887.79+5226.01</f>
        <v>14113.800000000001</v>
      </c>
      <c r="N28" s="33">
        <f>8555.95+5031.53</f>
        <v>13587.48</v>
      </c>
      <c r="O28" s="33">
        <f>10849.55+6375.73</f>
        <v>17225.28</v>
      </c>
      <c r="P28" s="33">
        <f>14987.79+8801.01</f>
        <v>23788.800000000003</v>
      </c>
      <c r="Q28" s="33">
        <f>7929.36+4664.31</f>
        <v>12593.67</v>
      </c>
      <c r="R28" s="33">
        <f>3574.45+2112.04</f>
        <v>5686.49</v>
      </c>
      <c r="S28" s="33">
        <f>25160.62+14768.96+8003.61+4709.16</f>
        <v>52642.350000000006</v>
      </c>
      <c r="T28" s="32"/>
      <c r="U28" s="33">
        <f>10020.97+5892.01</f>
        <v>15912.98</v>
      </c>
      <c r="V28" s="33">
        <f>8858.40+5210.36</f>
        <v>14068.759999999998</v>
      </c>
      <c r="W28" s="33">
        <f>10545.86+6199.78</f>
        <v>16745.64</v>
      </c>
      <c r="X28" s="33">
        <f>8360.92+4918.66</f>
        <v>13279.58</v>
      </c>
      <c r="Y28" s="33">
        <f>8736.14+5138.67+8953.26+5265.98</f>
        <v>28094.05</v>
      </c>
      <c r="Z28" s="33">
        <f>8953.26+5265.98</f>
        <v>14219.24</v>
      </c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89</v>
      </c>
      <c r="E30" s="21"/>
      <c r="F30" s="21"/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2">
        <f>SUM(AK28:AK28)</f>
      </c>
      <c r="AL30" s="22">
        <f>SUM(AL28:AL28)</f>
      </c>
      <c r="AM30" s="23"/>
    </row>
    <row r="32" ht="13.5" customHeight="1" spans="2:39" x14ac:dyDescent="0.25">
      <c r="B32" s="46"/>
      <c r="C32" s="28"/>
      <c r="D32" s="47" t="s">
        <v>44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90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3"/>
    </row>
    <row r="37" ht="12.75" customHeight="1" spans="2:39" x14ac:dyDescent="0.25">
      <c r="B37" s="11" t="s">
        <v>40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>
        <f>G12</f>
      </c>
      <c r="H38" s="18">
        <f>H12</f>
      </c>
      <c r="I38" s="18">
        <f>I12</f>
      </c>
      <c r="J38" s="18">
        <f>J12</f>
      </c>
      <c r="K38" s="18">
        <f>K12</f>
      </c>
      <c r="L38" s="18">
        <f>L12</f>
      </c>
      <c r="M38" s="18">
        <f>M12</f>
      </c>
      <c r="N38" s="18">
        <f>N12</f>
      </c>
      <c r="O38" s="18">
        <f>O12</f>
      </c>
      <c r="P38" s="18">
        <f>P12</f>
      </c>
      <c r="Q38" s="18">
        <f>Q12</f>
      </c>
      <c r="R38" s="18">
        <f>R12</f>
      </c>
      <c r="S38" s="18">
        <f>S12</f>
      </c>
      <c r="T38" s="18">
        <f>T12</f>
      </c>
      <c r="U38" s="18">
        <f>U12</f>
      </c>
      <c r="V38" s="18">
        <f>V12</f>
      </c>
      <c r="W38" s="18">
        <f>W12</f>
      </c>
      <c r="X38" s="18">
        <f>X12</f>
      </c>
      <c r="Y38" s="18">
        <f>Y12</f>
      </c>
      <c r="Z38" s="18">
        <f>Z12</f>
      </c>
      <c r="AA38" s="18">
        <f>AA12</f>
      </c>
      <c r="AB38" s="18">
        <f>AB12</f>
      </c>
      <c r="AC38" s="18">
        <f>AC12</f>
      </c>
      <c r="AD38" s="18">
        <f>AD12</f>
      </c>
      <c r="AE38" s="18">
        <f>AE12</f>
      </c>
      <c r="AF38" s="18">
        <f>AF12</f>
      </c>
      <c r="AG38" s="18">
        <f>AG12</f>
      </c>
      <c r="AH38" s="18">
        <f>AH12</f>
      </c>
      <c r="AI38" s="18">
        <f>AI12</f>
      </c>
      <c r="AJ38" s="18">
        <f>AJ12</f>
      </c>
      <c r="AK38" s="18">
        <f>AK12</f>
      </c>
      <c r="AL38" s="18">
        <f>AL12</f>
      </c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>
        <f>G25</f>
      </c>
      <c r="H39" s="18">
        <f>H25</f>
      </c>
      <c r="I39" s="18">
        <f>I25</f>
      </c>
      <c r="J39" s="18">
        <f>J25</f>
      </c>
      <c r="K39" s="18">
        <f>K25</f>
      </c>
      <c r="L39" s="18">
        <f>L25</f>
      </c>
      <c r="M39" s="18">
        <f>M25</f>
      </c>
      <c r="N39" s="18">
        <f>N25</f>
      </c>
      <c r="O39" s="18">
        <f>O25</f>
      </c>
      <c r="P39" s="18">
        <f>P25</f>
      </c>
      <c r="Q39" s="18">
        <f>Q25</f>
      </c>
      <c r="R39" s="18">
        <f>R25</f>
      </c>
      <c r="S39" s="18">
        <f>S25</f>
      </c>
      <c r="T39" s="18">
        <f>T25</f>
      </c>
      <c r="U39" s="18">
        <f>U25</f>
      </c>
      <c r="V39" s="18">
        <f>V25</f>
      </c>
      <c r="W39" s="18">
        <f>W25</f>
      </c>
      <c r="X39" s="18">
        <f>X25</f>
      </c>
      <c r="Y39" s="18">
        <f>Y25</f>
      </c>
      <c r="Z39" s="18">
        <f>Z25</f>
      </c>
      <c r="AA39" s="18">
        <f>AA25</f>
      </c>
      <c r="AB39" s="18">
        <f>AB25</f>
      </c>
      <c r="AC39" s="18">
        <f>AC25</f>
      </c>
      <c r="AD39" s="18">
        <f>AD25</f>
      </c>
      <c r="AE39" s="18">
        <f>AE25</f>
      </c>
      <c r="AF39" s="18">
        <f>AF25</f>
      </c>
      <c r="AG39" s="18">
        <f>AG25</f>
      </c>
      <c r="AH39" s="18">
        <f>AH25</f>
      </c>
      <c r="AI39" s="18">
        <f>AI25</f>
      </c>
      <c r="AJ39" s="18">
        <f>AJ25</f>
      </c>
      <c r="AK39" s="18">
        <f>AK25</f>
      </c>
      <c r="AL39" s="18">
        <f>AL25</f>
      </c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>
        <f>G30</f>
      </c>
      <c r="H40" s="18">
        <f>H30</f>
      </c>
      <c r="I40" s="18">
        <f>I30</f>
      </c>
      <c r="J40" s="18">
        <f>J30</f>
      </c>
      <c r="K40" s="18">
        <f>K30</f>
      </c>
      <c r="L40" s="18">
        <f>L30</f>
      </c>
      <c r="M40" s="18">
        <f>M30</f>
      </c>
      <c r="N40" s="18">
        <f>N30</f>
      </c>
      <c r="O40" s="18">
        <f>O30</f>
      </c>
      <c r="P40" s="18">
        <f>P30</f>
      </c>
      <c r="Q40" s="18">
        <f>Q30</f>
      </c>
      <c r="R40" s="18">
        <f>R30</f>
      </c>
      <c r="S40" s="18">
        <f>S30</f>
      </c>
      <c r="T40" s="18">
        <f>T30</f>
      </c>
      <c r="U40" s="18">
        <f>U30</f>
      </c>
      <c r="V40" s="18">
        <f>V30</f>
      </c>
      <c r="W40" s="18">
        <f>W30</f>
      </c>
      <c r="X40" s="18">
        <f>X30</f>
      </c>
      <c r="Y40" s="18">
        <f>Y30</f>
      </c>
      <c r="Z40" s="18">
        <f>Z30</f>
      </c>
      <c r="AA40" s="18">
        <f>AA30</f>
      </c>
      <c r="AB40" s="18">
        <f>AB30</f>
      </c>
      <c r="AC40" s="18">
        <f>AC30</f>
      </c>
      <c r="AD40" s="18">
        <f>AD30</f>
      </c>
      <c r="AE40" s="18">
        <f>AE30</f>
      </c>
      <c r="AF40" s="18">
        <f>AF30</f>
      </c>
      <c r="AG40" s="18">
        <f>AG30</f>
      </c>
      <c r="AH40" s="18">
        <f>AH30</f>
      </c>
      <c r="AI40" s="18">
        <f>AI30</f>
      </c>
      <c r="AJ40" s="18">
        <f>AJ30</f>
      </c>
      <c r="AK40" s="18">
        <f>AK30</f>
      </c>
      <c r="AL40" s="18">
        <f>AL30</f>
      </c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>
        <f>G34</f>
      </c>
      <c r="H41" s="18">
        <f>H34</f>
      </c>
      <c r="I41" s="18">
        <f>I34</f>
      </c>
      <c r="J41" s="18">
        <f>J34</f>
      </c>
      <c r="K41" s="18">
        <f>K34</f>
      </c>
      <c r="L41" s="18">
        <f>L34</f>
      </c>
      <c r="M41" s="18">
        <f>M34</f>
      </c>
      <c r="N41" s="18">
        <f>N34</f>
      </c>
      <c r="O41" s="18">
        <f>O34</f>
      </c>
      <c r="P41" s="18">
        <f>P34</f>
      </c>
      <c r="Q41" s="18">
        <f>Q34</f>
      </c>
      <c r="R41" s="18">
        <f>R34</f>
      </c>
      <c r="S41" s="18">
        <f>S34</f>
      </c>
      <c r="T41" s="18">
        <f>T34</f>
      </c>
      <c r="U41" s="18">
        <f>U34</f>
      </c>
      <c r="V41" s="18">
        <f>V34</f>
      </c>
      <c r="W41" s="18">
        <f>W34</f>
      </c>
      <c r="X41" s="18">
        <f>X34</f>
      </c>
      <c r="Y41" s="18">
        <f>Y34</f>
      </c>
      <c r="Z41" s="18">
        <f>Z34</f>
      </c>
      <c r="AA41" s="18">
        <f>AA34</f>
      </c>
      <c r="AB41" s="18">
        <f>AB34</f>
      </c>
      <c r="AC41" s="18">
        <f>AC34</f>
      </c>
      <c r="AD41" s="18">
        <f>AD34</f>
      </c>
      <c r="AE41" s="18">
        <f>AE34</f>
      </c>
      <c r="AF41" s="18">
        <f>AF34</f>
      </c>
      <c r="AG41" s="18">
        <f>AG34</f>
      </c>
      <c r="AH41" s="18">
        <f>AH34</f>
      </c>
      <c r="AI41" s="18">
        <f>AI34</f>
      </c>
      <c r="AJ41" s="18">
        <f>AJ34</f>
      </c>
      <c r="AK41" s="18">
        <f>AK34</f>
      </c>
      <c r="AL41" s="18">
        <f>AL34</f>
      </c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46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47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5">
        <f>G52+G53+G54+G55</f>
      </c>
      <c r="H56" s="25">
        <f>H52+H53+H54+H55</f>
      </c>
      <c r="I56" s="25">
        <f>I52+I53+I54+I55</f>
      </c>
      <c r="J56" s="25">
        <f>J52+J53+J54+J55</f>
      </c>
      <c r="K56" s="25">
        <f>K52+K53+K54+K55</f>
      </c>
      <c r="L56" s="25">
        <f>L52+L53+L54+L55</f>
      </c>
      <c r="M56" s="25">
        <f>M52+M53+M54+M55</f>
      </c>
      <c r="N56" s="25">
        <f>N52+N53+N54+N55</f>
      </c>
      <c r="O56" s="25">
        <f>O52+O53+O54+O55</f>
      </c>
      <c r="P56" s="25">
        <f>P52+P53+P54+P55</f>
      </c>
      <c r="Q56" s="25">
        <f>Q52+Q53+Q54+Q55</f>
      </c>
      <c r="R56" s="25">
        <f>R52+R53+R54+R55</f>
      </c>
      <c r="S56" s="25">
        <f>S52+S53+S54+S55</f>
      </c>
      <c r="T56" s="25">
        <f>T52+T53+T54+T55</f>
      </c>
      <c r="U56" s="25">
        <f>U52+U53+U54+U55</f>
      </c>
      <c r="V56" s="25">
        <f>V52+V53+V54+V55</f>
      </c>
      <c r="W56" s="25">
        <f>W52+W53+W54+W55</f>
      </c>
      <c r="X56" s="25">
        <f>X52+X53+X54+X55</f>
      </c>
      <c r="Y56" s="25">
        <f>Y52+Y53+Y54+Y55</f>
      </c>
      <c r="Z56" s="25">
        <f>Z52+Z53+Z54+Z55</f>
      </c>
      <c r="AA56" s="25">
        <f>AA52+AA53+AA54+AA55</f>
      </c>
      <c r="AB56" s="25">
        <f>AB52+AB53+AB54+AB55</f>
      </c>
      <c r="AC56" s="25">
        <f>AC52+AC53+AC54+AC55</f>
      </c>
      <c r="AD56" s="25">
        <f>AD52+AD53+AD54+AD55</f>
      </c>
      <c r="AE56" s="25">
        <f>AE52+AE53+AE54+AE55</f>
      </c>
      <c r="AF56" s="25">
        <f>AF52+AF53+AF54+AF55</f>
      </c>
      <c r="AG56" s="25">
        <f>AG52+AG53+AG54+AG55</f>
      </c>
      <c r="AH56" s="25">
        <f>AH52+AH53+AH54+AH55</f>
      </c>
      <c r="AI56" s="25">
        <f>AI52+AI53+AI54+AI55</f>
      </c>
      <c r="AJ56" s="25">
        <f>AJ52+AJ53+AJ54+AJ55</f>
      </c>
      <c r="AK56" s="25">
        <f>AK52+AK53+AK54+AK55</f>
      </c>
      <c r="AL56" s="25">
        <f>AL52+AL53+AL54+AL55</f>
      </c>
      <c r="AM56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1611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1612</v>
      </c>
      <c r="E13" s="32"/>
      <c r="F13" s="32"/>
      <c r="G13" s="32"/>
      <c r="H13" s="32"/>
      <c r="I13" s="33">
        <v>35.02</v>
      </c>
      <c r="J13" s="33">
        <v>35.44</v>
      </c>
      <c r="K13" s="33">
        <v>32.42</v>
      </c>
      <c r="L13" s="33">
        <v>32.07</v>
      </c>
      <c r="M13" s="33">
        <v>35.06</v>
      </c>
      <c r="N13" s="36">
        <f>0.00+37.73</f>
        <v>37.73</v>
      </c>
      <c r="O13" s="33">
        <v>38.08</v>
      </c>
      <c r="P13" s="33">
        <v>36.95</v>
      </c>
      <c r="Q13" s="33">
        <v>37.27</v>
      </c>
      <c r="R13" s="36">
        <f>35.70+33.50</f>
        <v>69.2</v>
      </c>
      <c r="S13" s="32"/>
      <c r="T13" s="33">
        <v>32.61</v>
      </c>
      <c r="U13" s="33">
        <v>33.08</v>
      </c>
      <c r="V13" s="33">
        <v>34.16</v>
      </c>
      <c r="W13" s="33">
        <v>31.94</v>
      </c>
      <c r="X13" s="36">
        <f>0.00+34.16</f>
        <v>34.16</v>
      </c>
      <c r="Y13" s="33">
        <v>39.22</v>
      </c>
      <c r="Z13" s="33">
        <v>47.99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1613</v>
      </c>
      <c r="E14" s="33">
        <v>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6">
        <f>16.00+0.00+0.00</f>
        <v>16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1614</v>
      </c>
      <c r="E15" s="32"/>
      <c r="F15" s="32"/>
      <c r="G15" s="32"/>
      <c r="H15" s="32"/>
      <c r="I15" s="33">
        <v>283.34</v>
      </c>
      <c r="J15" s="33">
        <v>285.43</v>
      </c>
      <c r="K15" s="33">
        <v>285.43</v>
      </c>
      <c r="L15" s="33">
        <v>280.38</v>
      </c>
      <c r="M15" s="33">
        <v>278.12</v>
      </c>
      <c r="N15" s="33">
        <v>278.12</v>
      </c>
      <c r="O15" s="33">
        <v>278.12</v>
      </c>
      <c r="P15" s="33">
        <v>276.13</v>
      </c>
      <c r="Q15" s="33">
        <v>278.12</v>
      </c>
      <c r="R15" s="36">
        <f>278.12+278.12</f>
        <v>556.24</v>
      </c>
      <c r="S15" s="32"/>
      <c r="T15" s="33">
        <v>278.12</v>
      </c>
      <c r="U15" s="33">
        <v>293.67</v>
      </c>
      <c r="V15" s="33">
        <v>295.58</v>
      </c>
      <c r="W15" s="33">
        <v>295.58</v>
      </c>
      <c r="X15" s="33">
        <v>295.58</v>
      </c>
      <c r="Y15" s="33">
        <v>295.58</v>
      </c>
      <c r="Z15" s="36">
        <f>295.58+0.00</f>
        <v>295.58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1615</v>
      </c>
      <c r="E16" s="32"/>
      <c r="F16" s="32"/>
      <c r="G16" s="32"/>
      <c r="H16" s="32"/>
      <c r="I16" s="33">
        <v>29.81</v>
      </c>
      <c r="J16" s="33">
        <v>29.81</v>
      </c>
      <c r="K16" s="33">
        <v>29.81</v>
      </c>
      <c r="L16" s="33">
        <v>29.81</v>
      </c>
      <c r="M16" s="33">
        <v>29.81</v>
      </c>
      <c r="N16" s="33">
        <v>29.81</v>
      </c>
      <c r="O16" s="33">
        <v>29.81</v>
      </c>
      <c r="P16" s="33">
        <v>29.81</v>
      </c>
      <c r="Q16" s="33">
        <v>29.81</v>
      </c>
      <c r="R16" s="36">
        <f>29.81+29.81</f>
        <v>59.62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1616</v>
      </c>
      <c r="E17" s="32"/>
      <c r="F17" s="32"/>
      <c r="G17" s="32"/>
      <c r="H17" s="32"/>
      <c r="I17" s="33">
        <v>227.6</v>
      </c>
      <c r="J17" s="33">
        <v>292.57</v>
      </c>
      <c r="K17" s="33">
        <v>269.1</v>
      </c>
      <c r="L17" s="33">
        <v>193.42</v>
      </c>
      <c r="M17" s="33">
        <v>142.82</v>
      </c>
      <c r="N17" s="33">
        <v>194.72</v>
      </c>
      <c r="O17" s="33">
        <v>178.16</v>
      </c>
      <c r="P17" s="33">
        <v>153.54</v>
      </c>
      <c r="Q17" s="33">
        <v>152.67</v>
      </c>
      <c r="R17" s="36">
        <f>110.19+119.11</f>
        <v>229.3</v>
      </c>
      <c r="S17" s="32"/>
      <c r="T17" s="33">
        <v>183.1</v>
      </c>
      <c r="U17" s="33">
        <v>271.86</v>
      </c>
      <c r="V17" s="33">
        <v>357.18</v>
      </c>
      <c r="W17" s="33">
        <v>221.86</v>
      </c>
      <c r="X17" s="33">
        <v>163.5</v>
      </c>
      <c r="Y17" s="33">
        <v>73.86</v>
      </c>
      <c r="Z17" s="36">
        <f>0.00+125.10</f>
        <v>125.1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1617</v>
      </c>
      <c r="E18" s="32"/>
      <c r="F18" s="32"/>
      <c r="G18" s="32"/>
      <c r="H18" s="32"/>
      <c r="I18" s="33">
        <v>1346.35</v>
      </c>
      <c r="J18" s="33">
        <v>1088.54</v>
      </c>
      <c r="K18" s="33">
        <v>1084.87</v>
      </c>
      <c r="L18" s="33">
        <v>963.91</v>
      </c>
      <c r="M18" s="33">
        <v>697.2</v>
      </c>
      <c r="N18" s="33">
        <v>602.39</v>
      </c>
      <c r="O18" s="33">
        <v>579.23</v>
      </c>
      <c r="P18" s="33">
        <v>521.94</v>
      </c>
      <c r="Q18" s="33">
        <v>578.01</v>
      </c>
      <c r="R18" s="36">
        <f>591.44+708.72</f>
        <v>1300.16</v>
      </c>
      <c r="S18" s="32"/>
      <c r="T18" s="33">
        <v>1087.85</v>
      </c>
      <c r="U18" s="33">
        <v>1099.31</v>
      </c>
      <c r="V18" s="33">
        <v>1065.2</v>
      </c>
      <c r="W18" s="33">
        <v>873.83</v>
      </c>
      <c r="X18" s="33">
        <v>865.03</v>
      </c>
      <c r="Y18" s="33">
        <v>631.74</v>
      </c>
      <c r="Z18" s="36">
        <f>533.63+0.00</f>
        <v>533.63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1618</v>
      </c>
      <c r="E19" s="32"/>
      <c r="F19" s="32"/>
      <c r="G19" s="32"/>
      <c r="H19" s="32"/>
      <c r="I19" s="33">
        <v>33.53</v>
      </c>
      <c r="J19" s="33">
        <v>34.29</v>
      </c>
      <c r="K19" s="33">
        <v>35.09</v>
      </c>
      <c r="L19" s="33">
        <v>34.86</v>
      </c>
      <c r="M19" s="33">
        <v>40.09</v>
      </c>
      <c r="N19" s="36">
        <f>0.00+50.68</f>
        <v>50.68</v>
      </c>
      <c r="O19" s="33">
        <v>53.12</v>
      </c>
      <c r="P19" s="33">
        <v>50.56</v>
      </c>
      <c r="Q19" s="33">
        <v>52.13</v>
      </c>
      <c r="R19" s="36">
        <f>43.02+36.10</f>
        <v>79.12</v>
      </c>
      <c r="S19" s="32"/>
      <c r="T19" s="33">
        <v>31.81</v>
      </c>
      <c r="U19" s="33">
        <v>32.31</v>
      </c>
      <c r="V19" s="33">
        <v>37.78</v>
      </c>
      <c r="W19" s="33">
        <v>36.53</v>
      </c>
      <c r="X19" s="36">
        <f>0.00+40.45</f>
        <v>40.45</v>
      </c>
      <c r="Y19" s="33">
        <v>46.75</v>
      </c>
      <c r="Z19" s="33">
        <v>33.34</v>
      </c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1619</v>
      </c>
      <c r="E20" s="32"/>
      <c r="F20" s="32"/>
      <c r="G20" s="32"/>
      <c r="H20" s="32"/>
      <c r="I20" s="33">
        <v>29.81</v>
      </c>
      <c r="J20" s="33">
        <v>29.81</v>
      </c>
      <c r="K20" s="33">
        <v>29.81</v>
      </c>
      <c r="L20" s="33">
        <v>29.81</v>
      </c>
      <c r="M20" s="33">
        <v>29.81</v>
      </c>
      <c r="N20" s="33">
        <v>29.81</v>
      </c>
      <c r="O20" s="33">
        <v>29.81</v>
      </c>
      <c r="P20" s="33">
        <v>29.81</v>
      </c>
      <c r="Q20" s="33">
        <v>29.81</v>
      </c>
      <c r="R20" s="36">
        <f>29.81+29.81</f>
        <v>59.62</v>
      </c>
      <c r="S20" s="32"/>
      <c r="T20" s="33">
        <v>29.81</v>
      </c>
      <c r="U20" s="33">
        <v>29.81</v>
      </c>
      <c r="V20" s="33">
        <v>29.81</v>
      </c>
      <c r="W20" s="33">
        <v>29.81</v>
      </c>
      <c r="X20" s="33">
        <v>29.81</v>
      </c>
      <c r="Y20" s="33">
        <v>29.81</v>
      </c>
      <c r="Z20" s="33">
        <v>29.81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1620</v>
      </c>
      <c r="E21" s="32"/>
      <c r="F21" s="32"/>
      <c r="G21" s="32"/>
      <c r="H21" s="32"/>
      <c r="I21" s="33">
        <v>29.81</v>
      </c>
      <c r="J21" s="33">
        <v>29.81</v>
      </c>
      <c r="K21" s="36">
        <f>0.00+29.81</f>
        <v>29.81</v>
      </c>
      <c r="L21" s="33">
        <v>29.81</v>
      </c>
      <c r="M21" s="33">
        <v>29.81</v>
      </c>
      <c r="N21" s="33">
        <v>29.81</v>
      </c>
      <c r="O21" s="33">
        <v>29.81</v>
      </c>
      <c r="P21" s="33">
        <v>29.81</v>
      </c>
      <c r="Q21" s="33">
        <v>29.81</v>
      </c>
      <c r="R21" s="36">
        <f>29.81+29.81</f>
        <v>59.62</v>
      </c>
      <c r="S21" s="32"/>
      <c r="T21" s="33">
        <v>29.81</v>
      </c>
      <c r="U21" s="33">
        <v>29.81</v>
      </c>
      <c r="V21" s="36">
        <f>0.00+29.81</f>
        <v>29.81</v>
      </c>
      <c r="W21" s="33">
        <v>32.93</v>
      </c>
      <c r="X21" s="33">
        <v>33.62</v>
      </c>
      <c r="Y21" s="33">
        <v>52.78</v>
      </c>
      <c r="Z21" s="33">
        <v>89.36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1621</v>
      </c>
      <c r="E22" s="32"/>
      <c r="F22" s="32"/>
      <c r="G22" s="32"/>
      <c r="H22" s="32"/>
      <c r="I22" s="33">
        <v>167.6</v>
      </c>
      <c r="J22" s="33">
        <v>156.9</v>
      </c>
      <c r="K22" s="36">
        <f>203.92+128.91</f>
        <v>332.83</v>
      </c>
      <c r="L22" s="32"/>
      <c r="M22" s="32"/>
      <c r="N22" s="32"/>
      <c r="O22" s="32"/>
      <c r="P22" s="32"/>
      <c r="Q22" s="32"/>
      <c r="R22" s="33">
        <v>285.44</v>
      </c>
      <c r="S22" s="32"/>
      <c r="T22" s="33">
        <v>231.23</v>
      </c>
      <c r="U22" s="33">
        <v>270.42</v>
      </c>
      <c r="V22" s="33">
        <v>316.68</v>
      </c>
      <c r="W22" s="33">
        <v>243.11</v>
      </c>
      <c r="X22" s="33">
        <v>308.5</v>
      </c>
      <c r="Y22" s="33">
        <v>367.82</v>
      </c>
      <c r="Z22" s="33">
        <v>474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1622</v>
      </c>
      <c r="E23" s="32"/>
      <c r="F23" s="32"/>
      <c r="G23" s="32"/>
      <c r="H23" s="32"/>
      <c r="I23" s="33">
        <v>108.1</v>
      </c>
      <c r="J23" s="33">
        <v>100.17</v>
      </c>
      <c r="K23" s="33">
        <v>68.5</v>
      </c>
      <c r="L23" s="33">
        <v>58.46</v>
      </c>
      <c r="M23" s="33">
        <v>51.82</v>
      </c>
      <c r="N23" s="33">
        <v>50.35</v>
      </c>
      <c r="O23" s="33">
        <v>51.31</v>
      </c>
      <c r="P23" s="33">
        <v>48.76</v>
      </c>
      <c r="Q23" s="33">
        <v>60.89</v>
      </c>
      <c r="R23" s="36">
        <f>56.77+54.41</f>
        <v>111.18</v>
      </c>
      <c r="S23" s="32"/>
      <c r="T23" s="33">
        <v>68.43</v>
      </c>
      <c r="U23" s="33">
        <v>61.44</v>
      </c>
      <c r="V23" s="33">
        <v>56.45</v>
      </c>
      <c r="W23" s="33">
        <v>53.42</v>
      </c>
      <c r="X23" s="33">
        <v>51.33</v>
      </c>
      <c r="Y23" s="33">
        <v>49.64</v>
      </c>
      <c r="Z23" s="36">
        <f>0.00+49.79</f>
        <v>49.79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1623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6">
        <f>51.92+0.00</f>
        <v>51.92</v>
      </c>
      <c r="S24" s="33">
        <v>34.86</v>
      </c>
      <c r="T24" s="33">
        <v>28.84</v>
      </c>
      <c r="U24" s="33">
        <v>29.91</v>
      </c>
      <c r="V24" s="33">
        <v>74.36</v>
      </c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1624</v>
      </c>
      <c r="E25" s="32"/>
      <c r="F25" s="32"/>
      <c r="G25" s="32"/>
      <c r="H25" s="32"/>
      <c r="I25" s="32"/>
      <c r="J25" s="33">
        <v>11</v>
      </c>
      <c r="K25" s="33">
        <v>29.81</v>
      </c>
      <c r="L25" s="33">
        <v>29.81</v>
      </c>
      <c r="M25" s="36">
        <f>0.00+29.81</f>
        <v>29.81</v>
      </c>
      <c r="N25" s="33">
        <v>29.81</v>
      </c>
      <c r="O25" s="33">
        <v>29.81</v>
      </c>
      <c r="P25" s="33">
        <v>34.81</v>
      </c>
      <c r="Q25" s="33">
        <v>29.81</v>
      </c>
      <c r="R25" s="36">
        <f>29.81+29.81</f>
        <v>59.62</v>
      </c>
      <c r="S25" s="32"/>
      <c r="T25" s="33">
        <v>29.81</v>
      </c>
      <c r="U25" s="33">
        <v>29.81</v>
      </c>
      <c r="V25" s="33">
        <v>29.81</v>
      </c>
      <c r="W25" s="33">
        <v>34.75</v>
      </c>
      <c r="X25" s="33">
        <v>41.02</v>
      </c>
      <c r="Y25" s="33">
        <v>50.45</v>
      </c>
      <c r="Z25" s="33">
        <v>65.57</v>
      </c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1625</v>
      </c>
      <c r="E26" s="32"/>
      <c r="F26" s="32"/>
      <c r="G26" s="32"/>
      <c r="H26" s="32"/>
      <c r="I26" s="33">
        <v>74.89</v>
      </c>
      <c r="J26" s="33">
        <v>79.38</v>
      </c>
      <c r="K26" s="33">
        <v>77.36</v>
      </c>
      <c r="L26" s="33">
        <v>75.54</v>
      </c>
      <c r="M26" s="36">
        <f>51.68+0.00</f>
        <v>51.68</v>
      </c>
      <c r="N26" s="33">
        <v>54.15</v>
      </c>
      <c r="O26" s="33">
        <v>54.56</v>
      </c>
      <c r="P26" s="33">
        <v>50.53</v>
      </c>
      <c r="Q26" s="33">
        <v>53.2</v>
      </c>
      <c r="R26" s="36">
        <f>56.34+59.08</f>
        <v>115.42</v>
      </c>
      <c r="S26" s="32"/>
      <c r="T26" s="33">
        <v>67.72</v>
      </c>
      <c r="U26" s="33">
        <v>76.25</v>
      </c>
      <c r="V26" s="33">
        <v>85.93</v>
      </c>
      <c r="W26" s="33">
        <v>77.01</v>
      </c>
      <c r="X26" s="33">
        <v>72.31</v>
      </c>
      <c r="Y26" s="33">
        <v>57.53</v>
      </c>
      <c r="Z26" s="33">
        <v>58.41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1626</v>
      </c>
      <c r="E27" s="33">
        <v>0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>
        <v>0</v>
      </c>
      <c r="Q27" s="32"/>
      <c r="R27" s="36">
        <f>34.80+17.81</f>
        <v>52.61</v>
      </c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1627</v>
      </c>
      <c r="E28" s="32"/>
      <c r="F28" s="32"/>
      <c r="G28" s="32"/>
      <c r="H28" s="32"/>
      <c r="I28" s="32"/>
      <c r="J28" s="32"/>
      <c r="K28" s="32"/>
      <c r="L28" s="32"/>
      <c r="M28" s="33">
        <v>51.53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1628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>
        <v>44.89</v>
      </c>
      <c r="Q29" s="33">
        <v>55.96</v>
      </c>
      <c r="R29" s="36">
        <f>47.72+38.79</f>
        <v>86.50999999999999</v>
      </c>
      <c r="S29" s="32"/>
      <c r="T29" s="33">
        <v>35.27</v>
      </c>
      <c r="U29" s="33">
        <v>36.21</v>
      </c>
      <c r="V29" s="33">
        <v>39.06</v>
      </c>
      <c r="W29" s="33">
        <v>37.37</v>
      </c>
      <c r="X29" s="33">
        <v>40.67</v>
      </c>
      <c r="Y29" s="33">
        <v>52.78</v>
      </c>
      <c r="Z29" s="33">
        <v>66.94</v>
      </c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1629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3">
        <v>17.33</v>
      </c>
      <c r="R30" s="36">
        <f>38.35+0.00+34.30</f>
        <v>72.65</v>
      </c>
      <c r="S30" s="32"/>
      <c r="T30" s="33">
        <v>30.78</v>
      </c>
      <c r="U30" s="33">
        <v>30.93</v>
      </c>
      <c r="V30" s="33">
        <v>34.56</v>
      </c>
      <c r="W30" s="33">
        <v>33.2</v>
      </c>
      <c r="X30" s="33">
        <v>37.44</v>
      </c>
      <c r="Y30" s="33">
        <v>49.64</v>
      </c>
      <c r="Z30" s="33">
        <v>68.07</v>
      </c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1630</v>
      </c>
      <c r="E31" s="32"/>
      <c r="F31" s="32"/>
      <c r="G31" s="32"/>
      <c r="H31" s="32"/>
      <c r="I31" s="33">
        <v>29.92</v>
      </c>
      <c r="J31" s="33">
        <v>30.26</v>
      </c>
      <c r="K31" s="33">
        <v>30.79</v>
      </c>
      <c r="L31" s="33">
        <v>30.71</v>
      </c>
      <c r="M31" s="33">
        <v>30.45</v>
      </c>
      <c r="N31" s="33">
        <v>30.45</v>
      </c>
      <c r="O31" s="33">
        <v>30.49</v>
      </c>
      <c r="P31" s="33">
        <v>30.43</v>
      </c>
      <c r="Q31" s="33">
        <v>30.56</v>
      </c>
      <c r="R31" s="36">
        <f>30.52+30.61</f>
        <v>61.129999999999995</v>
      </c>
      <c r="S31" s="32"/>
      <c r="T31" s="33">
        <v>30.7</v>
      </c>
      <c r="U31" s="33">
        <v>31.34</v>
      </c>
      <c r="V31" s="33">
        <v>31.03</v>
      </c>
      <c r="W31" s="33">
        <v>30.81</v>
      </c>
      <c r="X31" s="33">
        <v>30.71</v>
      </c>
      <c r="Y31" s="33">
        <v>30.65</v>
      </c>
      <c r="Z31" s="33">
        <v>30.71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1631</v>
      </c>
      <c r="E32" s="36">
        <f>0.00+0.00</f>
        <v>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6">
        <f>0.00+21.97</f>
        <v>21.97</v>
      </c>
      <c r="T32" s="33">
        <v>41.43</v>
      </c>
      <c r="U32" s="33">
        <v>44.33</v>
      </c>
      <c r="V32" s="33">
        <v>46.9</v>
      </c>
      <c r="W32" s="33">
        <v>43.68</v>
      </c>
      <c r="X32" s="33">
        <v>44.68</v>
      </c>
      <c r="Y32" s="33">
        <v>46.4</v>
      </c>
      <c r="Z32" s="33">
        <v>42.54</v>
      </c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1632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6">
        <f>0.00+0.00</f>
        <v>0</v>
      </c>
      <c r="T33" s="33">
        <v>39.58</v>
      </c>
      <c r="U33" s="33">
        <v>35.47</v>
      </c>
      <c r="V33" s="33">
        <v>36.53</v>
      </c>
      <c r="W33" s="33">
        <v>33.62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1633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6">
        <f>11.99+0.00+0.00</f>
        <v>11.99</v>
      </c>
      <c r="R34" s="36">
        <f>43.90+36.46</f>
        <v>80.36</v>
      </c>
      <c r="S34" s="32"/>
      <c r="T34" s="33">
        <v>32.61</v>
      </c>
      <c r="U34" s="33">
        <v>33.12</v>
      </c>
      <c r="V34" s="33">
        <v>35.6</v>
      </c>
      <c r="W34" s="33">
        <v>34.38</v>
      </c>
      <c r="X34" s="33">
        <v>38.39</v>
      </c>
      <c r="Y34" s="33">
        <v>48.38</v>
      </c>
      <c r="Z34" s="33">
        <v>67.22</v>
      </c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1634</v>
      </c>
      <c r="E35" s="32"/>
      <c r="F35" s="32"/>
      <c r="G35" s="32"/>
      <c r="H35" s="32"/>
      <c r="I35" s="33">
        <v>85.26</v>
      </c>
      <c r="J35" s="33">
        <v>87.09</v>
      </c>
      <c r="K35" s="33">
        <v>88.08</v>
      </c>
      <c r="L35" s="33">
        <v>67.91</v>
      </c>
      <c r="M35" s="33">
        <v>29.81</v>
      </c>
      <c r="N35" s="33">
        <v>29.81</v>
      </c>
      <c r="O35" s="33">
        <v>29.81</v>
      </c>
      <c r="P35" s="33">
        <v>29.81</v>
      </c>
      <c r="Q35" s="33">
        <v>29.81</v>
      </c>
      <c r="R35" s="36">
        <f>29.81+29.81</f>
        <v>59.62</v>
      </c>
      <c r="S35" s="32"/>
      <c r="T35" s="33">
        <v>64.45</v>
      </c>
      <c r="U35" s="33">
        <v>87.45</v>
      </c>
      <c r="V35" s="33">
        <v>106.7</v>
      </c>
      <c r="W35" s="33">
        <v>84.01</v>
      </c>
      <c r="X35" s="33">
        <v>64.47</v>
      </c>
      <c r="Y35" s="33">
        <v>29.81</v>
      </c>
      <c r="Z35" s="33">
        <v>29.81</v>
      </c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1635</v>
      </c>
      <c r="E36" s="32"/>
      <c r="F36" s="32"/>
      <c r="G36" s="32"/>
      <c r="H36" s="32"/>
      <c r="I36" s="33">
        <v>41.52</v>
      </c>
      <c r="J36" s="33">
        <v>35.11</v>
      </c>
      <c r="K36" s="33">
        <v>34.85</v>
      </c>
      <c r="L36" s="33">
        <v>34.67</v>
      </c>
      <c r="M36" s="33">
        <v>32.84</v>
      </c>
      <c r="N36" s="33">
        <v>32.41</v>
      </c>
      <c r="O36" s="33">
        <v>33.39</v>
      </c>
      <c r="P36" s="33">
        <v>33.52</v>
      </c>
      <c r="Q36" s="33">
        <v>33.84</v>
      </c>
      <c r="R36" s="36">
        <f>33.64+33.44</f>
        <v>67.08</v>
      </c>
      <c r="S36" s="32"/>
      <c r="T36" s="33">
        <v>33.93</v>
      </c>
      <c r="U36" s="33">
        <v>35.17</v>
      </c>
      <c r="V36" s="33">
        <v>35</v>
      </c>
      <c r="W36" s="33">
        <v>34.76</v>
      </c>
      <c r="X36" s="33">
        <v>34.69</v>
      </c>
      <c r="Y36" s="33">
        <v>34.69</v>
      </c>
      <c r="Z36" s="33">
        <v>34.2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1636</v>
      </c>
      <c r="E37" s="32"/>
      <c r="F37" s="32"/>
      <c r="G37" s="32"/>
      <c r="H37" s="32"/>
      <c r="I37" s="33">
        <v>60.88</v>
      </c>
      <c r="J37" s="36">
        <f>94.99+19.17</f>
        <v>114.16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7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40"/>
    </row>
    <row r="39" ht="12.75" customHeight="1" spans="2:37" x14ac:dyDescent="0.25">
      <c r="B39" s="20" t="s">
        <v>85</v>
      </c>
      <c r="C39" s="21"/>
      <c r="D39" s="21"/>
      <c r="E39" s="22">
        <f>SUM(E13:E37)</f>
      </c>
      <c r="F39" s="22">
        <f>SUM(F13:F37)</f>
      </c>
      <c r="G39" s="22">
        <f>SUM(G13:G37)</f>
      </c>
      <c r="H39" s="22">
        <f>SUM(H13:H37)</f>
      </c>
      <c r="I39" s="22">
        <f>SUM(I13:I37)</f>
      </c>
      <c r="J39" s="22">
        <f>SUM(J13:J37)</f>
      </c>
      <c r="K39" s="22">
        <f>SUM(K13:K37)</f>
      </c>
      <c r="L39" s="22">
        <f>SUM(L13:L37)</f>
      </c>
      <c r="M39" s="22">
        <f>SUM(M13:M37)</f>
      </c>
      <c r="N39" s="22">
        <f>SUM(N13:N37)</f>
      </c>
      <c r="O39" s="22">
        <f>SUM(O13:O37)</f>
      </c>
      <c r="P39" s="22">
        <f>SUM(P13:P37)</f>
      </c>
      <c r="Q39" s="22">
        <f>SUM(Q13:Q37)</f>
      </c>
      <c r="R39" s="22">
        <f>SUM(R13:R37)</f>
      </c>
      <c r="S39" s="22">
        <f>SUM(S13:S37)</f>
      </c>
      <c r="T39" s="22">
        <f>SUM(T13:T37)</f>
      </c>
      <c r="U39" s="22">
        <f>SUM(U13:U37)</f>
      </c>
      <c r="V39" s="22">
        <f>SUM(V13:V37)</f>
      </c>
      <c r="W39" s="22">
        <f>SUM(W13:W37)</f>
      </c>
      <c r="X39" s="22">
        <f>SUM(X13:X37)</f>
      </c>
      <c r="Y39" s="22">
        <f>SUM(Y13:Y37)</f>
      </c>
      <c r="Z39" s="22">
        <f>SUM(Z13:Z37)</f>
      </c>
      <c r="AA39" s="22">
        <f>SUM(AA13:AA37)</f>
      </c>
      <c r="AB39" s="22">
        <f>SUM(AB13:AB37)</f>
      </c>
      <c r="AC39" s="22">
        <f>SUM(AC13:AC37)</f>
      </c>
      <c r="AD39" s="22">
        <f>SUM(AD13:AD37)</f>
      </c>
      <c r="AE39" s="22">
        <f>SUM(AE13:AE37)</f>
      </c>
      <c r="AF39" s="22">
        <f>SUM(AF13:AF37)</f>
      </c>
      <c r="AG39" s="22">
        <f>SUM(AG13:AG37)</f>
      </c>
      <c r="AH39" s="22">
        <f>SUM(AH13:AH37)</f>
      </c>
      <c r="AI39" s="22">
        <f>SUM(AI13:AI37)</f>
      </c>
      <c r="AJ39" s="22">
        <f>SUM(AJ13:AJ37)</f>
      </c>
      <c r="AK39" s="23"/>
    </row>
    <row r="41" ht="12.75" customHeight="1" spans="2:37" x14ac:dyDescent="0.25">
      <c r="B41" s="26" t="s">
        <v>43</v>
      </c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9"/>
    </row>
    <row r="42" ht="12.75" customHeight="1" spans="2:37" x14ac:dyDescent="0.25">
      <c r="B42" s="30" t="s">
        <v>43</v>
      </c>
      <c r="C42" s="31" t="s">
        <v>3</v>
      </c>
      <c r="D42" s="32" t="s">
        <v>1637</v>
      </c>
      <c r="E42" s="32"/>
      <c r="F42" s="32"/>
      <c r="G42" s="32"/>
      <c r="H42" s="36">
        <f>30.67+49.70</f>
        <v>80.37</v>
      </c>
      <c r="I42" s="36">
        <f>25.31+40.42</f>
        <v>65.73</v>
      </c>
      <c r="J42" s="36">
        <f>33.35+54.34</f>
        <v>87.69</v>
      </c>
      <c r="K42" s="36">
        <f>33.35+54.34</f>
        <v>87.69</v>
      </c>
      <c r="L42" s="36">
        <f>60.15+100.74</f>
        <v>160.89</v>
      </c>
      <c r="M42" s="36">
        <f>105.71+179.62</f>
        <v>285.33</v>
      </c>
      <c r="N42" s="36">
        <f>100.35+170.34</f>
        <v>270.69</v>
      </c>
      <c r="O42" s="36">
        <f>33.35+54.34</f>
        <v>87.69</v>
      </c>
      <c r="P42" s="36">
        <f>30.67+49.70</f>
        <v>80.37</v>
      </c>
      <c r="Q42" s="36">
        <f>41.52+67.28</f>
        <v>108.80000000000001</v>
      </c>
      <c r="R42" s="36">
        <f>36.03+58.98</f>
        <v>95.00999999999999</v>
      </c>
      <c r="S42" s="36">
        <f>58.07+95.43</f>
        <v>153.5</v>
      </c>
      <c r="T42" s="36">
        <f>58.07+95.43</f>
        <v>153.5</v>
      </c>
      <c r="U42" s="36">
        <f>126.41+213.75</f>
        <v>340.15999999999997</v>
      </c>
      <c r="V42" s="36">
        <f>150.53+255.51</f>
        <v>406.03999999999996</v>
      </c>
      <c r="W42" s="36">
        <f>106.31+178.95</f>
        <v>285.26</v>
      </c>
      <c r="X42" s="36">
        <f>102.29+171.99</f>
        <v>274.28000000000003</v>
      </c>
      <c r="Y42" s="36">
        <f>94.25+158.07</f>
        <v>252.32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43</v>
      </c>
      <c r="C43" s="31" t="s">
        <v>3</v>
      </c>
      <c r="D43" s="32" t="s">
        <v>1638</v>
      </c>
      <c r="E43" s="32"/>
      <c r="F43" s="32"/>
      <c r="G43" s="32"/>
      <c r="H43" s="32"/>
      <c r="I43" s="32"/>
      <c r="J43" s="32"/>
      <c r="K43" s="32"/>
      <c r="L43" s="32"/>
      <c r="M43" s="36">
        <f>22.63+35.78</f>
        <v>58.41</v>
      </c>
      <c r="N43" s="36">
        <f>22.63+35.78</f>
        <v>58.41</v>
      </c>
      <c r="O43" s="36">
        <f>22.63+35.78</f>
        <v>58.41</v>
      </c>
      <c r="P43" s="36">
        <f>22.63+35.78</f>
        <v>58.41</v>
      </c>
      <c r="Q43" s="36">
        <f>25.31+40.42</f>
        <v>65.73</v>
      </c>
      <c r="R43" s="36">
        <f>22.63+35.78</f>
        <v>58.41</v>
      </c>
      <c r="S43" s="36">
        <f>33.95+53.67</f>
        <v>87.62</v>
      </c>
      <c r="T43" s="36">
        <f>33.95+53.67</f>
        <v>87.62</v>
      </c>
      <c r="U43" s="36">
        <f>33.95+53.67</f>
        <v>87.62</v>
      </c>
      <c r="V43" s="36">
        <f>33.95+53.67</f>
        <v>87.62</v>
      </c>
      <c r="W43" s="36">
        <f>33.95+53.67</f>
        <v>87.62</v>
      </c>
      <c r="X43" s="36">
        <f>33.95+53.67</f>
        <v>87.62</v>
      </c>
      <c r="Y43" s="36">
        <f>33.95+53.67</f>
        <v>87.62</v>
      </c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43</v>
      </c>
      <c r="C44" s="31" t="s">
        <v>3</v>
      </c>
      <c r="D44" s="32" t="s">
        <v>1639</v>
      </c>
      <c r="E44" s="32"/>
      <c r="F44" s="32"/>
      <c r="G44" s="32"/>
      <c r="H44" s="32"/>
      <c r="I44" s="36">
        <f>22.63+35.78</f>
        <v>58.41</v>
      </c>
      <c r="J44" s="36">
        <f>22.63+35.78</f>
        <v>58.41</v>
      </c>
      <c r="K44" s="36">
        <f>22.63+35.78</f>
        <v>58.41</v>
      </c>
      <c r="L44" s="36">
        <f>22.63+35.78</f>
        <v>58.41</v>
      </c>
      <c r="M44" s="36">
        <f>22.63+35.78</f>
        <v>58.41</v>
      </c>
      <c r="N44" s="36">
        <f>22.63+35.78</f>
        <v>58.41</v>
      </c>
      <c r="O44" s="36">
        <f>22.63+35.78</f>
        <v>58.41</v>
      </c>
      <c r="P44" s="36">
        <f>22.63+35.78</f>
        <v>58.41</v>
      </c>
      <c r="Q44" s="36">
        <f>22.63+35.78</f>
        <v>58.41</v>
      </c>
      <c r="R44" s="36">
        <f>22.63+35.78</f>
        <v>58.41</v>
      </c>
      <c r="S44" s="36">
        <f>33.95+53.67</f>
        <v>87.62</v>
      </c>
      <c r="T44" s="36">
        <f>33.95+53.67</f>
        <v>87.62</v>
      </c>
      <c r="U44" s="36">
        <f>33.95+53.67</f>
        <v>87.62</v>
      </c>
      <c r="V44" s="36">
        <f>33.95+53.67</f>
        <v>87.62</v>
      </c>
      <c r="W44" s="36">
        <f>33.95+53.67</f>
        <v>87.62</v>
      </c>
      <c r="X44" s="36">
        <f>33.95+53.67</f>
        <v>87.62</v>
      </c>
      <c r="Y44" s="36">
        <f>33.95+53.67</f>
        <v>87.62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43</v>
      </c>
      <c r="C45" s="31" t="s">
        <v>3</v>
      </c>
      <c r="D45" s="32" t="s">
        <v>1640</v>
      </c>
      <c r="E45" s="32"/>
      <c r="F45" s="32"/>
      <c r="G45" s="32"/>
      <c r="H45" s="32"/>
      <c r="I45" s="32"/>
      <c r="J45" s="32"/>
      <c r="K45" s="32"/>
      <c r="L45" s="32"/>
      <c r="M45" s="36">
        <f>22.63+35.78</f>
        <v>58.41</v>
      </c>
      <c r="N45" s="36">
        <f>22.63+35.78</f>
        <v>58.41</v>
      </c>
      <c r="O45" s="36">
        <f>22.63+35.78</f>
        <v>58.41</v>
      </c>
      <c r="P45" s="36">
        <f>25.31+40.42</f>
        <v>65.73</v>
      </c>
      <c r="Q45" s="36">
        <f>22.63+35.78</f>
        <v>58.41</v>
      </c>
      <c r="R45" s="36">
        <f>22.63+35.78</f>
        <v>58.41</v>
      </c>
      <c r="S45" s="36">
        <f>33.95+53.67</f>
        <v>87.62</v>
      </c>
      <c r="T45" s="36">
        <f>33.95+53.67</f>
        <v>87.62</v>
      </c>
      <c r="U45" s="36">
        <f>33.95+53.67</f>
        <v>87.62</v>
      </c>
      <c r="V45" s="36">
        <f>33.95+53.67</f>
        <v>87.62</v>
      </c>
      <c r="W45" s="36">
        <f>33.95+53.67</f>
        <v>87.62</v>
      </c>
      <c r="X45" s="36">
        <f>33.95+53.67</f>
        <v>87.62</v>
      </c>
      <c r="Y45" s="36">
        <f>37.97+60.63</f>
        <v>98.6</v>
      </c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43</v>
      </c>
      <c r="C46" s="31" t="s">
        <v>3</v>
      </c>
      <c r="D46" s="32" t="s">
        <v>1641</v>
      </c>
      <c r="E46" s="32"/>
      <c r="F46" s="32"/>
      <c r="G46" s="32"/>
      <c r="H46" s="36">
        <f>22.63+35.78</f>
        <v>58.41</v>
      </c>
      <c r="I46" s="36">
        <f>22.63+35.78</f>
        <v>58.41</v>
      </c>
      <c r="J46" s="36">
        <f>22.63+35.78</f>
        <v>58.41</v>
      </c>
      <c r="K46" s="36">
        <f>22.63+35.78</f>
        <v>58.41</v>
      </c>
      <c r="L46" s="36">
        <f>33.09+52.32</f>
        <v>85.41</v>
      </c>
      <c r="M46" s="36">
        <f>22.63+35.78</f>
        <v>58.41</v>
      </c>
      <c r="N46" s="36">
        <f>22.63+35.78</f>
        <v>58.41</v>
      </c>
      <c r="O46" s="36">
        <f>22.63+35.78</f>
        <v>58.41</v>
      </c>
      <c r="P46" s="36">
        <f>22.63+35.78</f>
        <v>58.41</v>
      </c>
      <c r="Q46" s="36">
        <f>22.63+35.78</f>
        <v>58.41</v>
      </c>
      <c r="R46" s="36">
        <f>22.63+35.78</f>
        <v>58.41</v>
      </c>
      <c r="S46" s="36">
        <f>33.95+53.67</f>
        <v>87.62</v>
      </c>
      <c r="T46" s="36">
        <f>33.95+53.67</f>
        <v>87.62</v>
      </c>
      <c r="U46" s="36">
        <f>33.95+53.67</f>
        <v>87.62</v>
      </c>
      <c r="V46" s="36">
        <f>33.95+53.67</f>
        <v>87.62</v>
      </c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43</v>
      </c>
      <c r="C47" s="31" t="s">
        <v>3</v>
      </c>
      <c r="D47" s="32" t="s">
        <v>1642</v>
      </c>
      <c r="E47" s="32"/>
      <c r="F47" s="32"/>
      <c r="G47" s="32"/>
      <c r="H47" s="36">
        <f>22.63+35.78</f>
        <v>58.41</v>
      </c>
      <c r="I47" s="36">
        <f>22.63+35.78</f>
        <v>58.41</v>
      </c>
      <c r="J47" s="36">
        <f>22.63+35.78</f>
        <v>58.41</v>
      </c>
      <c r="K47" s="36">
        <f>22.63+35.78</f>
        <v>58.41</v>
      </c>
      <c r="L47" s="36">
        <f>22.63+35.78</f>
        <v>58.41</v>
      </c>
      <c r="M47" s="36">
        <f>22.63+35.78</f>
        <v>58.41</v>
      </c>
      <c r="N47" s="36">
        <f>22.63+35.78</f>
        <v>58.41</v>
      </c>
      <c r="O47" s="36">
        <f>22.63+35.78</f>
        <v>58.41</v>
      </c>
      <c r="P47" s="36">
        <f>43.86+40.42</f>
        <v>84.28</v>
      </c>
      <c r="Q47" s="36">
        <f>22.63+35.78</f>
        <v>58.41</v>
      </c>
      <c r="R47" s="36">
        <f>22.63+35.78</f>
        <v>58.41</v>
      </c>
      <c r="S47" s="36">
        <f>33.95+53.67</f>
        <v>87.62</v>
      </c>
      <c r="T47" s="36">
        <f>33.95+53.67</f>
        <v>87.62</v>
      </c>
      <c r="U47" s="36">
        <f>33.95+53.67</f>
        <v>87.62</v>
      </c>
      <c r="V47" s="36">
        <f>33.95+53.67</f>
        <v>87.62</v>
      </c>
      <c r="W47" s="36">
        <f>33.95+53.67</f>
        <v>87.62</v>
      </c>
      <c r="X47" s="36">
        <f>33.95+53.67</f>
        <v>87.62</v>
      </c>
      <c r="Y47" s="36">
        <f>33.95+53.67</f>
        <v>87.62</v>
      </c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43</v>
      </c>
      <c r="C48" s="31" t="s">
        <v>3</v>
      </c>
      <c r="D48" s="32" t="s">
        <v>1643</v>
      </c>
      <c r="E48" s="32"/>
      <c r="F48" s="32"/>
      <c r="G48" s="32"/>
      <c r="H48" s="36">
        <f>137.31+182.26</f>
        <v>319.57</v>
      </c>
      <c r="I48" s="36">
        <f>144.19+197.34</f>
        <v>341.53</v>
      </c>
      <c r="J48" s="36">
        <f>189.72+276.25</f>
        <v>465.97</v>
      </c>
      <c r="K48" s="36">
        <f>157.58+220.55</f>
        <v>378.13</v>
      </c>
      <c r="L48" s="36">
        <f>178.19+258.50</f>
        <v>436.69</v>
      </c>
      <c r="M48" s="36">
        <f>265.95+404.98</f>
        <v>670.9300000000001</v>
      </c>
      <c r="N48" s="36">
        <f>135.31+184.26</f>
        <v>319.57</v>
      </c>
      <c r="O48" s="36">
        <f>104.05+127.68</f>
        <v>231.73000000000002</v>
      </c>
      <c r="P48" s="36">
        <f>105.83+133.22</f>
        <v>239.05</v>
      </c>
      <c r="Q48" s="36">
        <f>108.51+137.86</f>
        <v>246.37</v>
      </c>
      <c r="R48" s="36">
        <f>110.51+135.86</f>
        <v>246.37</v>
      </c>
      <c r="S48" s="36">
        <f>389.89+593.55</f>
        <v>983.4399999999999</v>
      </c>
      <c r="T48" s="36">
        <f>385.87+586.59</f>
        <v>972.46</v>
      </c>
      <c r="U48" s="36">
        <f>269.29+384.75</f>
        <v>654.04</v>
      </c>
      <c r="V48" s="36">
        <f>269.29+384.75</f>
        <v>654.04</v>
      </c>
      <c r="W48" s="36">
        <f>313.51+461.31</f>
        <v>774.8199999999999</v>
      </c>
      <c r="X48" s="36">
        <f>418.03+642.27</f>
        <v>1060.3</v>
      </c>
      <c r="Y48" s="36">
        <f>256.05+365.05</f>
        <v>621.1</v>
      </c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43</v>
      </c>
      <c r="C49" s="31" t="s">
        <v>3</v>
      </c>
      <c r="D49" s="32" t="s">
        <v>1644</v>
      </c>
      <c r="E49" s="32"/>
      <c r="F49" s="32"/>
      <c r="G49" s="32"/>
      <c r="H49" s="36">
        <f>1467.37+2374.21</f>
        <v>3841.58</v>
      </c>
      <c r="I49" s="36">
        <f>1293.17+2072.61</f>
        <v>3365.78</v>
      </c>
      <c r="J49" s="36">
        <f>1821.13+2986.69</f>
        <v>4807.82</v>
      </c>
      <c r="K49" s="36">
        <f>1202.05+1914.85</f>
        <v>3116.8999999999996</v>
      </c>
      <c r="L49" s="36">
        <f>1341.41+2156.13</f>
        <v>3497.54</v>
      </c>
      <c r="M49" s="36">
        <f>1325.33+2128.29</f>
        <v>3453.62</v>
      </c>
      <c r="N49" s="36">
        <f>1563.85+2541.25</f>
        <v>4105.1</v>
      </c>
      <c r="O49" s="36">
        <f>1282.45+2054.05</f>
        <v>3336.5</v>
      </c>
      <c r="P49" s="36">
        <f>1751.45+2866.05</f>
        <v>4617.5</v>
      </c>
      <c r="Q49" s="36">
        <f>1413.77+2281.41</f>
        <v>3695.18</v>
      </c>
      <c r="R49" s="36">
        <f>1587.97+2583.01</f>
        <v>4170.9800000000005</v>
      </c>
      <c r="S49" s="36">
        <f>2534.72+4139.00</f>
        <v>6673.719999999999</v>
      </c>
      <c r="T49" s="36">
        <f>3511.58+5830.28</f>
        <v>9341.86</v>
      </c>
      <c r="U49" s="36">
        <f>2566.88+4194.68</f>
        <v>6761.56</v>
      </c>
      <c r="V49" s="36">
        <f>2751.80+4514.84</f>
        <v>7266.64</v>
      </c>
      <c r="W49" s="36">
        <f>2518.64+4111.16</f>
        <v>6629.799999999999</v>
      </c>
      <c r="X49" s="36">
        <f>2715.62+4452.20</f>
        <v>7167.82</v>
      </c>
      <c r="Y49" s="36">
        <f>2542.76+4152.92</f>
        <v>6695.68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7"/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40"/>
    </row>
    <row r="51" ht="12.75" customHeight="1" spans="2:37" x14ac:dyDescent="0.25">
      <c r="B51" s="20" t="s">
        <v>89</v>
      </c>
      <c r="C51" s="21"/>
      <c r="D51" s="21"/>
      <c r="E51" s="22">
        <f>SUM(E42:E49)</f>
      </c>
      <c r="F51" s="22">
        <f>SUM(F42:F49)</f>
      </c>
      <c r="G51" s="22">
        <f>SUM(G42:G49)</f>
      </c>
      <c r="H51" s="22">
        <f>SUM(H42:H49)</f>
      </c>
      <c r="I51" s="22">
        <f>SUM(I42:I49)</f>
      </c>
      <c r="J51" s="22">
        <f>SUM(J42:J49)</f>
      </c>
      <c r="K51" s="22">
        <f>SUM(K42:K49)</f>
      </c>
      <c r="L51" s="22">
        <f>SUM(L42:L49)</f>
      </c>
      <c r="M51" s="22">
        <f>SUM(M42:M49)</f>
      </c>
      <c r="N51" s="22">
        <f>SUM(N42:N49)</f>
      </c>
      <c r="O51" s="22">
        <f>SUM(O42:O49)</f>
      </c>
      <c r="P51" s="22">
        <f>SUM(P42:P49)</f>
      </c>
      <c r="Q51" s="22">
        <f>SUM(Q42:Q49)</f>
      </c>
      <c r="R51" s="22">
        <f>SUM(R42:R49)</f>
      </c>
      <c r="S51" s="22">
        <f>SUM(S42:S49)</f>
      </c>
      <c r="T51" s="22">
        <f>SUM(T42:T49)</f>
      </c>
      <c r="U51" s="22">
        <f>SUM(U42:U49)</f>
      </c>
      <c r="V51" s="22">
        <f>SUM(V42:V49)</f>
      </c>
      <c r="W51" s="22">
        <f>SUM(W42:W49)</f>
      </c>
      <c r="X51" s="22">
        <f>SUM(X42:X49)</f>
      </c>
      <c r="Y51" s="22">
        <f>SUM(Y42:Y49)</f>
      </c>
      <c r="Z51" s="22">
        <f>SUM(Z42:Z49)</f>
      </c>
      <c r="AA51" s="22">
        <f>SUM(AA42:AA49)</f>
      </c>
      <c r="AB51" s="22">
        <f>SUM(AB42:AB49)</f>
      </c>
      <c r="AC51" s="22">
        <f>SUM(AC42:AC49)</f>
      </c>
      <c r="AD51" s="22">
        <f>SUM(AD42:AD49)</f>
      </c>
      <c r="AE51" s="22">
        <f>SUM(AE42:AE49)</f>
      </c>
      <c r="AF51" s="22">
        <f>SUM(AF42:AF49)</f>
      </c>
      <c r="AG51" s="22">
        <f>SUM(AG42:AG49)</f>
      </c>
      <c r="AH51" s="22">
        <f>SUM(AH42:AH49)</f>
      </c>
      <c r="AI51" s="22">
        <f>SUM(AI42:AI49)</f>
      </c>
      <c r="AJ51" s="22">
        <f>SUM(AJ42:AJ49)</f>
      </c>
      <c r="AK51" s="23"/>
    </row>
    <row r="53" ht="12.75" customHeight="1" spans="2:37" x14ac:dyDescent="0.25">
      <c r="B53" s="26" t="s">
        <v>44</v>
      </c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9"/>
    </row>
    <row r="54" ht="12.75" customHeight="1" spans="2:37" x14ac:dyDescent="0.25">
      <c r="B54" s="30" t="s">
        <v>44</v>
      </c>
      <c r="C54" s="31" t="s">
        <v>3</v>
      </c>
      <c r="D54" s="32" t="s">
        <v>1637</v>
      </c>
      <c r="E54" s="32"/>
      <c r="F54" s="32"/>
      <c r="G54" s="32"/>
      <c r="H54" s="33">
        <v>18.55</v>
      </c>
      <c r="I54" s="33">
        <v>18.55</v>
      </c>
      <c r="J54" s="33">
        <v>18.55</v>
      </c>
      <c r="K54" s="33">
        <v>18.55</v>
      </c>
      <c r="L54" s="33">
        <v>18.55</v>
      </c>
      <c r="M54" s="33">
        <v>18.55</v>
      </c>
      <c r="N54" s="33">
        <v>18.55</v>
      </c>
      <c r="O54" s="33">
        <v>18.55</v>
      </c>
      <c r="P54" s="33">
        <v>18.55</v>
      </c>
      <c r="Q54" s="33">
        <v>25.12</v>
      </c>
      <c r="R54" s="33">
        <v>18.55</v>
      </c>
      <c r="S54" s="33">
        <v>18.55</v>
      </c>
      <c r="T54" s="33">
        <v>18.55</v>
      </c>
      <c r="U54" s="33">
        <v>18.55</v>
      </c>
      <c r="V54" s="33">
        <v>18.55</v>
      </c>
      <c r="W54" s="33">
        <v>18.55</v>
      </c>
      <c r="X54" s="33">
        <v>18.55</v>
      </c>
      <c r="Y54" s="33">
        <v>18.55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0" t="s">
        <v>44</v>
      </c>
      <c r="C55" s="31" t="s">
        <v>3</v>
      </c>
      <c r="D55" s="32" t="s">
        <v>1638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3">
        <v>18.55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4">
        <f>SUM(E55:AI55)</f>
      </c>
      <c r="AK55" s="35"/>
    </row>
    <row r="56" ht="12.75" customHeight="1" spans="2:37" x14ac:dyDescent="0.25">
      <c r="B56" s="30" t="s">
        <v>44</v>
      </c>
      <c r="C56" s="31" t="s">
        <v>3</v>
      </c>
      <c r="D56" s="32" t="s">
        <v>1640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3">
        <v>18.55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18.55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4">
        <f>SUM(E56:AI56)</f>
      </c>
      <c r="AK56" s="35"/>
    </row>
    <row r="57" ht="12.75" customHeight="1" spans="2:37" x14ac:dyDescent="0.25">
      <c r="B57" s="30" t="s">
        <v>44</v>
      </c>
      <c r="C57" s="31" t="s">
        <v>3</v>
      </c>
      <c r="D57" s="32" t="s">
        <v>1641</v>
      </c>
      <c r="E57" s="33">
        <v>0</v>
      </c>
      <c r="F57" s="32"/>
      <c r="G57" s="32"/>
      <c r="H57" s="33">
        <v>0</v>
      </c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44</v>
      </c>
      <c r="C58" s="31" t="s">
        <v>3</v>
      </c>
      <c r="D58" s="32" t="s">
        <v>1645</v>
      </c>
      <c r="E58" s="32"/>
      <c r="F58" s="32"/>
      <c r="G58" s="32"/>
      <c r="H58" s="33">
        <v>909.3</v>
      </c>
      <c r="I58" s="33">
        <v>909.3</v>
      </c>
      <c r="J58" s="33">
        <v>909.3</v>
      </c>
      <c r="K58" s="33">
        <v>909.3</v>
      </c>
      <c r="L58" s="33">
        <v>909.3</v>
      </c>
      <c r="M58" s="33">
        <v>909.3</v>
      </c>
      <c r="N58" s="33">
        <v>909.3</v>
      </c>
      <c r="O58" s="33">
        <v>909.3</v>
      </c>
      <c r="P58" s="33">
        <v>909.3</v>
      </c>
      <c r="Q58" s="33">
        <v>909.3</v>
      </c>
      <c r="R58" s="33">
        <v>909.3</v>
      </c>
      <c r="S58" s="33">
        <v>909.3</v>
      </c>
      <c r="T58" s="33">
        <v>909.3</v>
      </c>
      <c r="U58" s="33">
        <v>909.3</v>
      </c>
      <c r="V58" s="33">
        <v>909.3</v>
      </c>
      <c r="W58" s="33">
        <v>909.3</v>
      </c>
      <c r="X58" s="33">
        <v>909.3</v>
      </c>
      <c r="Y58" s="33">
        <v>909.3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4">
        <f>SUM(E58:AI58)</f>
      </c>
      <c r="AK58" s="35"/>
    </row>
    <row r="59" ht="12.75" customHeight="1" spans="2:37" x14ac:dyDescent="0.25">
      <c r="B59" s="37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40"/>
    </row>
    <row r="60" ht="12.75" customHeight="1" spans="2:37" x14ac:dyDescent="0.25">
      <c r="B60" s="20" t="s">
        <v>90</v>
      </c>
      <c r="C60" s="21"/>
      <c r="D60" s="21"/>
      <c r="E60" s="22">
        <f>SUM(E54:E58)</f>
      </c>
      <c r="F60" s="22">
        <f>SUM(F54:F58)</f>
      </c>
      <c r="G60" s="22">
        <f>SUM(G54:G58)</f>
      </c>
      <c r="H60" s="22">
        <f>SUM(H54:H58)</f>
      </c>
      <c r="I60" s="22">
        <f>SUM(I54:I58)</f>
      </c>
      <c r="J60" s="22">
        <f>SUM(J54:J58)</f>
      </c>
      <c r="K60" s="22">
        <f>SUM(K54:K58)</f>
      </c>
      <c r="L60" s="22">
        <f>SUM(L54:L58)</f>
      </c>
      <c r="M60" s="22">
        <f>SUM(M54:M58)</f>
      </c>
      <c r="N60" s="22">
        <f>SUM(N54:N58)</f>
      </c>
      <c r="O60" s="22">
        <f>SUM(O54:O58)</f>
      </c>
      <c r="P60" s="22">
        <f>SUM(P54:P58)</f>
      </c>
      <c r="Q60" s="22">
        <f>SUM(Q54:Q58)</f>
      </c>
      <c r="R60" s="22">
        <f>SUM(R54:R58)</f>
      </c>
      <c r="S60" s="22">
        <f>SUM(S54:S58)</f>
      </c>
      <c r="T60" s="22">
        <f>SUM(T54:T58)</f>
      </c>
      <c r="U60" s="22">
        <f>SUM(U54:U58)</f>
      </c>
      <c r="V60" s="22">
        <f>SUM(V54:V58)</f>
      </c>
      <c r="W60" s="22">
        <f>SUM(W54:W58)</f>
      </c>
      <c r="X60" s="22">
        <f>SUM(X54:X58)</f>
      </c>
      <c r="Y60" s="22">
        <f>SUM(Y54:Y58)</f>
      </c>
      <c r="Z60" s="22">
        <f>SUM(Z54:Z58)</f>
      </c>
      <c r="AA60" s="22">
        <f>SUM(AA54:AA58)</f>
      </c>
      <c r="AB60" s="22">
        <f>SUM(AB54:AB58)</f>
      </c>
      <c r="AC60" s="22">
        <f>SUM(AC54:AC58)</f>
      </c>
      <c r="AD60" s="22">
        <f>SUM(AD54:AD58)</f>
      </c>
      <c r="AE60" s="22">
        <f>SUM(AE54:AE58)</f>
      </c>
      <c r="AF60" s="22">
        <f>SUM(AF54:AF58)</f>
      </c>
      <c r="AG60" s="22">
        <f>SUM(AG54:AG58)</f>
      </c>
      <c r="AH60" s="22">
        <f>SUM(AH54:AH58)</f>
      </c>
      <c r="AI60" s="22">
        <f>SUM(AI54:AI58)</f>
      </c>
      <c r="AJ60" s="22">
        <f>SUM(AJ54:AJ58)</f>
      </c>
      <c r="AK60" s="23"/>
    </row>
    <row r="63" ht="12.75" customHeight="1" spans="2:37" x14ac:dyDescent="0.25">
      <c r="B63" s="11" t="s">
        <v>40</v>
      </c>
      <c r="C63" s="12"/>
      <c r="D63" s="13"/>
      <c r="E63" s="14" t="s">
        <v>7</v>
      </c>
      <c r="F63" s="14" t="s">
        <v>8</v>
      </c>
      <c r="G63" s="14" t="s">
        <v>9</v>
      </c>
      <c r="H63" s="14" t="s">
        <v>10</v>
      </c>
      <c r="I63" s="14" t="s">
        <v>11</v>
      </c>
      <c r="J63" s="14" t="s">
        <v>12</v>
      </c>
      <c r="K63" s="14" t="s">
        <v>13</v>
      </c>
      <c r="L63" s="14" t="s">
        <v>14</v>
      </c>
      <c r="M63" s="14" t="s">
        <v>15</v>
      </c>
      <c r="N63" s="14" t="s">
        <v>16</v>
      </c>
      <c r="O63" s="14" t="s">
        <v>17</v>
      </c>
      <c r="P63" s="14" t="s">
        <v>18</v>
      </c>
      <c r="Q63" s="14" t="s">
        <v>19</v>
      </c>
      <c r="R63" s="14" t="s">
        <v>20</v>
      </c>
      <c r="S63" s="14" t="s">
        <v>21</v>
      </c>
      <c r="T63" s="14" t="s">
        <v>22</v>
      </c>
      <c r="U63" s="14" t="s">
        <v>23</v>
      </c>
      <c r="V63" s="14" t="s">
        <v>24</v>
      </c>
      <c r="W63" s="14" t="s">
        <v>25</v>
      </c>
      <c r="X63" s="14" t="s">
        <v>26</v>
      </c>
      <c r="Y63" s="14" t="s">
        <v>27</v>
      </c>
      <c r="Z63" s="14" t="s">
        <v>28</v>
      </c>
      <c r="AA63" s="14" t="s">
        <v>29</v>
      </c>
      <c r="AB63" s="14" t="s">
        <v>30</v>
      </c>
      <c r="AC63" s="14" t="s">
        <v>31</v>
      </c>
      <c r="AD63" s="14" t="s">
        <v>32</v>
      </c>
      <c r="AE63" s="14" t="s">
        <v>33</v>
      </c>
      <c r="AF63" s="14" t="s">
        <v>34</v>
      </c>
      <c r="AG63" s="14" t="s">
        <v>35</v>
      </c>
      <c r="AH63" s="14" t="s">
        <v>36</v>
      </c>
      <c r="AI63" s="14" t="s">
        <v>37</v>
      </c>
      <c r="AJ63" s="14" t="s">
        <v>38</v>
      </c>
      <c r="AK63" s="15"/>
    </row>
    <row r="64" ht="12.75" customHeight="1" spans="2:37" x14ac:dyDescent="0.25">
      <c r="B64" s="16" t="s">
        <v>41</v>
      </c>
      <c r="C64" s="17"/>
      <c r="D64" s="17"/>
      <c r="E64" s="18">
        <f>E10</f>
      </c>
      <c r="F64" s="18">
        <f>F10</f>
      </c>
      <c r="G64" s="18">
        <f>G10</f>
      </c>
      <c r="H64" s="18">
        <f>H10</f>
      </c>
      <c r="I64" s="18">
        <f>I10</f>
      </c>
      <c r="J64" s="18">
        <f>J10</f>
      </c>
      <c r="K64" s="18">
        <f>K10</f>
      </c>
      <c r="L64" s="18">
        <f>L10</f>
      </c>
      <c r="M64" s="18">
        <f>M10</f>
      </c>
      <c r="N64" s="18">
        <f>N10</f>
      </c>
      <c r="O64" s="18">
        <f>O10</f>
      </c>
      <c r="P64" s="18">
        <f>P10</f>
      </c>
      <c r="Q64" s="18">
        <f>Q10</f>
      </c>
      <c r="R64" s="18">
        <f>R10</f>
      </c>
      <c r="S64" s="18">
        <f>S10</f>
      </c>
      <c r="T64" s="18">
        <f>T10</f>
      </c>
      <c r="U64" s="18">
        <f>U10</f>
      </c>
      <c r="V64" s="18">
        <f>V10</f>
      </c>
      <c r="W64" s="18">
        <f>W10</f>
      </c>
      <c r="X64" s="18">
        <f>X10</f>
      </c>
      <c r="Y64" s="18">
        <f>Y10</f>
      </c>
      <c r="Z64" s="18">
        <f>Z10</f>
      </c>
      <c r="AA64" s="18">
        <f>AA10</f>
      </c>
      <c r="AB64" s="18">
        <f>AB10</f>
      </c>
      <c r="AC64" s="18">
        <f>AC10</f>
      </c>
      <c r="AD64" s="18">
        <f>AD10</f>
      </c>
      <c r="AE64" s="18">
        <f>AE10</f>
      </c>
      <c r="AF64" s="18">
        <f>AF10</f>
      </c>
      <c r="AG64" s="18">
        <f>AG10</f>
      </c>
      <c r="AH64" s="18">
        <f>AH10</f>
      </c>
      <c r="AI64" s="18">
        <f>AI10</f>
      </c>
      <c r="AJ64" s="18">
        <f>AJ10</f>
      </c>
      <c r="AK64" s="19"/>
    </row>
    <row r="65" ht="12.75" customHeight="1" spans="2:37" x14ac:dyDescent="0.25">
      <c r="B65" s="16" t="s">
        <v>42</v>
      </c>
      <c r="C65" s="17"/>
      <c r="D65" s="17"/>
      <c r="E65" s="18">
        <f>E39</f>
      </c>
      <c r="F65" s="18">
        <f>F39</f>
      </c>
      <c r="G65" s="18">
        <f>G39</f>
      </c>
      <c r="H65" s="18">
        <f>H39</f>
      </c>
      <c r="I65" s="18">
        <f>I39</f>
      </c>
      <c r="J65" s="18">
        <f>J39</f>
      </c>
      <c r="K65" s="18">
        <f>K39</f>
      </c>
      <c r="L65" s="18">
        <f>L39</f>
      </c>
      <c r="M65" s="18">
        <f>M39</f>
      </c>
      <c r="N65" s="18">
        <f>N39</f>
      </c>
      <c r="O65" s="18">
        <f>O39</f>
      </c>
      <c r="P65" s="18">
        <f>P39</f>
      </c>
      <c r="Q65" s="18">
        <f>Q39</f>
      </c>
      <c r="R65" s="18">
        <f>R39</f>
      </c>
      <c r="S65" s="18">
        <f>S39</f>
      </c>
      <c r="T65" s="18">
        <f>T39</f>
      </c>
      <c r="U65" s="18">
        <f>U39</f>
      </c>
      <c r="V65" s="18">
        <f>V39</f>
      </c>
      <c r="W65" s="18">
        <f>W39</f>
      </c>
      <c r="X65" s="18">
        <f>X39</f>
      </c>
      <c r="Y65" s="18">
        <f>Y39</f>
      </c>
      <c r="Z65" s="18">
        <f>Z39</f>
      </c>
      <c r="AA65" s="18">
        <f>AA39</f>
      </c>
      <c r="AB65" s="18">
        <f>AB39</f>
      </c>
      <c r="AC65" s="18">
        <f>AC39</f>
      </c>
      <c r="AD65" s="18">
        <f>AD39</f>
      </c>
      <c r="AE65" s="18">
        <f>AE39</f>
      </c>
      <c r="AF65" s="18">
        <f>AF39</f>
      </c>
      <c r="AG65" s="18">
        <f>AG39</f>
      </c>
      <c r="AH65" s="18">
        <f>AH39</f>
      </c>
      <c r="AI65" s="18">
        <f>AI39</f>
      </c>
      <c r="AJ65" s="18">
        <f>AJ39</f>
      </c>
      <c r="AK65" s="19"/>
    </row>
    <row r="66" ht="12.75" customHeight="1" spans="2:37" x14ac:dyDescent="0.25">
      <c r="B66" s="16" t="s">
        <v>43</v>
      </c>
      <c r="C66" s="17"/>
      <c r="D66" s="17"/>
      <c r="E66" s="18">
        <f>E51</f>
      </c>
      <c r="F66" s="18">
        <f>F51</f>
      </c>
      <c r="G66" s="18">
        <f>G51</f>
      </c>
      <c r="H66" s="18">
        <f>H51</f>
      </c>
      <c r="I66" s="18">
        <f>I51</f>
      </c>
      <c r="J66" s="18">
        <f>J51</f>
      </c>
      <c r="K66" s="18">
        <f>K51</f>
      </c>
      <c r="L66" s="18">
        <f>L51</f>
      </c>
      <c r="M66" s="18">
        <f>M51</f>
      </c>
      <c r="N66" s="18">
        <f>N51</f>
      </c>
      <c r="O66" s="18">
        <f>O51</f>
      </c>
      <c r="P66" s="18">
        <f>P51</f>
      </c>
      <c r="Q66" s="18">
        <f>Q51</f>
      </c>
      <c r="R66" s="18">
        <f>R51</f>
      </c>
      <c r="S66" s="18">
        <f>S51</f>
      </c>
      <c r="T66" s="18">
        <f>T51</f>
      </c>
      <c r="U66" s="18">
        <f>U51</f>
      </c>
      <c r="V66" s="18">
        <f>V51</f>
      </c>
      <c r="W66" s="18">
        <f>W51</f>
      </c>
      <c r="X66" s="18">
        <f>X51</f>
      </c>
      <c r="Y66" s="18">
        <f>Y51</f>
      </c>
      <c r="Z66" s="18">
        <f>Z51</f>
      </c>
      <c r="AA66" s="18">
        <f>AA51</f>
      </c>
      <c r="AB66" s="18">
        <f>AB51</f>
      </c>
      <c r="AC66" s="18">
        <f>AC51</f>
      </c>
      <c r="AD66" s="18">
        <f>AD51</f>
      </c>
      <c r="AE66" s="18">
        <f>AE51</f>
      </c>
      <c r="AF66" s="18">
        <f>AF51</f>
      </c>
      <c r="AG66" s="18">
        <f>AG51</f>
      </c>
      <c r="AH66" s="18">
        <f>AH51</f>
      </c>
      <c r="AI66" s="18">
        <f>AI51</f>
      </c>
      <c r="AJ66" s="18">
        <f>AJ51</f>
      </c>
      <c r="AK66" s="19"/>
    </row>
    <row r="67" ht="12.75" customHeight="1" spans="2:37" x14ac:dyDescent="0.25">
      <c r="B67" s="16" t="s">
        <v>44</v>
      </c>
      <c r="C67" s="17"/>
      <c r="D67" s="17"/>
      <c r="E67" s="18">
        <f>E60</f>
      </c>
      <c r="F67" s="18">
        <f>F60</f>
      </c>
      <c r="G67" s="18">
        <f>G60</f>
      </c>
      <c r="H67" s="18">
        <f>H60</f>
      </c>
      <c r="I67" s="18">
        <f>I60</f>
      </c>
      <c r="J67" s="18">
        <f>J60</f>
      </c>
      <c r="K67" s="18">
        <f>K60</f>
      </c>
      <c r="L67" s="18">
        <f>L60</f>
      </c>
      <c r="M67" s="18">
        <f>M60</f>
      </c>
      <c r="N67" s="18">
        <f>N60</f>
      </c>
      <c r="O67" s="18">
        <f>O60</f>
      </c>
      <c r="P67" s="18">
        <f>P60</f>
      </c>
      <c r="Q67" s="18">
        <f>Q60</f>
      </c>
      <c r="R67" s="18">
        <f>R60</f>
      </c>
      <c r="S67" s="18">
        <f>S60</f>
      </c>
      <c r="T67" s="18">
        <f>T60</f>
      </c>
      <c r="U67" s="18">
        <f>U60</f>
      </c>
      <c r="V67" s="18">
        <f>V60</f>
      </c>
      <c r="W67" s="18">
        <f>W60</f>
      </c>
      <c r="X67" s="18">
        <f>X60</f>
      </c>
      <c r="Y67" s="18">
        <f>Y60</f>
      </c>
      <c r="Z67" s="18">
        <f>Z60</f>
      </c>
      <c r="AA67" s="18">
        <f>AA60</f>
      </c>
      <c r="AB67" s="18">
        <f>AB60</f>
      </c>
      <c r="AC67" s="18">
        <f>AC60</f>
      </c>
      <c r="AD67" s="18">
        <f>AD60</f>
      </c>
      <c r="AE67" s="18">
        <f>AE60</f>
      </c>
      <c r="AF67" s="18">
        <f>AF60</f>
      </c>
      <c r="AG67" s="18">
        <f>AG60</f>
      </c>
      <c r="AH67" s="18">
        <f>AH60</f>
      </c>
      <c r="AI67" s="18">
        <f>AI60</f>
      </c>
      <c r="AJ67" s="18">
        <f>AJ60</f>
      </c>
      <c r="AK67" s="19"/>
    </row>
    <row r="68" ht="12.75" customHeight="1" spans="2:37" x14ac:dyDescent="0.25">
      <c r="B68" s="20" t="s">
        <v>45</v>
      </c>
      <c r="C68" s="21"/>
      <c r="D68" s="21"/>
      <c r="E68" s="22">
        <f>E64+E65+E66+E67</f>
      </c>
      <c r="F68" s="22">
        <f>F64+F65+F66+F67</f>
      </c>
      <c r="G68" s="22">
        <f>G64+G65+G66+G67</f>
      </c>
      <c r="H68" s="22">
        <f>H64+H65+H66+H67</f>
      </c>
      <c r="I68" s="22">
        <f>I64+I65+I66+I67</f>
      </c>
      <c r="J68" s="22">
        <f>J64+J65+J66+J67</f>
      </c>
      <c r="K68" s="22">
        <f>K64+K65+K66+K67</f>
      </c>
      <c r="L68" s="22">
        <f>L64+L65+L66+L67</f>
      </c>
      <c r="M68" s="22">
        <f>M64+M65+M66+M67</f>
      </c>
      <c r="N68" s="22">
        <f>N64+N65+N66+N67</f>
      </c>
      <c r="O68" s="22">
        <f>O64+O65+O66+O67</f>
      </c>
      <c r="P68" s="22">
        <f>P64+P65+P66+P67</f>
      </c>
      <c r="Q68" s="22">
        <f>Q64+Q65+Q66+Q67</f>
      </c>
      <c r="R68" s="22">
        <f>R64+R65+R66+R67</f>
      </c>
      <c r="S68" s="22">
        <f>S64+S65+S66+S67</f>
      </c>
      <c r="T68" s="22">
        <f>T64+T65+T66+T67</f>
      </c>
      <c r="U68" s="22">
        <f>U64+U65+U66+U67</f>
      </c>
      <c r="V68" s="22">
        <f>V64+V65+V66+V67</f>
      </c>
      <c r="W68" s="22">
        <f>W64+W65+W66+W67</f>
      </c>
      <c r="X68" s="22">
        <f>X64+X65+X66+X67</f>
      </c>
      <c r="Y68" s="22">
        <f>Y64+Y65+Y66+Y67</f>
      </c>
      <c r="Z68" s="22">
        <f>Z64+Z65+Z66+Z67</f>
      </c>
      <c r="AA68" s="22">
        <f>AA64+AA65+AA66+AA67</f>
      </c>
      <c r="AB68" s="22">
        <f>AB64+AB65+AB66+AB67</f>
      </c>
      <c r="AC68" s="22">
        <f>AC64+AC65+AC66+AC67</f>
      </c>
      <c r="AD68" s="22">
        <f>AD64+AD65+AD66+AD67</f>
      </c>
      <c r="AE68" s="22">
        <f>AE64+AE65+AE66+AE67</f>
      </c>
      <c r="AF68" s="22">
        <f>AF64+AF65+AF66+AF67</f>
      </c>
      <c r="AG68" s="22">
        <f>AG64+AG65+AG66+AG67</f>
      </c>
      <c r="AH68" s="22">
        <f>AH64+AH65+AH66+AH67</f>
      </c>
      <c r="AI68" s="22">
        <f>AI64+AI65+AI66+AI67</f>
      </c>
      <c r="AJ68" s="22">
        <f>AJ64+AJ65+AJ66+AJ67</f>
      </c>
      <c r="AK68" s="23"/>
    </row>
    <row r="70" ht="12.75" customHeight="1" spans="2:37" x14ac:dyDescent="0.25">
      <c r="B70" s="11" t="s">
        <v>46</v>
      </c>
      <c r="C70" s="12"/>
      <c r="D70" s="13"/>
      <c r="E70" s="14" t="s">
        <v>7</v>
      </c>
      <c r="F70" s="14" t="s">
        <v>8</v>
      </c>
      <c r="G70" s="14" t="s">
        <v>9</v>
      </c>
      <c r="H70" s="14" t="s">
        <v>10</v>
      </c>
      <c r="I70" s="14" t="s">
        <v>11</v>
      </c>
      <c r="J70" s="14" t="s">
        <v>12</v>
      </c>
      <c r="K70" s="14" t="s">
        <v>13</v>
      </c>
      <c r="L70" s="14" t="s">
        <v>14</v>
      </c>
      <c r="M70" s="14" t="s">
        <v>15</v>
      </c>
      <c r="N70" s="14" t="s">
        <v>16</v>
      </c>
      <c r="O70" s="14" t="s">
        <v>17</v>
      </c>
      <c r="P70" s="14" t="s">
        <v>18</v>
      </c>
      <c r="Q70" s="14" t="s">
        <v>19</v>
      </c>
      <c r="R70" s="14" t="s">
        <v>20</v>
      </c>
      <c r="S70" s="14" t="s">
        <v>21</v>
      </c>
      <c r="T70" s="14" t="s">
        <v>22</v>
      </c>
      <c r="U70" s="14" t="s">
        <v>23</v>
      </c>
      <c r="V70" s="14" t="s">
        <v>24</v>
      </c>
      <c r="W70" s="14" t="s">
        <v>25</v>
      </c>
      <c r="X70" s="14" t="s">
        <v>26</v>
      </c>
      <c r="Y70" s="14" t="s">
        <v>27</v>
      </c>
      <c r="Z70" s="14" t="s">
        <v>28</v>
      </c>
      <c r="AA70" s="14" t="s">
        <v>29</v>
      </c>
      <c r="AB70" s="14" t="s">
        <v>30</v>
      </c>
      <c r="AC70" s="14" t="s">
        <v>31</v>
      </c>
      <c r="AD70" s="14" t="s">
        <v>32</v>
      </c>
      <c r="AE70" s="14" t="s">
        <v>33</v>
      </c>
      <c r="AF70" s="14" t="s">
        <v>34</v>
      </c>
      <c r="AG70" s="14" t="s">
        <v>35</v>
      </c>
      <c r="AH70" s="14" t="s">
        <v>36</v>
      </c>
      <c r="AI70" s="14" t="s">
        <v>37</v>
      </c>
      <c r="AJ70" s="14" t="s">
        <v>38</v>
      </c>
      <c r="AK70" s="15"/>
    </row>
    <row r="71" ht="12.75" customHeight="1" spans="2:37" x14ac:dyDescent="0.25">
      <c r="B71" s="16" t="s">
        <v>41</v>
      </c>
      <c r="C71" s="17"/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9"/>
    </row>
    <row r="72" ht="12.75" customHeight="1" spans="2:37" x14ac:dyDescent="0.25">
      <c r="B72" s="16" t="s">
        <v>42</v>
      </c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9"/>
    </row>
    <row r="73" ht="12.75" customHeight="1" spans="2:37" x14ac:dyDescent="0.25">
      <c r="B73" s="16" t="s">
        <v>43</v>
      </c>
      <c r="C73" s="17"/>
      <c r="D73" s="1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9"/>
    </row>
    <row r="74" ht="12.75" customHeight="1" spans="2:37" x14ac:dyDescent="0.25">
      <c r="B74" s="16" t="s">
        <v>44</v>
      </c>
      <c r="C74" s="17"/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9"/>
    </row>
    <row r="75" ht="12.75" customHeight="1" spans="2:37" x14ac:dyDescent="0.25">
      <c r="B75" s="20" t="s">
        <v>45</v>
      </c>
      <c r="C75" s="21"/>
      <c r="D75" s="21"/>
      <c r="E75" s="22">
        <f>E71+E72+E73+E74</f>
      </c>
      <c r="F75" s="22">
        <f>F71+F72+F73+F74</f>
      </c>
      <c r="G75" s="22">
        <f>G71+G72+G73+G74</f>
      </c>
      <c r="H75" s="22">
        <f>H71+H72+H73+H74</f>
      </c>
      <c r="I75" s="22">
        <f>I71+I72+I73+I74</f>
      </c>
      <c r="J75" s="22">
        <f>J71+J72+J73+J74</f>
      </c>
      <c r="K75" s="22">
        <f>K71+K72+K73+K74</f>
      </c>
      <c r="L75" s="22">
        <f>L71+L72+L73+L74</f>
      </c>
      <c r="M75" s="22">
        <f>M71+M72+M73+M74</f>
      </c>
      <c r="N75" s="22">
        <f>N71+N72+N73+N74</f>
      </c>
      <c r="O75" s="22">
        <f>O71+O72+O73+O74</f>
      </c>
      <c r="P75" s="22">
        <f>P71+P72+P73+P74</f>
      </c>
      <c r="Q75" s="22">
        <f>Q71+Q72+Q73+Q74</f>
      </c>
      <c r="R75" s="22">
        <f>R71+R72+R73+R74</f>
      </c>
      <c r="S75" s="22">
        <f>S71+S72+S73+S74</f>
      </c>
      <c r="T75" s="22">
        <f>T71+T72+T73+T74</f>
      </c>
      <c r="U75" s="22">
        <f>U71+U72+U73+U74</f>
      </c>
      <c r="V75" s="22">
        <f>V71+V72+V73+V74</f>
      </c>
      <c r="W75" s="22">
        <f>W71+W72+W73+W74</f>
      </c>
      <c r="X75" s="22">
        <f>X71+X72+X73+X74</f>
      </c>
      <c r="Y75" s="22">
        <f>Y71+Y72+Y73+Y74</f>
      </c>
      <c r="Z75" s="22">
        <f>Z71+Z72+Z73+Z74</f>
      </c>
      <c r="AA75" s="22">
        <f>AA71+AA72+AA73+AA74</f>
      </c>
      <c r="AB75" s="22">
        <f>AB71+AB72+AB73+AB74</f>
      </c>
      <c r="AC75" s="22">
        <f>AC71+AC72+AC73+AC74</f>
      </c>
      <c r="AD75" s="22">
        <f>AD71+AD72+AD73+AD74</f>
      </c>
      <c r="AE75" s="22">
        <f>AE71+AE72+AE73+AE74</f>
      </c>
      <c r="AF75" s="22">
        <f>AF71+AF72+AF73+AF74</f>
      </c>
      <c r="AG75" s="22">
        <f>AG71+AG72+AG73+AG74</f>
      </c>
      <c r="AH75" s="22">
        <f>AH71+AH72+AH73+AH74</f>
      </c>
      <c r="AI75" s="22">
        <f>AI71+AI72+AI73+AI74</f>
      </c>
      <c r="AJ75" s="22">
        <f>AJ71+AJ72+AJ73+AJ74</f>
      </c>
      <c r="AK75" s="23"/>
    </row>
    <row r="77" ht="12.75" customHeight="1" spans="2:37" x14ac:dyDescent="0.25">
      <c r="B77" s="11" t="s">
        <v>47</v>
      </c>
      <c r="C77" s="12"/>
      <c r="D77" s="13"/>
      <c r="E77" s="14" t="s">
        <v>7</v>
      </c>
      <c r="F77" s="14" t="s">
        <v>8</v>
      </c>
      <c r="G77" s="14" t="s">
        <v>9</v>
      </c>
      <c r="H77" s="14" t="s">
        <v>10</v>
      </c>
      <c r="I77" s="14" t="s">
        <v>11</v>
      </c>
      <c r="J77" s="14" t="s">
        <v>12</v>
      </c>
      <c r="K77" s="14" t="s">
        <v>13</v>
      </c>
      <c r="L77" s="14" t="s">
        <v>14</v>
      </c>
      <c r="M77" s="14" t="s">
        <v>15</v>
      </c>
      <c r="N77" s="14" t="s">
        <v>16</v>
      </c>
      <c r="O77" s="14" t="s">
        <v>17</v>
      </c>
      <c r="P77" s="14" t="s">
        <v>18</v>
      </c>
      <c r="Q77" s="14" t="s">
        <v>19</v>
      </c>
      <c r="R77" s="14" t="s">
        <v>20</v>
      </c>
      <c r="S77" s="14" t="s">
        <v>21</v>
      </c>
      <c r="T77" s="14" t="s">
        <v>22</v>
      </c>
      <c r="U77" s="14" t="s">
        <v>23</v>
      </c>
      <c r="V77" s="14" t="s">
        <v>24</v>
      </c>
      <c r="W77" s="14" t="s">
        <v>25</v>
      </c>
      <c r="X77" s="14" t="s">
        <v>26</v>
      </c>
      <c r="Y77" s="14" t="s">
        <v>27</v>
      </c>
      <c r="Z77" s="14" t="s">
        <v>28</v>
      </c>
      <c r="AA77" s="14" t="s">
        <v>29</v>
      </c>
      <c r="AB77" s="14" t="s">
        <v>30</v>
      </c>
      <c r="AC77" s="14" t="s">
        <v>31</v>
      </c>
      <c r="AD77" s="14" t="s">
        <v>32</v>
      </c>
      <c r="AE77" s="14" t="s">
        <v>33</v>
      </c>
      <c r="AF77" s="14" t="s">
        <v>34</v>
      </c>
      <c r="AG77" s="14" t="s">
        <v>35</v>
      </c>
      <c r="AH77" s="14" t="s">
        <v>36</v>
      </c>
      <c r="AI77" s="14" t="s">
        <v>37</v>
      </c>
      <c r="AJ77" s="14" t="s">
        <v>38</v>
      </c>
      <c r="AK77" s="15"/>
    </row>
    <row r="78" ht="12.75" customHeight="1" spans="2:37" x14ac:dyDescent="0.25">
      <c r="B78" s="16" t="s">
        <v>41</v>
      </c>
      <c r="C78" s="17"/>
      <c r="D78" s="17"/>
      <c r="E78" s="24">
        <f>E71-E64</f>
      </c>
      <c r="F78" s="24">
        <f>F71-F64</f>
      </c>
      <c r="G78" s="24">
        <f>G71-G64</f>
      </c>
      <c r="H78" s="24">
        <f>H71-H64</f>
      </c>
      <c r="I78" s="24">
        <f>I71-I64</f>
      </c>
      <c r="J78" s="24">
        <f>J71-J64</f>
      </c>
      <c r="K78" s="24">
        <f>K71-K64</f>
      </c>
      <c r="L78" s="24">
        <f>L71-L64</f>
      </c>
      <c r="M78" s="24">
        <f>M71-M64</f>
      </c>
      <c r="N78" s="24">
        <f>N71-N64</f>
      </c>
      <c r="O78" s="24">
        <f>O71-O64</f>
      </c>
      <c r="P78" s="24">
        <f>P71-P64</f>
      </c>
      <c r="Q78" s="24">
        <f>Q71-Q64</f>
      </c>
      <c r="R78" s="24">
        <f>R71-R64</f>
      </c>
      <c r="S78" s="24">
        <f>S71-S64</f>
      </c>
      <c r="T78" s="24">
        <f>T71-T64</f>
      </c>
      <c r="U78" s="24">
        <f>U71-U64</f>
      </c>
      <c r="V78" s="24">
        <f>V71-V64</f>
      </c>
      <c r="W78" s="24">
        <f>W71-W64</f>
      </c>
      <c r="X78" s="24">
        <f>X71-X64</f>
      </c>
      <c r="Y78" s="24">
        <f>Y71-Y64</f>
      </c>
      <c r="Z78" s="24">
        <f>Z71-Z64</f>
      </c>
      <c r="AA78" s="24">
        <f>AA71-AA64</f>
      </c>
      <c r="AB78" s="24">
        <f>AB71-AB64</f>
      </c>
      <c r="AC78" s="24">
        <f>AC71-AC64</f>
      </c>
      <c r="AD78" s="24">
        <f>AD71-AD64</f>
      </c>
      <c r="AE78" s="24">
        <f>AE71-AE64</f>
      </c>
      <c r="AF78" s="24">
        <f>AF71-AF64</f>
      </c>
      <c r="AG78" s="24">
        <f>AG71-AG64</f>
      </c>
      <c r="AH78" s="24">
        <f>AH71-AH64</f>
      </c>
      <c r="AI78" s="24">
        <f>AI71-AI64</f>
      </c>
      <c r="AJ78" s="24">
        <f>AJ71-AJ64</f>
      </c>
      <c r="AK78" s="19"/>
    </row>
    <row r="79" ht="12.75" customHeight="1" spans="2:37" x14ac:dyDescent="0.25">
      <c r="B79" s="16" t="s">
        <v>42</v>
      </c>
      <c r="C79" s="17"/>
      <c r="D79" s="17"/>
      <c r="E79" s="24">
        <f>E72-E65</f>
      </c>
      <c r="F79" s="24">
        <f>F72-F65</f>
      </c>
      <c r="G79" s="24">
        <f>G72-G65</f>
      </c>
      <c r="H79" s="24">
        <f>H72-H65</f>
      </c>
      <c r="I79" s="24">
        <f>I72-I65</f>
      </c>
      <c r="J79" s="24">
        <f>J72-J65</f>
      </c>
      <c r="K79" s="24">
        <f>K72-K65</f>
      </c>
      <c r="L79" s="24">
        <f>L72-L65</f>
      </c>
      <c r="M79" s="24">
        <f>M72-M65</f>
      </c>
      <c r="N79" s="24">
        <f>N72-N65</f>
      </c>
      <c r="O79" s="24">
        <f>O72-O65</f>
      </c>
      <c r="P79" s="24">
        <f>P72-P65</f>
      </c>
      <c r="Q79" s="24">
        <f>Q72-Q65</f>
      </c>
      <c r="R79" s="24">
        <f>R72-R65</f>
      </c>
      <c r="S79" s="24">
        <f>S72-S65</f>
      </c>
      <c r="T79" s="24">
        <f>T72-T65</f>
      </c>
      <c r="U79" s="24">
        <f>U72-U65</f>
      </c>
      <c r="V79" s="24">
        <f>V72-V65</f>
      </c>
      <c r="W79" s="24">
        <f>W72-W65</f>
      </c>
      <c r="X79" s="24">
        <f>X72-X65</f>
      </c>
      <c r="Y79" s="24">
        <f>Y72-Y65</f>
      </c>
      <c r="Z79" s="24">
        <f>Z72-Z65</f>
      </c>
      <c r="AA79" s="24">
        <f>AA72-AA65</f>
      </c>
      <c r="AB79" s="24">
        <f>AB72-AB65</f>
      </c>
      <c r="AC79" s="24">
        <f>AC72-AC65</f>
      </c>
      <c r="AD79" s="24">
        <f>AD72-AD65</f>
      </c>
      <c r="AE79" s="24">
        <f>AE72-AE65</f>
      </c>
      <c r="AF79" s="24">
        <f>AF72-AF65</f>
      </c>
      <c r="AG79" s="24">
        <f>AG72-AG65</f>
      </c>
      <c r="AH79" s="24">
        <f>AH72-AH65</f>
      </c>
      <c r="AI79" s="24">
        <f>AI72-AI65</f>
      </c>
      <c r="AJ79" s="24">
        <f>AJ72-AJ65</f>
      </c>
      <c r="AK79" s="19"/>
    </row>
    <row r="80" ht="12.75" customHeight="1" spans="2:37" x14ac:dyDescent="0.25">
      <c r="B80" s="16" t="s">
        <v>43</v>
      </c>
      <c r="C80" s="17"/>
      <c r="D80" s="17"/>
      <c r="E80" s="24">
        <f>E73-E66</f>
      </c>
      <c r="F80" s="24">
        <f>F73-F66</f>
      </c>
      <c r="G80" s="24">
        <f>G73-G66</f>
      </c>
      <c r="H80" s="24">
        <f>H73-H66</f>
      </c>
      <c r="I80" s="24">
        <f>I73-I66</f>
      </c>
      <c r="J80" s="24">
        <f>J73-J66</f>
      </c>
      <c r="K80" s="24">
        <f>K73-K66</f>
      </c>
      <c r="L80" s="24">
        <f>L73-L66</f>
      </c>
      <c r="M80" s="24">
        <f>M73-M66</f>
      </c>
      <c r="N80" s="24">
        <f>N73-N66</f>
      </c>
      <c r="O80" s="24">
        <f>O73-O66</f>
      </c>
      <c r="P80" s="24">
        <f>P73-P66</f>
      </c>
      <c r="Q80" s="24">
        <f>Q73-Q66</f>
      </c>
      <c r="R80" s="24">
        <f>R73-R66</f>
      </c>
      <c r="S80" s="24">
        <f>S73-S66</f>
      </c>
      <c r="T80" s="24">
        <f>T73-T66</f>
      </c>
      <c r="U80" s="24">
        <f>U73-U66</f>
      </c>
      <c r="V80" s="24">
        <f>V73-V66</f>
      </c>
      <c r="W80" s="24">
        <f>W73-W66</f>
      </c>
      <c r="X80" s="24">
        <f>X73-X66</f>
      </c>
      <c r="Y80" s="24">
        <f>Y73-Y66</f>
      </c>
      <c r="Z80" s="24">
        <f>Z73-Z66</f>
      </c>
      <c r="AA80" s="24">
        <f>AA73-AA66</f>
      </c>
      <c r="AB80" s="24">
        <f>AB73-AB66</f>
      </c>
      <c r="AC80" s="24">
        <f>AC73-AC66</f>
      </c>
      <c r="AD80" s="24">
        <f>AD73-AD66</f>
      </c>
      <c r="AE80" s="24">
        <f>AE73-AE66</f>
      </c>
      <c r="AF80" s="24">
        <f>AF73-AF66</f>
      </c>
      <c r="AG80" s="24">
        <f>AG73-AG66</f>
      </c>
      <c r="AH80" s="24">
        <f>AH73-AH66</f>
      </c>
      <c r="AI80" s="24">
        <f>AI73-AI66</f>
      </c>
      <c r="AJ80" s="24">
        <f>AJ73-AJ66</f>
      </c>
      <c r="AK80" s="19"/>
    </row>
    <row r="81" ht="12.75" customHeight="1" spans="2:37" x14ac:dyDescent="0.25">
      <c r="B81" s="16" t="s">
        <v>44</v>
      </c>
      <c r="C81" s="17"/>
      <c r="D81" s="17"/>
      <c r="E81" s="24">
        <f>E74-E67</f>
      </c>
      <c r="F81" s="24">
        <f>F74-F67</f>
      </c>
      <c r="G81" s="24">
        <f>G74-G67</f>
      </c>
      <c r="H81" s="24">
        <f>H74-H67</f>
      </c>
      <c r="I81" s="24">
        <f>I74-I67</f>
      </c>
      <c r="J81" s="24">
        <f>J74-J67</f>
      </c>
      <c r="K81" s="24">
        <f>K74-K67</f>
      </c>
      <c r="L81" s="24">
        <f>L74-L67</f>
      </c>
      <c r="M81" s="24">
        <f>M74-M67</f>
      </c>
      <c r="N81" s="24">
        <f>N74-N67</f>
      </c>
      <c r="O81" s="24">
        <f>O74-O67</f>
      </c>
      <c r="P81" s="24">
        <f>P74-P67</f>
      </c>
      <c r="Q81" s="24">
        <f>Q74-Q67</f>
      </c>
      <c r="R81" s="24">
        <f>R74-R67</f>
      </c>
      <c r="S81" s="24">
        <f>S74-S67</f>
      </c>
      <c r="T81" s="24">
        <f>T74-T67</f>
      </c>
      <c r="U81" s="24">
        <f>U74-U67</f>
      </c>
      <c r="V81" s="24">
        <f>V74-V67</f>
      </c>
      <c r="W81" s="24">
        <f>W74-W67</f>
      </c>
      <c r="X81" s="24">
        <f>X74-X67</f>
      </c>
      <c r="Y81" s="24">
        <f>Y74-Y67</f>
      </c>
      <c r="Z81" s="24">
        <f>Z74-Z67</f>
      </c>
      <c r="AA81" s="24">
        <f>AA74-AA67</f>
      </c>
      <c r="AB81" s="24">
        <f>AB74-AB67</f>
      </c>
      <c r="AC81" s="24">
        <f>AC74-AC67</f>
      </c>
      <c r="AD81" s="24">
        <f>AD74-AD67</f>
      </c>
      <c r="AE81" s="24">
        <f>AE74-AE67</f>
      </c>
      <c r="AF81" s="24">
        <f>AF74-AF67</f>
      </c>
      <c r="AG81" s="24">
        <f>AG74-AG67</f>
      </c>
      <c r="AH81" s="24">
        <f>AH74-AH67</f>
      </c>
      <c r="AI81" s="24">
        <f>AI74-AI67</f>
      </c>
      <c r="AJ81" s="24">
        <f>AJ74-AJ67</f>
      </c>
      <c r="AK81" s="19"/>
    </row>
    <row r="82" ht="12.75" customHeight="1" spans="2:37" x14ac:dyDescent="0.25">
      <c r="B82" s="20" t="s">
        <v>45</v>
      </c>
      <c r="C82" s="21"/>
      <c r="D82" s="21"/>
      <c r="E82" s="25">
        <f>E78+E79+E80+E81</f>
      </c>
      <c r="F82" s="25">
        <f>F78+F79+F80+F81</f>
      </c>
      <c r="G82" s="25">
        <f>G78+G79+G80+G81</f>
      </c>
      <c r="H82" s="25">
        <f>H78+H79+H80+H81</f>
      </c>
      <c r="I82" s="25">
        <f>I78+I79+I80+I81</f>
      </c>
      <c r="J82" s="25">
        <f>J78+J79+J80+J81</f>
      </c>
      <c r="K82" s="25">
        <f>K78+K79+K80+K81</f>
      </c>
      <c r="L82" s="25">
        <f>L78+L79+L80+L81</f>
      </c>
      <c r="M82" s="25">
        <f>M78+M79+M80+M81</f>
      </c>
      <c r="N82" s="25">
        <f>N78+N79+N80+N81</f>
      </c>
      <c r="O82" s="25">
        <f>O78+O79+O80+O81</f>
      </c>
      <c r="P82" s="25">
        <f>P78+P79+P80+P81</f>
      </c>
      <c r="Q82" s="25">
        <f>Q78+Q79+Q80+Q81</f>
      </c>
      <c r="R82" s="25">
        <f>R78+R79+R80+R81</f>
      </c>
      <c r="S82" s="25">
        <f>S78+S79+S80+S81</f>
      </c>
      <c r="T82" s="25">
        <f>T78+T79+T80+T81</f>
      </c>
      <c r="U82" s="25">
        <f>U78+U79+U80+U81</f>
      </c>
      <c r="V82" s="25">
        <f>V78+V79+V80+V81</f>
      </c>
      <c r="W82" s="25">
        <f>W78+W79+W80+W81</f>
      </c>
      <c r="X82" s="25">
        <f>X78+X79+X80+X81</f>
      </c>
      <c r="Y82" s="25">
        <f>Y78+Y79+Y80+Y81</f>
      </c>
      <c r="Z82" s="25">
        <f>Z78+Z79+Z80+Z81</f>
      </c>
      <c r="AA82" s="25">
        <f>AA78+AA79+AA80+AA81</f>
      </c>
      <c r="AB82" s="25">
        <f>AB78+AB79+AB80+AB81</f>
      </c>
      <c r="AC82" s="25">
        <f>AC78+AC79+AC80+AC81</f>
      </c>
      <c r="AD82" s="25">
        <f>AD78+AD79+AD80+AD81</f>
      </c>
      <c r="AE82" s="25">
        <f>AE78+AE79+AE80+AE81</f>
      </c>
      <c r="AF82" s="25">
        <f>AF78+AF79+AF80+AF81</f>
      </c>
      <c r="AG82" s="25">
        <f>AG78+AG79+AG80+AG81</f>
      </c>
      <c r="AH82" s="25">
        <f>AH78+AH79+AH80+AH81</f>
      </c>
      <c r="AI82" s="25">
        <f>AI78+AI79+AI80+AI81</f>
      </c>
      <c r="AJ82" s="25">
        <f>AJ78+AJ79+AJ80+AJ81</f>
      </c>
      <c r="AK8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1611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1646</v>
      </c>
      <c r="K8" s="44" t="s">
        <v>1647</v>
      </c>
      <c r="L8" s="44" t="s">
        <v>1648</v>
      </c>
      <c r="M8" s="44" t="s">
        <v>1649</v>
      </c>
      <c r="N8" s="44" t="s">
        <v>1650</v>
      </c>
      <c r="O8" s="44" t="s">
        <v>1651</v>
      </c>
      <c r="P8" s="44" t="s">
        <v>1652</v>
      </c>
      <c r="Q8" s="44" t="s">
        <v>1653</v>
      </c>
      <c r="R8" s="44" t="s">
        <v>1654</v>
      </c>
      <c r="S8" s="44" t="s">
        <v>1655</v>
      </c>
      <c r="T8" s="44" t="s">
        <v>1656</v>
      </c>
      <c r="U8" s="44" t="s">
        <v>1657</v>
      </c>
      <c r="V8" s="44" t="s">
        <v>1658</v>
      </c>
      <c r="W8" s="44" t="s">
        <v>1659</v>
      </c>
      <c r="X8" s="44" t="s">
        <v>1660</v>
      </c>
      <c r="Y8" s="44" t="s">
        <v>1661</v>
      </c>
      <c r="Z8" s="44" t="s">
        <v>1662</v>
      </c>
      <c r="AA8" s="44" t="s">
        <v>1663</v>
      </c>
      <c r="AB8" s="44" t="s">
        <v>1408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1611</v>
      </c>
      <c r="D14" s="50" t="s">
        <v>42</v>
      </c>
      <c r="E14" s="32" t="s">
        <v>3</v>
      </c>
      <c r="F14" s="32" t="s">
        <v>1612</v>
      </c>
      <c r="G14" s="32"/>
      <c r="H14" s="32"/>
      <c r="I14" s="32"/>
      <c r="J14" s="32"/>
      <c r="K14" s="33">
        <v>35.02</v>
      </c>
      <c r="L14" s="33">
        <v>35.44</v>
      </c>
      <c r="M14" s="33">
        <v>32.42</v>
      </c>
      <c r="N14" s="33">
        <v>32.07</v>
      </c>
      <c r="O14" s="33">
        <v>35.06</v>
      </c>
      <c r="P14" s="33">
        <f>0.00+37.73</f>
        <v>37.73</v>
      </c>
      <c r="Q14" s="33">
        <v>38.08</v>
      </c>
      <c r="R14" s="33">
        <v>36.95</v>
      </c>
      <c r="S14" s="33">
        <v>37.27</v>
      </c>
      <c r="T14" s="33">
        <f>35.70+33.50</f>
        <v>69.2</v>
      </c>
      <c r="U14" s="32"/>
      <c r="V14" s="33">
        <v>32.61</v>
      </c>
      <c r="W14" s="33">
        <v>33.08</v>
      </c>
      <c r="X14" s="33">
        <v>34.16</v>
      </c>
      <c r="Y14" s="33">
        <v>31.94</v>
      </c>
      <c r="Z14" s="33">
        <f>0.00+34.16</f>
        <v>34.16</v>
      </c>
      <c r="AA14" s="33">
        <v>39.22</v>
      </c>
      <c r="AB14" s="33">
        <v>47.99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1611</v>
      </c>
      <c r="D15" s="50" t="s">
        <v>42</v>
      </c>
      <c r="E15" s="32" t="s">
        <v>3</v>
      </c>
      <c r="F15" s="32" t="s">
        <v>1613</v>
      </c>
      <c r="G15" s="33">
        <v>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>
        <f>16.00+0.00+0.00</f>
        <v>16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1611</v>
      </c>
      <c r="D16" s="50" t="s">
        <v>42</v>
      </c>
      <c r="E16" s="32" t="s">
        <v>3</v>
      </c>
      <c r="F16" s="32" t="s">
        <v>1614</v>
      </c>
      <c r="G16" s="32"/>
      <c r="H16" s="32"/>
      <c r="I16" s="32"/>
      <c r="J16" s="32"/>
      <c r="K16" s="33">
        <v>283.34</v>
      </c>
      <c r="L16" s="33">
        <v>285.43</v>
      </c>
      <c r="M16" s="33">
        <v>285.43</v>
      </c>
      <c r="N16" s="33">
        <v>280.38</v>
      </c>
      <c r="O16" s="33">
        <v>278.12</v>
      </c>
      <c r="P16" s="33">
        <v>278.12</v>
      </c>
      <c r="Q16" s="33">
        <v>278.12</v>
      </c>
      <c r="R16" s="33">
        <v>276.13</v>
      </c>
      <c r="S16" s="33">
        <v>278.12</v>
      </c>
      <c r="T16" s="33">
        <f>278.12+278.12</f>
        <v>556.24</v>
      </c>
      <c r="U16" s="32"/>
      <c r="V16" s="33">
        <v>278.12</v>
      </c>
      <c r="W16" s="33">
        <v>293.67</v>
      </c>
      <c r="X16" s="33">
        <v>295.58</v>
      </c>
      <c r="Y16" s="33">
        <v>295.58</v>
      </c>
      <c r="Z16" s="33">
        <v>295.58</v>
      </c>
      <c r="AA16" s="33">
        <v>295.58</v>
      </c>
      <c r="AB16" s="33">
        <f>295.58+0.00</f>
        <v>295.58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1611</v>
      </c>
      <c r="D17" s="50" t="s">
        <v>42</v>
      </c>
      <c r="E17" s="32" t="s">
        <v>3</v>
      </c>
      <c r="F17" s="32" t="s">
        <v>1615</v>
      </c>
      <c r="G17" s="32"/>
      <c r="H17" s="32"/>
      <c r="I17" s="32"/>
      <c r="J17" s="32"/>
      <c r="K17" s="33">
        <v>29.81</v>
      </c>
      <c r="L17" s="33">
        <v>29.81</v>
      </c>
      <c r="M17" s="33">
        <v>29.81</v>
      </c>
      <c r="N17" s="33">
        <v>29.81</v>
      </c>
      <c r="O17" s="33">
        <v>29.81</v>
      </c>
      <c r="P17" s="33">
        <v>29.81</v>
      </c>
      <c r="Q17" s="33">
        <v>29.81</v>
      </c>
      <c r="R17" s="33">
        <v>29.81</v>
      </c>
      <c r="S17" s="33">
        <v>29.81</v>
      </c>
      <c r="T17" s="33">
        <f>29.81+29.81</f>
        <v>59.62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1611</v>
      </c>
      <c r="D18" s="50" t="s">
        <v>42</v>
      </c>
      <c r="E18" s="32" t="s">
        <v>3</v>
      </c>
      <c r="F18" s="32" t="s">
        <v>1616</v>
      </c>
      <c r="G18" s="32"/>
      <c r="H18" s="32"/>
      <c r="I18" s="32"/>
      <c r="J18" s="32"/>
      <c r="K18" s="33">
        <v>227.6</v>
      </c>
      <c r="L18" s="33">
        <v>292.57</v>
      </c>
      <c r="M18" s="33">
        <v>269.1</v>
      </c>
      <c r="N18" s="33">
        <v>193.42</v>
      </c>
      <c r="O18" s="33">
        <v>142.82</v>
      </c>
      <c r="P18" s="33">
        <v>194.72</v>
      </c>
      <c r="Q18" s="33">
        <v>178.16</v>
      </c>
      <c r="R18" s="33">
        <v>153.54</v>
      </c>
      <c r="S18" s="33">
        <v>152.67</v>
      </c>
      <c r="T18" s="33">
        <f>110.19+119.11</f>
        <v>229.3</v>
      </c>
      <c r="U18" s="32"/>
      <c r="V18" s="33">
        <v>183.1</v>
      </c>
      <c r="W18" s="33">
        <v>271.86</v>
      </c>
      <c r="X18" s="33">
        <v>357.18</v>
      </c>
      <c r="Y18" s="33">
        <v>221.86</v>
      </c>
      <c r="Z18" s="33">
        <v>163.5</v>
      </c>
      <c r="AA18" s="33">
        <v>73.86</v>
      </c>
      <c r="AB18" s="33">
        <f>0.00+125.10</f>
        <v>125.1</v>
      </c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1611</v>
      </c>
      <c r="D19" s="50" t="s">
        <v>42</v>
      </c>
      <c r="E19" s="32" t="s">
        <v>3</v>
      </c>
      <c r="F19" s="32" t="s">
        <v>1617</v>
      </c>
      <c r="G19" s="32"/>
      <c r="H19" s="32"/>
      <c r="I19" s="32"/>
      <c r="J19" s="32"/>
      <c r="K19" s="33">
        <v>1346.35</v>
      </c>
      <c r="L19" s="33">
        <v>1088.54</v>
      </c>
      <c r="M19" s="33">
        <v>1084.87</v>
      </c>
      <c r="N19" s="33">
        <v>963.91</v>
      </c>
      <c r="O19" s="33">
        <v>697.2</v>
      </c>
      <c r="P19" s="33">
        <v>602.39</v>
      </c>
      <c r="Q19" s="33">
        <v>579.23</v>
      </c>
      <c r="R19" s="33">
        <v>521.94</v>
      </c>
      <c r="S19" s="33">
        <v>578.01</v>
      </c>
      <c r="T19" s="33">
        <f>591.44+708.72</f>
        <v>1300.16</v>
      </c>
      <c r="U19" s="32"/>
      <c r="V19" s="33">
        <v>1087.85</v>
      </c>
      <c r="W19" s="33">
        <v>1099.31</v>
      </c>
      <c r="X19" s="33">
        <v>1065.2</v>
      </c>
      <c r="Y19" s="33">
        <v>873.83</v>
      </c>
      <c r="Z19" s="33">
        <v>865.03</v>
      </c>
      <c r="AA19" s="33">
        <v>631.74</v>
      </c>
      <c r="AB19" s="33">
        <f>533.63+0.00</f>
        <v>533.63</v>
      </c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1611</v>
      </c>
      <c r="D20" s="50" t="s">
        <v>42</v>
      </c>
      <c r="E20" s="32" t="s">
        <v>3</v>
      </c>
      <c r="F20" s="32" t="s">
        <v>1618</v>
      </c>
      <c r="G20" s="32"/>
      <c r="H20" s="32"/>
      <c r="I20" s="32"/>
      <c r="J20" s="32"/>
      <c r="K20" s="33">
        <v>33.53</v>
      </c>
      <c r="L20" s="33">
        <v>34.29</v>
      </c>
      <c r="M20" s="33">
        <v>35.09</v>
      </c>
      <c r="N20" s="33">
        <v>34.86</v>
      </c>
      <c r="O20" s="33">
        <v>40.09</v>
      </c>
      <c r="P20" s="33">
        <f>0.00+50.68</f>
        <v>50.68</v>
      </c>
      <c r="Q20" s="33">
        <v>53.12</v>
      </c>
      <c r="R20" s="33">
        <v>50.56</v>
      </c>
      <c r="S20" s="33">
        <v>52.13</v>
      </c>
      <c r="T20" s="33">
        <f>43.02+36.10</f>
        <v>79.12</v>
      </c>
      <c r="U20" s="32"/>
      <c r="V20" s="33">
        <v>31.81</v>
      </c>
      <c r="W20" s="33">
        <v>32.31</v>
      </c>
      <c r="X20" s="33">
        <v>37.78</v>
      </c>
      <c r="Y20" s="33">
        <v>36.53</v>
      </c>
      <c r="Z20" s="33">
        <f>0.00+40.45</f>
        <v>40.45</v>
      </c>
      <c r="AA20" s="33">
        <v>46.75</v>
      </c>
      <c r="AB20" s="33">
        <v>33.34</v>
      </c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1611</v>
      </c>
      <c r="D21" s="50" t="s">
        <v>42</v>
      </c>
      <c r="E21" s="32" t="s">
        <v>3</v>
      </c>
      <c r="F21" s="32" t="s">
        <v>1619</v>
      </c>
      <c r="G21" s="32"/>
      <c r="H21" s="32"/>
      <c r="I21" s="32"/>
      <c r="J21" s="32"/>
      <c r="K21" s="33">
        <v>29.81</v>
      </c>
      <c r="L21" s="33">
        <v>29.81</v>
      </c>
      <c r="M21" s="33">
        <v>29.81</v>
      </c>
      <c r="N21" s="33">
        <v>29.81</v>
      </c>
      <c r="O21" s="33">
        <v>29.81</v>
      </c>
      <c r="P21" s="33">
        <v>29.81</v>
      </c>
      <c r="Q21" s="33">
        <v>29.81</v>
      </c>
      <c r="R21" s="33">
        <v>29.81</v>
      </c>
      <c r="S21" s="33">
        <v>29.81</v>
      </c>
      <c r="T21" s="33">
        <f>29.81+29.81</f>
        <v>59.62</v>
      </c>
      <c r="U21" s="32"/>
      <c r="V21" s="33">
        <v>29.81</v>
      </c>
      <c r="W21" s="33">
        <v>29.81</v>
      </c>
      <c r="X21" s="33">
        <v>29.81</v>
      </c>
      <c r="Y21" s="33">
        <v>29.81</v>
      </c>
      <c r="Z21" s="33">
        <v>29.81</v>
      </c>
      <c r="AA21" s="33">
        <v>29.81</v>
      </c>
      <c r="AB21" s="33">
        <v>29.81</v>
      </c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1611</v>
      </c>
      <c r="D22" s="50" t="s">
        <v>42</v>
      </c>
      <c r="E22" s="32" t="s">
        <v>3</v>
      </c>
      <c r="F22" s="32" t="s">
        <v>1620</v>
      </c>
      <c r="G22" s="32"/>
      <c r="H22" s="32"/>
      <c r="I22" s="32"/>
      <c r="J22" s="32"/>
      <c r="K22" s="33">
        <v>29.81</v>
      </c>
      <c r="L22" s="33">
        <v>29.81</v>
      </c>
      <c r="M22" s="33">
        <f>0.00+29.81</f>
        <v>29.81</v>
      </c>
      <c r="N22" s="33">
        <v>29.81</v>
      </c>
      <c r="O22" s="33">
        <v>29.81</v>
      </c>
      <c r="P22" s="33">
        <v>29.81</v>
      </c>
      <c r="Q22" s="33">
        <v>29.81</v>
      </c>
      <c r="R22" s="33">
        <v>29.81</v>
      </c>
      <c r="S22" s="33">
        <v>29.81</v>
      </c>
      <c r="T22" s="33">
        <f>29.81+29.81</f>
        <v>59.62</v>
      </c>
      <c r="U22" s="32"/>
      <c r="V22" s="33">
        <v>29.81</v>
      </c>
      <c r="W22" s="33">
        <v>29.81</v>
      </c>
      <c r="X22" s="33">
        <f>0.00+29.81</f>
        <v>29.81</v>
      </c>
      <c r="Y22" s="33">
        <v>32.93</v>
      </c>
      <c r="Z22" s="33">
        <v>33.62</v>
      </c>
      <c r="AA22" s="33">
        <v>52.78</v>
      </c>
      <c r="AB22" s="33">
        <v>89.36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1611</v>
      </c>
      <c r="D23" s="50" t="s">
        <v>42</v>
      </c>
      <c r="E23" s="32" t="s">
        <v>3</v>
      </c>
      <c r="F23" s="32" t="s">
        <v>1621</v>
      </c>
      <c r="G23" s="32"/>
      <c r="H23" s="32"/>
      <c r="I23" s="32"/>
      <c r="J23" s="32"/>
      <c r="K23" s="33">
        <v>167.6</v>
      </c>
      <c r="L23" s="33">
        <v>156.9</v>
      </c>
      <c r="M23" s="33">
        <f>203.92+128.91</f>
        <v>332.83</v>
      </c>
      <c r="N23" s="32"/>
      <c r="O23" s="32"/>
      <c r="P23" s="32"/>
      <c r="Q23" s="32"/>
      <c r="R23" s="32"/>
      <c r="S23" s="32"/>
      <c r="T23" s="33">
        <v>285.44</v>
      </c>
      <c r="U23" s="32"/>
      <c r="V23" s="33">
        <v>231.23</v>
      </c>
      <c r="W23" s="33">
        <v>270.42</v>
      </c>
      <c r="X23" s="33">
        <v>316.68</v>
      </c>
      <c r="Y23" s="33">
        <v>243.11</v>
      </c>
      <c r="Z23" s="33">
        <v>308.5</v>
      </c>
      <c r="AA23" s="33">
        <v>367.82</v>
      </c>
      <c r="AB23" s="33">
        <v>474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1611</v>
      </c>
      <c r="D24" s="50" t="s">
        <v>42</v>
      </c>
      <c r="E24" s="32" t="s">
        <v>3</v>
      </c>
      <c r="F24" s="32" t="s">
        <v>1622</v>
      </c>
      <c r="G24" s="32"/>
      <c r="H24" s="32"/>
      <c r="I24" s="32"/>
      <c r="J24" s="32"/>
      <c r="K24" s="33">
        <v>108.1</v>
      </c>
      <c r="L24" s="33">
        <v>100.17</v>
      </c>
      <c r="M24" s="33">
        <v>68.5</v>
      </c>
      <c r="N24" s="33">
        <v>58.46</v>
      </c>
      <c r="O24" s="33">
        <v>51.82</v>
      </c>
      <c r="P24" s="33">
        <v>50.35</v>
      </c>
      <c r="Q24" s="33">
        <v>51.31</v>
      </c>
      <c r="R24" s="33">
        <v>48.76</v>
      </c>
      <c r="S24" s="33">
        <v>60.89</v>
      </c>
      <c r="T24" s="33">
        <f>56.77+54.41</f>
        <v>111.18</v>
      </c>
      <c r="U24" s="32"/>
      <c r="V24" s="33">
        <v>68.43</v>
      </c>
      <c r="W24" s="33">
        <v>61.44</v>
      </c>
      <c r="X24" s="33">
        <v>56.45</v>
      </c>
      <c r="Y24" s="33">
        <v>53.42</v>
      </c>
      <c r="Z24" s="33">
        <v>51.33</v>
      </c>
      <c r="AA24" s="33">
        <v>49.64</v>
      </c>
      <c r="AB24" s="33">
        <f>0.00+49.79</f>
        <v>49.79</v>
      </c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1611</v>
      </c>
      <c r="D25" s="50" t="s">
        <v>42</v>
      </c>
      <c r="E25" s="32" t="s">
        <v>3</v>
      </c>
      <c r="F25" s="32" t="s">
        <v>1623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f>51.92+0.00</f>
        <v>51.92</v>
      </c>
      <c r="U25" s="33">
        <v>34.86</v>
      </c>
      <c r="V25" s="33">
        <v>28.84</v>
      </c>
      <c r="W25" s="33">
        <v>29.91</v>
      </c>
      <c r="X25" s="33">
        <v>74.36</v>
      </c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1611</v>
      </c>
      <c r="D26" s="50" t="s">
        <v>42</v>
      </c>
      <c r="E26" s="32" t="s">
        <v>3</v>
      </c>
      <c r="F26" s="32" t="s">
        <v>1624</v>
      </c>
      <c r="G26" s="32"/>
      <c r="H26" s="32"/>
      <c r="I26" s="32"/>
      <c r="J26" s="32"/>
      <c r="K26" s="32"/>
      <c r="L26" s="33">
        <v>11</v>
      </c>
      <c r="M26" s="33">
        <v>29.81</v>
      </c>
      <c r="N26" s="33">
        <v>29.81</v>
      </c>
      <c r="O26" s="33">
        <f>0.00+29.81</f>
        <v>29.81</v>
      </c>
      <c r="P26" s="33">
        <v>29.81</v>
      </c>
      <c r="Q26" s="33">
        <v>29.81</v>
      </c>
      <c r="R26" s="33">
        <v>34.81</v>
      </c>
      <c r="S26" s="33">
        <v>29.81</v>
      </c>
      <c r="T26" s="33">
        <f>29.81+29.81</f>
        <v>59.62</v>
      </c>
      <c r="U26" s="32"/>
      <c r="V26" s="33">
        <v>29.81</v>
      </c>
      <c r="W26" s="33">
        <v>29.81</v>
      </c>
      <c r="X26" s="33">
        <v>29.81</v>
      </c>
      <c r="Y26" s="33">
        <v>34.75</v>
      </c>
      <c r="Z26" s="33">
        <v>41.02</v>
      </c>
      <c r="AA26" s="33">
        <v>50.45</v>
      </c>
      <c r="AB26" s="33">
        <v>65.57</v>
      </c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1611</v>
      </c>
      <c r="D27" s="50" t="s">
        <v>42</v>
      </c>
      <c r="E27" s="32" t="s">
        <v>3</v>
      </c>
      <c r="F27" s="32" t="s">
        <v>1625</v>
      </c>
      <c r="G27" s="32"/>
      <c r="H27" s="32"/>
      <c r="I27" s="32"/>
      <c r="J27" s="32"/>
      <c r="K27" s="33">
        <v>74.89</v>
      </c>
      <c r="L27" s="33">
        <v>79.38</v>
      </c>
      <c r="M27" s="33">
        <v>77.36</v>
      </c>
      <c r="N27" s="33">
        <v>75.54</v>
      </c>
      <c r="O27" s="33">
        <f>51.68+0.00</f>
        <v>51.68</v>
      </c>
      <c r="P27" s="33">
        <v>54.15</v>
      </c>
      <c r="Q27" s="33">
        <v>54.56</v>
      </c>
      <c r="R27" s="33">
        <v>50.53</v>
      </c>
      <c r="S27" s="33">
        <v>53.2</v>
      </c>
      <c r="T27" s="33">
        <f>56.34+59.08</f>
        <v>115.42</v>
      </c>
      <c r="U27" s="32"/>
      <c r="V27" s="33">
        <v>67.72</v>
      </c>
      <c r="W27" s="33">
        <v>76.25</v>
      </c>
      <c r="X27" s="33">
        <v>85.93</v>
      </c>
      <c r="Y27" s="33">
        <v>77.01</v>
      </c>
      <c r="Z27" s="33">
        <v>72.31</v>
      </c>
      <c r="AA27" s="33">
        <v>57.53</v>
      </c>
      <c r="AB27" s="33">
        <v>58.41</v>
      </c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1611</v>
      </c>
      <c r="D28" s="50" t="s">
        <v>42</v>
      </c>
      <c r="E28" s="32" t="s">
        <v>3</v>
      </c>
      <c r="F28" s="32" t="s">
        <v>1626</v>
      </c>
      <c r="G28" s="33">
        <v>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>
        <v>0</v>
      </c>
      <c r="S28" s="32"/>
      <c r="T28" s="33">
        <f>34.80+17.81</f>
        <v>52.61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1611</v>
      </c>
      <c r="D29" s="50" t="s">
        <v>42</v>
      </c>
      <c r="E29" s="32" t="s">
        <v>3</v>
      </c>
      <c r="F29" s="32" t="s">
        <v>1627</v>
      </c>
      <c r="G29" s="32"/>
      <c r="H29" s="32"/>
      <c r="I29" s="32"/>
      <c r="J29" s="32"/>
      <c r="K29" s="32"/>
      <c r="L29" s="32"/>
      <c r="M29" s="32"/>
      <c r="N29" s="32"/>
      <c r="O29" s="33">
        <v>51.53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1611</v>
      </c>
      <c r="D30" s="50" t="s">
        <v>42</v>
      </c>
      <c r="E30" s="32" t="s">
        <v>3</v>
      </c>
      <c r="F30" s="32" t="s">
        <v>1628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>
        <v>44.89</v>
      </c>
      <c r="S30" s="33">
        <v>55.96</v>
      </c>
      <c r="T30" s="33">
        <f>47.72+38.79</f>
        <v>86.50999999999999</v>
      </c>
      <c r="U30" s="32"/>
      <c r="V30" s="33">
        <v>35.27</v>
      </c>
      <c r="W30" s="33">
        <v>36.21</v>
      </c>
      <c r="X30" s="33">
        <v>39.06</v>
      </c>
      <c r="Y30" s="33">
        <v>37.37</v>
      </c>
      <c r="Z30" s="33">
        <v>40.67</v>
      </c>
      <c r="AA30" s="33">
        <v>52.78</v>
      </c>
      <c r="AB30" s="33">
        <v>66.94</v>
      </c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1611</v>
      </c>
      <c r="D31" s="50" t="s">
        <v>42</v>
      </c>
      <c r="E31" s="32" t="s">
        <v>3</v>
      </c>
      <c r="F31" s="32" t="s">
        <v>1629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3">
        <v>17.33</v>
      </c>
      <c r="T31" s="33">
        <f>38.35+0.00+34.30</f>
        <v>72.65</v>
      </c>
      <c r="U31" s="32"/>
      <c r="V31" s="33">
        <v>30.78</v>
      </c>
      <c r="W31" s="33">
        <v>30.93</v>
      </c>
      <c r="X31" s="33">
        <v>34.56</v>
      </c>
      <c r="Y31" s="33">
        <v>33.2</v>
      </c>
      <c r="Z31" s="33">
        <v>37.44</v>
      </c>
      <c r="AA31" s="33">
        <v>49.64</v>
      </c>
      <c r="AB31" s="33">
        <v>68.07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1611</v>
      </c>
      <c r="D32" s="50" t="s">
        <v>42</v>
      </c>
      <c r="E32" s="32" t="s">
        <v>3</v>
      </c>
      <c r="F32" s="32" t="s">
        <v>1630</v>
      </c>
      <c r="G32" s="32"/>
      <c r="H32" s="32"/>
      <c r="I32" s="32"/>
      <c r="J32" s="32"/>
      <c r="K32" s="33">
        <v>29.92</v>
      </c>
      <c r="L32" s="33">
        <v>30.26</v>
      </c>
      <c r="M32" s="33">
        <v>30.79</v>
      </c>
      <c r="N32" s="33">
        <v>30.71</v>
      </c>
      <c r="O32" s="33">
        <v>30.45</v>
      </c>
      <c r="P32" s="33">
        <v>30.45</v>
      </c>
      <c r="Q32" s="33">
        <v>30.49</v>
      </c>
      <c r="R32" s="33">
        <v>30.43</v>
      </c>
      <c r="S32" s="33">
        <v>30.56</v>
      </c>
      <c r="T32" s="33">
        <f>30.52+30.61</f>
        <v>61.129999999999995</v>
      </c>
      <c r="U32" s="32"/>
      <c r="V32" s="33">
        <v>30.7</v>
      </c>
      <c r="W32" s="33">
        <v>31.34</v>
      </c>
      <c r="X32" s="33">
        <v>31.03</v>
      </c>
      <c r="Y32" s="33">
        <v>30.81</v>
      </c>
      <c r="Z32" s="33">
        <v>30.71</v>
      </c>
      <c r="AA32" s="33">
        <v>30.65</v>
      </c>
      <c r="AB32" s="33">
        <v>30.71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1611</v>
      </c>
      <c r="D33" s="50" t="s">
        <v>42</v>
      </c>
      <c r="E33" s="32" t="s">
        <v>3</v>
      </c>
      <c r="F33" s="32" t="s">
        <v>1631</v>
      </c>
      <c r="G33" s="33">
        <f>0.00+0.00</f>
        <v>0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>
        <f>0.00+21.97</f>
        <v>21.97</v>
      </c>
      <c r="V33" s="33">
        <v>41.43</v>
      </c>
      <c r="W33" s="33">
        <v>44.33</v>
      </c>
      <c r="X33" s="33">
        <v>46.9</v>
      </c>
      <c r="Y33" s="33">
        <v>43.68</v>
      </c>
      <c r="Z33" s="33">
        <v>44.68</v>
      </c>
      <c r="AA33" s="33">
        <v>46.4</v>
      </c>
      <c r="AB33" s="33">
        <v>42.54</v>
      </c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1611</v>
      </c>
      <c r="D34" s="50" t="s">
        <v>42</v>
      </c>
      <c r="E34" s="32" t="s">
        <v>3</v>
      </c>
      <c r="F34" s="32" t="s">
        <v>1632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>
        <f>0.00+0.00</f>
        <v>0</v>
      </c>
      <c r="V34" s="33">
        <v>39.58</v>
      </c>
      <c r="W34" s="33">
        <v>35.47</v>
      </c>
      <c r="X34" s="33">
        <v>36.53</v>
      </c>
      <c r="Y34" s="33">
        <v>33.62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1611</v>
      </c>
      <c r="D35" s="50" t="s">
        <v>42</v>
      </c>
      <c r="E35" s="32" t="s">
        <v>3</v>
      </c>
      <c r="F35" s="32" t="s">
        <v>1633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3">
        <f>11.99+0.00+0.00</f>
        <v>11.99</v>
      </c>
      <c r="T35" s="33">
        <f>43.90+36.46</f>
        <v>80.36</v>
      </c>
      <c r="U35" s="32"/>
      <c r="V35" s="33">
        <v>32.61</v>
      </c>
      <c r="W35" s="33">
        <v>33.12</v>
      </c>
      <c r="X35" s="33">
        <v>35.6</v>
      </c>
      <c r="Y35" s="33">
        <v>34.38</v>
      </c>
      <c r="Z35" s="33">
        <v>38.39</v>
      </c>
      <c r="AA35" s="33">
        <v>48.38</v>
      </c>
      <c r="AB35" s="33">
        <v>67.22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1611</v>
      </c>
      <c r="D36" s="50" t="s">
        <v>42</v>
      </c>
      <c r="E36" s="32" t="s">
        <v>3</v>
      </c>
      <c r="F36" s="32" t="s">
        <v>1634</v>
      </c>
      <c r="G36" s="32"/>
      <c r="H36" s="32"/>
      <c r="I36" s="32"/>
      <c r="J36" s="32"/>
      <c r="K36" s="33">
        <v>85.26</v>
      </c>
      <c r="L36" s="33">
        <v>87.09</v>
      </c>
      <c r="M36" s="33">
        <v>88.08</v>
      </c>
      <c r="N36" s="33">
        <v>67.91</v>
      </c>
      <c r="O36" s="33">
        <v>29.81</v>
      </c>
      <c r="P36" s="33">
        <v>29.81</v>
      </c>
      <c r="Q36" s="33">
        <v>29.81</v>
      </c>
      <c r="R36" s="33">
        <v>29.81</v>
      </c>
      <c r="S36" s="33">
        <v>29.81</v>
      </c>
      <c r="T36" s="33">
        <f>29.81+29.81</f>
        <v>59.62</v>
      </c>
      <c r="U36" s="32"/>
      <c r="V36" s="33">
        <v>64.45</v>
      </c>
      <c r="W36" s="33">
        <v>87.45</v>
      </c>
      <c r="X36" s="33">
        <v>106.7</v>
      </c>
      <c r="Y36" s="33">
        <v>84.01</v>
      </c>
      <c r="Z36" s="33">
        <v>64.47</v>
      </c>
      <c r="AA36" s="33">
        <v>29.81</v>
      </c>
      <c r="AB36" s="33">
        <v>29.81</v>
      </c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1611</v>
      </c>
      <c r="D37" s="50" t="s">
        <v>42</v>
      </c>
      <c r="E37" s="32" t="s">
        <v>3</v>
      </c>
      <c r="F37" s="32" t="s">
        <v>1635</v>
      </c>
      <c r="G37" s="32"/>
      <c r="H37" s="32"/>
      <c r="I37" s="32"/>
      <c r="J37" s="32"/>
      <c r="K37" s="33">
        <v>41.52</v>
      </c>
      <c r="L37" s="33">
        <v>35.11</v>
      </c>
      <c r="M37" s="33">
        <v>34.85</v>
      </c>
      <c r="N37" s="33">
        <v>34.67</v>
      </c>
      <c r="O37" s="33">
        <v>32.84</v>
      </c>
      <c r="P37" s="33">
        <v>32.41</v>
      </c>
      <c r="Q37" s="33">
        <v>33.39</v>
      </c>
      <c r="R37" s="33">
        <v>33.52</v>
      </c>
      <c r="S37" s="33">
        <v>33.84</v>
      </c>
      <c r="T37" s="33">
        <f>33.64+33.44</f>
        <v>67.08</v>
      </c>
      <c r="U37" s="32"/>
      <c r="V37" s="33">
        <v>33.93</v>
      </c>
      <c r="W37" s="33">
        <v>35.17</v>
      </c>
      <c r="X37" s="33">
        <v>35</v>
      </c>
      <c r="Y37" s="33">
        <v>34.76</v>
      </c>
      <c r="Z37" s="33">
        <v>34.69</v>
      </c>
      <c r="AA37" s="33">
        <v>34.69</v>
      </c>
      <c r="AB37" s="33">
        <v>34.2</v>
      </c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1611</v>
      </c>
      <c r="D38" s="50" t="s">
        <v>42</v>
      </c>
      <c r="E38" s="32" t="s">
        <v>3</v>
      </c>
      <c r="F38" s="32" t="s">
        <v>1636</v>
      </c>
      <c r="G38" s="32"/>
      <c r="H38" s="32"/>
      <c r="I38" s="32"/>
      <c r="J38" s="32"/>
      <c r="K38" s="33">
        <v>60.88</v>
      </c>
      <c r="L38" s="33">
        <f>94.99+19.17</f>
        <v>114.16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5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0"/>
    </row>
    <row r="40" ht="13.5" customHeight="1" spans="2:39" x14ac:dyDescent="0.25">
      <c r="B40" s="20"/>
      <c r="C40" s="21"/>
      <c r="D40" s="21" t="s">
        <v>85</v>
      </c>
      <c r="E40" s="21"/>
      <c r="F40" s="21"/>
      <c r="G40" s="22">
        <f>SUM(G14:G38)</f>
      </c>
      <c r="H40" s="22">
        <f>SUM(H14:H38)</f>
      </c>
      <c r="I40" s="22">
        <f>SUM(I14:I38)</f>
      </c>
      <c r="J40" s="22">
        <f>SUM(J14:J38)</f>
      </c>
      <c r="K40" s="22">
        <f>SUM(K14:K38)</f>
      </c>
      <c r="L40" s="22">
        <f>SUM(L14:L38)</f>
      </c>
      <c r="M40" s="22">
        <f>SUM(M14:M38)</f>
      </c>
      <c r="N40" s="22">
        <f>SUM(N14:N38)</f>
      </c>
      <c r="O40" s="22">
        <f>SUM(O14:O38)</f>
      </c>
      <c r="P40" s="22">
        <f>SUM(P14:P38)</f>
      </c>
      <c r="Q40" s="22">
        <f>SUM(Q14:Q38)</f>
      </c>
      <c r="R40" s="22">
        <f>SUM(R14:R38)</f>
      </c>
      <c r="S40" s="22">
        <f>SUM(S14:S38)</f>
      </c>
      <c r="T40" s="22">
        <f>SUM(T14:T38)</f>
      </c>
      <c r="U40" s="22">
        <f>SUM(U14:U38)</f>
      </c>
      <c r="V40" s="22">
        <f>SUM(V14:V38)</f>
      </c>
      <c r="W40" s="22">
        <f>SUM(W14:W38)</f>
      </c>
      <c r="X40" s="22">
        <f>SUM(X14:X38)</f>
      </c>
      <c r="Y40" s="22">
        <f>SUM(Y14:Y38)</f>
      </c>
      <c r="Z40" s="22">
        <f>SUM(Z14:Z38)</f>
      </c>
      <c r="AA40" s="22">
        <f>SUM(AA14:AA38)</f>
      </c>
      <c r="AB40" s="22">
        <f>SUM(AB14:AB38)</f>
      </c>
      <c r="AC40" s="22">
        <f>SUM(AC14:AC38)</f>
      </c>
      <c r="AD40" s="22">
        <f>SUM(AD14:AD38)</f>
      </c>
      <c r="AE40" s="22">
        <f>SUM(AE14:AE38)</f>
      </c>
      <c r="AF40" s="22">
        <f>SUM(AF14:AF38)</f>
      </c>
      <c r="AG40" s="22">
        <f>SUM(AG14:AG38)</f>
      </c>
      <c r="AH40" s="22">
        <f>SUM(AH14:AH38)</f>
      </c>
      <c r="AI40" s="22">
        <f>SUM(AI14:AI38)</f>
      </c>
      <c r="AJ40" s="22">
        <f>SUM(AJ14:AJ38)</f>
      </c>
      <c r="AK40" s="22">
        <f>SUM(AK14:AK38)</f>
      </c>
      <c r="AL40" s="22">
        <f>SUM(AL14:AL38)</f>
      </c>
      <c r="AM40" s="23"/>
    </row>
    <row r="42" ht="13.5" customHeight="1" spans="2:39" x14ac:dyDescent="0.25">
      <c r="B42" s="46"/>
      <c r="C42" s="28"/>
      <c r="D42" s="47" t="s">
        <v>43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9"/>
    </row>
    <row r="43" ht="13.5" customHeight="1" spans="2:39" x14ac:dyDescent="0.25">
      <c r="B43" s="48" t="s">
        <v>3</v>
      </c>
      <c r="C43" s="49" t="s">
        <v>1611</v>
      </c>
      <c r="D43" s="50" t="s">
        <v>43</v>
      </c>
      <c r="E43" s="32" t="s">
        <v>3</v>
      </c>
      <c r="F43" s="32" t="s">
        <v>1637</v>
      </c>
      <c r="G43" s="32"/>
      <c r="H43" s="32"/>
      <c r="I43" s="32"/>
      <c r="J43" s="33">
        <f>30.67+49.70</f>
        <v>80.37</v>
      </c>
      <c r="K43" s="33">
        <f>25.31+40.42</f>
        <v>65.73</v>
      </c>
      <c r="L43" s="33">
        <f>33.35+54.34</f>
        <v>87.69</v>
      </c>
      <c r="M43" s="33">
        <f>33.35+54.34</f>
        <v>87.69</v>
      </c>
      <c r="N43" s="33">
        <f>60.15+100.74</f>
        <v>160.89</v>
      </c>
      <c r="O43" s="33">
        <f>105.71+179.62</f>
        <v>285.33</v>
      </c>
      <c r="P43" s="33">
        <f>100.35+170.34</f>
        <v>270.69</v>
      </c>
      <c r="Q43" s="33">
        <f>33.35+54.34</f>
        <v>87.69</v>
      </c>
      <c r="R43" s="33">
        <f>30.67+49.70</f>
        <v>80.37</v>
      </c>
      <c r="S43" s="33">
        <f>41.52+67.28</f>
        <v>108.80000000000001</v>
      </c>
      <c r="T43" s="33">
        <f>36.03+58.98</f>
        <v>95.00999999999999</v>
      </c>
      <c r="U43" s="33">
        <f>58.07+95.43</f>
        <v>153.5</v>
      </c>
      <c r="V43" s="33">
        <f>58.07+95.43</f>
        <v>153.5</v>
      </c>
      <c r="W43" s="33">
        <f>126.41+213.75</f>
        <v>340.15999999999997</v>
      </c>
      <c r="X43" s="33">
        <f>150.53+255.51</f>
        <v>406.03999999999996</v>
      </c>
      <c r="Y43" s="33">
        <f>106.31+178.95</f>
        <v>285.26</v>
      </c>
      <c r="Z43" s="33">
        <f>102.29+171.99</f>
        <v>274.28000000000003</v>
      </c>
      <c r="AA43" s="33">
        <f>94.25+158.07</f>
        <v>252.32</v>
      </c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1611</v>
      </c>
      <c r="D44" s="50" t="s">
        <v>43</v>
      </c>
      <c r="E44" s="32" t="s">
        <v>3</v>
      </c>
      <c r="F44" s="32" t="s">
        <v>1638</v>
      </c>
      <c r="G44" s="32"/>
      <c r="H44" s="32"/>
      <c r="I44" s="32"/>
      <c r="J44" s="32"/>
      <c r="K44" s="32"/>
      <c r="L44" s="32"/>
      <c r="M44" s="32"/>
      <c r="N44" s="32"/>
      <c r="O44" s="33">
        <f>22.63+35.78</f>
        <v>58.41</v>
      </c>
      <c r="P44" s="33">
        <f>22.63+35.78</f>
        <v>58.41</v>
      </c>
      <c r="Q44" s="33">
        <f>22.63+35.78</f>
        <v>58.41</v>
      </c>
      <c r="R44" s="33">
        <f>22.63+35.78</f>
        <v>58.41</v>
      </c>
      <c r="S44" s="33">
        <f>25.31+40.42</f>
        <v>65.73</v>
      </c>
      <c r="T44" s="33">
        <f>22.63+35.78</f>
        <v>58.41</v>
      </c>
      <c r="U44" s="33">
        <f>33.95+53.67</f>
        <v>87.62</v>
      </c>
      <c r="V44" s="33">
        <f>33.95+53.67</f>
        <v>87.62</v>
      </c>
      <c r="W44" s="33">
        <f>33.95+53.67</f>
        <v>87.62</v>
      </c>
      <c r="X44" s="33">
        <f>33.95+53.67</f>
        <v>87.62</v>
      </c>
      <c r="Y44" s="33">
        <f>33.95+53.67</f>
        <v>87.62</v>
      </c>
      <c r="Z44" s="33">
        <f>33.95+53.67</f>
        <v>87.62</v>
      </c>
      <c r="AA44" s="33">
        <f>33.95+53.67</f>
        <v>87.62</v>
      </c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1611</v>
      </c>
      <c r="D45" s="50" t="s">
        <v>43</v>
      </c>
      <c r="E45" s="32" t="s">
        <v>3</v>
      </c>
      <c r="F45" s="32" t="s">
        <v>1639</v>
      </c>
      <c r="G45" s="32"/>
      <c r="H45" s="32"/>
      <c r="I45" s="32"/>
      <c r="J45" s="32"/>
      <c r="K45" s="33">
        <f>22.63+35.78</f>
        <v>58.41</v>
      </c>
      <c r="L45" s="33">
        <f>22.63+35.78</f>
        <v>58.41</v>
      </c>
      <c r="M45" s="33">
        <f>22.63+35.78</f>
        <v>58.41</v>
      </c>
      <c r="N45" s="33">
        <f>22.63+35.78</f>
        <v>58.41</v>
      </c>
      <c r="O45" s="33">
        <f>22.63+35.78</f>
        <v>58.41</v>
      </c>
      <c r="P45" s="33">
        <f>22.63+35.78</f>
        <v>58.41</v>
      </c>
      <c r="Q45" s="33">
        <f>22.63+35.78</f>
        <v>58.41</v>
      </c>
      <c r="R45" s="33">
        <f>22.63+35.78</f>
        <v>58.41</v>
      </c>
      <c r="S45" s="33">
        <f>22.63+35.78</f>
        <v>58.41</v>
      </c>
      <c r="T45" s="33">
        <f>22.63+35.78</f>
        <v>58.41</v>
      </c>
      <c r="U45" s="33">
        <f>33.95+53.67</f>
        <v>87.62</v>
      </c>
      <c r="V45" s="33">
        <f>33.95+53.67</f>
        <v>87.62</v>
      </c>
      <c r="W45" s="33">
        <f>33.95+53.67</f>
        <v>87.62</v>
      </c>
      <c r="X45" s="33">
        <f>33.95+53.67</f>
        <v>87.62</v>
      </c>
      <c r="Y45" s="33">
        <f>33.95+53.67</f>
        <v>87.62</v>
      </c>
      <c r="Z45" s="33">
        <f>33.95+53.67</f>
        <v>87.62</v>
      </c>
      <c r="AA45" s="33">
        <f>33.95+53.67</f>
        <v>87.62</v>
      </c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1611</v>
      </c>
      <c r="D46" s="50" t="s">
        <v>43</v>
      </c>
      <c r="E46" s="32" t="s">
        <v>3</v>
      </c>
      <c r="F46" s="32" t="s">
        <v>1640</v>
      </c>
      <c r="G46" s="32"/>
      <c r="H46" s="32"/>
      <c r="I46" s="32"/>
      <c r="J46" s="32"/>
      <c r="K46" s="32"/>
      <c r="L46" s="32"/>
      <c r="M46" s="32"/>
      <c r="N46" s="32"/>
      <c r="O46" s="33">
        <f>22.63+35.78</f>
        <v>58.41</v>
      </c>
      <c r="P46" s="33">
        <f>22.63+35.78</f>
        <v>58.41</v>
      </c>
      <c r="Q46" s="33">
        <f>22.63+35.78</f>
        <v>58.41</v>
      </c>
      <c r="R46" s="33">
        <f>25.31+40.42</f>
        <v>65.73</v>
      </c>
      <c r="S46" s="33">
        <f>22.63+35.78</f>
        <v>58.41</v>
      </c>
      <c r="T46" s="33">
        <f>22.63+35.78</f>
        <v>58.41</v>
      </c>
      <c r="U46" s="33">
        <f>33.95+53.67</f>
        <v>87.62</v>
      </c>
      <c r="V46" s="33">
        <f>33.95+53.67</f>
        <v>87.62</v>
      </c>
      <c r="W46" s="33">
        <f>33.95+53.67</f>
        <v>87.62</v>
      </c>
      <c r="X46" s="33">
        <f>33.95+53.67</f>
        <v>87.62</v>
      </c>
      <c r="Y46" s="33">
        <f>33.95+53.67</f>
        <v>87.62</v>
      </c>
      <c r="Z46" s="33">
        <f>33.95+53.67</f>
        <v>87.62</v>
      </c>
      <c r="AA46" s="33">
        <f>37.97+60.63</f>
        <v>98.6</v>
      </c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1611</v>
      </c>
      <c r="D47" s="50" t="s">
        <v>43</v>
      </c>
      <c r="E47" s="32" t="s">
        <v>3</v>
      </c>
      <c r="F47" s="32" t="s">
        <v>1641</v>
      </c>
      <c r="G47" s="32"/>
      <c r="H47" s="32"/>
      <c r="I47" s="32"/>
      <c r="J47" s="33">
        <f>22.63+35.78</f>
        <v>58.41</v>
      </c>
      <c r="K47" s="33">
        <f>22.63+35.78</f>
        <v>58.41</v>
      </c>
      <c r="L47" s="33">
        <f>22.63+35.78</f>
        <v>58.41</v>
      </c>
      <c r="M47" s="33">
        <f>22.63+35.78</f>
        <v>58.41</v>
      </c>
      <c r="N47" s="33">
        <f>33.09+52.32</f>
        <v>85.41</v>
      </c>
      <c r="O47" s="33">
        <f>22.63+35.78</f>
        <v>58.41</v>
      </c>
      <c r="P47" s="33">
        <f>22.63+35.78</f>
        <v>58.41</v>
      </c>
      <c r="Q47" s="33">
        <f>22.63+35.78</f>
        <v>58.41</v>
      </c>
      <c r="R47" s="33">
        <f>22.63+35.78</f>
        <v>58.41</v>
      </c>
      <c r="S47" s="33">
        <f>22.63+35.78</f>
        <v>58.41</v>
      </c>
      <c r="T47" s="33">
        <f>22.63+35.78</f>
        <v>58.41</v>
      </c>
      <c r="U47" s="33">
        <f>33.95+53.67</f>
        <v>87.62</v>
      </c>
      <c r="V47" s="33">
        <f>33.95+53.67</f>
        <v>87.62</v>
      </c>
      <c r="W47" s="33">
        <f>33.95+53.67</f>
        <v>87.62</v>
      </c>
      <c r="X47" s="33">
        <f>33.95+53.67</f>
        <v>87.62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1611</v>
      </c>
      <c r="D48" s="50" t="s">
        <v>43</v>
      </c>
      <c r="E48" s="32" t="s">
        <v>3</v>
      </c>
      <c r="F48" s="32" t="s">
        <v>1642</v>
      </c>
      <c r="G48" s="32"/>
      <c r="H48" s="32"/>
      <c r="I48" s="32"/>
      <c r="J48" s="33">
        <f>22.63+35.78</f>
        <v>58.41</v>
      </c>
      <c r="K48" s="33">
        <f>22.63+35.78</f>
        <v>58.41</v>
      </c>
      <c r="L48" s="33">
        <f>22.63+35.78</f>
        <v>58.41</v>
      </c>
      <c r="M48" s="33">
        <f>22.63+35.78</f>
        <v>58.41</v>
      </c>
      <c r="N48" s="33">
        <f>22.63+35.78</f>
        <v>58.41</v>
      </c>
      <c r="O48" s="33">
        <f>22.63+35.78</f>
        <v>58.41</v>
      </c>
      <c r="P48" s="33">
        <f>22.63+35.78</f>
        <v>58.41</v>
      </c>
      <c r="Q48" s="33">
        <f>22.63+35.78</f>
        <v>58.41</v>
      </c>
      <c r="R48" s="33">
        <f>43.86+40.42</f>
        <v>84.28</v>
      </c>
      <c r="S48" s="33">
        <f>22.63+35.78</f>
        <v>58.41</v>
      </c>
      <c r="T48" s="33">
        <f>22.63+35.78</f>
        <v>58.41</v>
      </c>
      <c r="U48" s="33">
        <f>33.95+53.67</f>
        <v>87.62</v>
      </c>
      <c r="V48" s="33">
        <f>33.95+53.67</f>
        <v>87.62</v>
      </c>
      <c r="W48" s="33">
        <f>33.95+53.67</f>
        <v>87.62</v>
      </c>
      <c r="X48" s="33">
        <f>33.95+53.67</f>
        <v>87.62</v>
      </c>
      <c r="Y48" s="33">
        <f>33.95+53.67</f>
        <v>87.62</v>
      </c>
      <c r="Z48" s="33">
        <f>33.95+53.67</f>
        <v>87.62</v>
      </c>
      <c r="AA48" s="33">
        <f>33.95+53.67</f>
        <v>87.62</v>
      </c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1611</v>
      </c>
      <c r="D49" s="50" t="s">
        <v>43</v>
      </c>
      <c r="E49" s="32" t="s">
        <v>3</v>
      </c>
      <c r="F49" s="32" t="s">
        <v>1643</v>
      </c>
      <c r="G49" s="32"/>
      <c r="H49" s="32"/>
      <c r="I49" s="32"/>
      <c r="J49" s="33">
        <f>137.31+182.26</f>
        <v>319.57</v>
      </c>
      <c r="K49" s="33">
        <f>144.19+197.34</f>
        <v>341.53</v>
      </c>
      <c r="L49" s="33">
        <f>189.72+276.25</f>
        <v>465.97</v>
      </c>
      <c r="M49" s="33">
        <f>157.58+220.55</f>
        <v>378.13</v>
      </c>
      <c r="N49" s="33">
        <f>178.19+258.50</f>
        <v>436.69</v>
      </c>
      <c r="O49" s="33">
        <f>265.95+404.98</f>
        <v>670.9300000000001</v>
      </c>
      <c r="P49" s="33">
        <f>135.31+184.26</f>
        <v>319.57</v>
      </c>
      <c r="Q49" s="33">
        <f>104.05+127.68</f>
        <v>231.73000000000002</v>
      </c>
      <c r="R49" s="33">
        <f>105.83+133.22</f>
        <v>239.05</v>
      </c>
      <c r="S49" s="33">
        <f>108.51+137.86</f>
        <v>246.37</v>
      </c>
      <c r="T49" s="33">
        <f>110.51+135.86</f>
        <v>246.37</v>
      </c>
      <c r="U49" s="33">
        <f>389.89+593.55</f>
        <v>983.4399999999999</v>
      </c>
      <c r="V49" s="33">
        <f>385.87+586.59</f>
        <v>972.46</v>
      </c>
      <c r="W49" s="33">
        <f>269.29+384.75</f>
        <v>654.04</v>
      </c>
      <c r="X49" s="33">
        <f>269.29+384.75</f>
        <v>654.04</v>
      </c>
      <c r="Y49" s="33">
        <f>313.51+461.31</f>
        <v>774.8199999999999</v>
      </c>
      <c r="Z49" s="33">
        <f>418.03+642.27</f>
        <v>1060.3</v>
      </c>
      <c r="AA49" s="33">
        <f>256.05+365.05</f>
        <v>621.1</v>
      </c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1611</v>
      </c>
      <c r="D50" s="50" t="s">
        <v>43</v>
      </c>
      <c r="E50" s="32" t="s">
        <v>3</v>
      </c>
      <c r="F50" s="32" t="s">
        <v>1644</v>
      </c>
      <c r="G50" s="32"/>
      <c r="H50" s="32"/>
      <c r="I50" s="32"/>
      <c r="J50" s="33">
        <f>1467.37+2374.21</f>
        <v>3841.58</v>
      </c>
      <c r="K50" s="33">
        <f>1293.17+2072.61</f>
        <v>3365.78</v>
      </c>
      <c r="L50" s="33">
        <f>1821.13+2986.69</f>
        <v>4807.82</v>
      </c>
      <c r="M50" s="33">
        <f>1202.05+1914.85</f>
        <v>3116.8999999999996</v>
      </c>
      <c r="N50" s="33">
        <f>1341.41+2156.13</f>
        <v>3497.54</v>
      </c>
      <c r="O50" s="33">
        <f>1325.33+2128.29</f>
        <v>3453.62</v>
      </c>
      <c r="P50" s="33">
        <f>1563.85+2541.25</f>
        <v>4105.1</v>
      </c>
      <c r="Q50" s="33">
        <f>1282.45+2054.05</f>
        <v>3336.5</v>
      </c>
      <c r="R50" s="33">
        <f>1751.45+2866.05</f>
        <v>4617.5</v>
      </c>
      <c r="S50" s="33">
        <f>1413.77+2281.41</f>
        <v>3695.18</v>
      </c>
      <c r="T50" s="33">
        <f>1587.97+2583.01</f>
        <v>4170.9800000000005</v>
      </c>
      <c r="U50" s="33">
        <f>2534.72+4139.00</f>
        <v>6673.719999999999</v>
      </c>
      <c r="V50" s="33">
        <f>3511.58+5830.28</f>
        <v>9341.86</v>
      </c>
      <c r="W50" s="33">
        <f>2566.88+4194.68</f>
        <v>6761.56</v>
      </c>
      <c r="X50" s="33">
        <f>2751.80+4514.84</f>
        <v>7266.64</v>
      </c>
      <c r="Y50" s="33">
        <f>2518.64+4111.16</f>
        <v>6629.799999999999</v>
      </c>
      <c r="Z50" s="33">
        <f>2715.62+4452.20</f>
        <v>7167.82</v>
      </c>
      <c r="AA50" s="33">
        <f>2542.76+4152.92</f>
        <v>6695.68</v>
      </c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51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40"/>
    </row>
    <row r="52" ht="13.5" customHeight="1" spans="2:39" x14ac:dyDescent="0.25">
      <c r="B52" s="20"/>
      <c r="C52" s="21"/>
      <c r="D52" s="21" t="s">
        <v>89</v>
      </c>
      <c r="E52" s="21"/>
      <c r="F52" s="21"/>
      <c r="G52" s="22">
        <f>SUM(G43:G50)</f>
      </c>
      <c r="H52" s="22">
        <f>SUM(H43:H50)</f>
      </c>
      <c r="I52" s="22">
        <f>SUM(I43:I50)</f>
      </c>
      <c r="J52" s="22">
        <f>SUM(J43:J50)</f>
      </c>
      <c r="K52" s="22">
        <f>SUM(K43:K50)</f>
      </c>
      <c r="L52" s="22">
        <f>SUM(L43:L50)</f>
      </c>
      <c r="M52" s="22">
        <f>SUM(M43:M50)</f>
      </c>
      <c r="N52" s="22">
        <f>SUM(N43:N50)</f>
      </c>
      <c r="O52" s="22">
        <f>SUM(O43:O50)</f>
      </c>
      <c r="P52" s="22">
        <f>SUM(P43:P50)</f>
      </c>
      <c r="Q52" s="22">
        <f>SUM(Q43:Q50)</f>
      </c>
      <c r="R52" s="22">
        <f>SUM(R43:R50)</f>
      </c>
      <c r="S52" s="22">
        <f>SUM(S43:S50)</f>
      </c>
      <c r="T52" s="22">
        <f>SUM(T43:T50)</f>
      </c>
      <c r="U52" s="22">
        <f>SUM(U43:U50)</f>
      </c>
      <c r="V52" s="22">
        <f>SUM(V43:V50)</f>
      </c>
      <c r="W52" s="22">
        <f>SUM(W43:W50)</f>
      </c>
      <c r="X52" s="22">
        <f>SUM(X43:X50)</f>
      </c>
      <c r="Y52" s="22">
        <f>SUM(Y43:Y50)</f>
      </c>
      <c r="Z52" s="22">
        <f>SUM(Z43:Z50)</f>
      </c>
      <c r="AA52" s="22">
        <f>SUM(AA43:AA50)</f>
      </c>
      <c r="AB52" s="22">
        <f>SUM(AB43:AB50)</f>
      </c>
      <c r="AC52" s="22">
        <f>SUM(AC43:AC50)</f>
      </c>
      <c r="AD52" s="22">
        <f>SUM(AD43:AD50)</f>
      </c>
      <c r="AE52" s="22">
        <f>SUM(AE43:AE50)</f>
      </c>
      <c r="AF52" s="22">
        <f>SUM(AF43:AF50)</f>
      </c>
      <c r="AG52" s="22">
        <f>SUM(AG43:AG50)</f>
      </c>
      <c r="AH52" s="22">
        <f>SUM(AH43:AH50)</f>
      </c>
      <c r="AI52" s="22">
        <f>SUM(AI43:AI50)</f>
      </c>
      <c r="AJ52" s="22">
        <f>SUM(AJ43:AJ50)</f>
      </c>
      <c r="AK52" s="22">
        <f>SUM(AK43:AK50)</f>
      </c>
      <c r="AL52" s="22">
        <f>SUM(AL43:AL50)</f>
      </c>
      <c r="AM52" s="23"/>
    </row>
    <row r="54" ht="13.5" customHeight="1" spans="2:39" x14ac:dyDescent="0.25">
      <c r="B54" s="46"/>
      <c r="C54" s="28"/>
      <c r="D54" s="47" t="s">
        <v>44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9"/>
    </row>
    <row r="55" ht="13.5" customHeight="1" spans="2:39" x14ac:dyDescent="0.25">
      <c r="B55" s="48" t="s">
        <v>3</v>
      </c>
      <c r="C55" s="49" t="s">
        <v>1611</v>
      </c>
      <c r="D55" s="50" t="s">
        <v>44</v>
      </c>
      <c r="E55" s="32" t="s">
        <v>3</v>
      </c>
      <c r="F55" s="32" t="s">
        <v>1637</v>
      </c>
      <c r="G55" s="32"/>
      <c r="H55" s="32"/>
      <c r="I55" s="32"/>
      <c r="J55" s="33">
        <v>18.55</v>
      </c>
      <c r="K55" s="33">
        <v>18.55</v>
      </c>
      <c r="L55" s="33">
        <v>18.55</v>
      </c>
      <c r="M55" s="33">
        <v>18.55</v>
      </c>
      <c r="N55" s="33">
        <v>18.55</v>
      </c>
      <c r="O55" s="33">
        <v>18.55</v>
      </c>
      <c r="P55" s="33">
        <v>18.55</v>
      </c>
      <c r="Q55" s="33">
        <v>18.55</v>
      </c>
      <c r="R55" s="33">
        <v>18.55</v>
      </c>
      <c r="S55" s="33">
        <v>25.12</v>
      </c>
      <c r="T55" s="33">
        <v>18.55</v>
      </c>
      <c r="U55" s="33">
        <v>18.55</v>
      </c>
      <c r="V55" s="33">
        <v>18.55</v>
      </c>
      <c r="W55" s="33">
        <v>18.55</v>
      </c>
      <c r="X55" s="33">
        <v>18.55</v>
      </c>
      <c r="Y55" s="33">
        <v>18.55</v>
      </c>
      <c r="Z55" s="33">
        <v>18.55</v>
      </c>
      <c r="AA55" s="33">
        <v>18.55</v>
      </c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1611</v>
      </c>
      <c r="D56" s="50" t="s">
        <v>44</v>
      </c>
      <c r="E56" s="32" t="s">
        <v>3</v>
      </c>
      <c r="F56" s="32" t="s">
        <v>1638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>
        <v>18.55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1611</v>
      </c>
      <c r="D57" s="50" t="s">
        <v>44</v>
      </c>
      <c r="E57" s="32" t="s">
        <v>3</v>
      </c>
      <c r="F57" s="32" t="s">
        <v>1640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3">
        <v>18.55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18.55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1611</v>
      </c>
      <c r="D58" s="50" t="s">
        <v>44</v>
      </c>
      <c r="E58" s="32" t="s">
        <v>3</v>
      </c>
      <c r="F58" s="32" t="s">
        <v>1641</v>
      </c>
      <c r="G58" s="33">
        <v>0</v>
      </c>
      <c r="H58" s="32"/>
      <c r="I58" s="32"/>
      <c r="J58" s="33">
        <v>0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1611</v>
      </c>
      <c r="D59" s="50" t="s">
        <v>44</v>
      </c>
      <c r="E59" s="32" t="s">
        <v>3</v>
      </c>
      <c r="F59" s="32" t="s">
        <v>1645</v>
      </c>
      <c r="G59" s="32"/>
      <c r="H59" s="32"/>
      <c r="I59" s="32"/>
      <c r="J59" s="33">
        <v>909.3</v>
      </c>
      <c r="K59" s="33">
        <v>909.3</v>
      </c>
      <c r="L59" s="33">
        <v>909.3</v>
      </c>
      <c r="M59" s="33">
        <v>909.3</v>
      </c>
      <c r="N59" s="33">
        <v>909.3</v>
      </c>
      <c r="O59" s="33">
        <v>909.3</v>
      </c>
      <c r="P59" s="33">
        <v>909.3</v>
      </c>
      <c r="Q59" s="33">
        <v>909.3</v>
      </c>
      <c r="R59" s="33">
        <v>909.3</v>
      </c>
      <c r="S59" s="33">
        <v>909.3</v>
      </c>
      <c r="T59" s="33">
        <v>909.3</v>
      </c>
      <c r="U59" s="33">
        <v>909.3</v>
      </c>
      <c r="V59" s="33">
        <v>909.3</v>
      </c>
      <c r="W59" s="33">
        <v>909.3</v>
      </c>
      <c r="X59" s="33">
        <v>909.3</v>
      </c>
      <c r="Y59" s="33">
        <v>909.3</v>
      </c>
      <c r="Z59" s="33">
        <v>909.3</v>
      </c>
      <c r="AA59" s="33">
        <v>909.3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4">
        <f>SUM(G59:AK59)</f>
      </c>
      <c r="AM59" s="35"/>
    </row>
    <row r="60" ht="13.5" customHeight="1" spans="2:39" x14ac:dyDescent="0.25">
      <c r="B60" s="51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40"/>
    </row>
    <row r="61" ht="13.5" customHeight="1" spans="2:39" x14ac:dyDescent="0.25">
      <c r="B61" s="20"/>
      <c r="C61" s="21"/>
      <c r="D61" s="21" t="s">
        <v>90</v>
      </c>
      <c r="E61" s="21"/>
      <c r="F61" s="21"/>
      <c r="G61" s="22">
        <f>SUM(G55:G59)</f>
      </c>
      <c r="H61" s="22">
        <f>SUM(H55:H59)</f>
      </c>
      <c r="I61" s="22">
        <f>SUM(I55:I59)</f>
      </c>
      <c r="J61" s="22">
        <f>SUM(J55:J59)</f>
      </c>
      <c r="K61" s="22">
        <f>SUM(K55:K59)</f>
      </c>
      <c r="L61" s="22">
        <f>SUM(L55:L59)</f>
      </c>
      <c r="M61" s="22">
        <f>SUM(M55:M59)</f>
      </c>
      <c r="N61" s="22">
        <f>SUM(N55:N59)</f>
      </c>
      <c r="O61" s="22">
        <f>SUM(O55:O59)</f>
      </c>
      <c r="P61" s="22">
        <f>SUM(P55:P59)</f>
      </c>
      <c r="Q61" s="22">
        <f>SUM(Q55:Q59)</f>
      </c>
      <c r="R61" s="22">
        <f>SUM(R55:R59)</f>
      </c>
      <c r="S61" s="22">
        <f>SUM(S55:S59)</f>
      </c>
      <c r="T61" s="22">
        <f>SUM(T55:T59)</f>
      </c>
      <c r="U61" s="22">
        <f>SUM(U55:U59)</f>
      </c>
      <c r="V61" s="22">
        <f>SUM(V55:V59)</f>
      </c>
      <c r="W61" s="22">
        <f>SUM(W55:W59)</f>
      </c>
      <c r="X61" s="22">
        <f>SUM(X55:X59)</f>
      </c>
      <c r="Y61" s="22">
        <f>SUM(Y55:Y59)</f>
      </c>
      <c r="Z61" s="22">
        <f>SUM(Z55:Z59)</f>
      </c>
      <c r="AA61" s="22">
        <f>SUM(AA55:AA59)</f>
      </c>
      <c r="AB61" s="22">
        <f>SUM(AB55:AB59)</f>
      </c>
      <c r="AC61" s="22">
        <f>SUM(AC55:AC59)</f>
      </c>
      <c r="AD61" s="22">
        <f>SUM(AD55:AD59)</f>
      </c>
      <c r="AE61" s="22">
        <f>SUM(AE55:AE59)</f>
      </c>
      <c r="AF61" s="22">
        <f>SUM(AF55:AF59)</f>
      </c>
      <c r="AG61" s="22">
        <f>SUM(AG55:AG59)</f>
      </c>
      <c r="AH61" s="22">
        <f>SUM(AH55:AH59)</f>
      </c>
      <c r="AI61" s="22">
        <f>SUM(AI55:AI59)</f>
      </c>
      <c r="AJ61" s="22">
        <f>SUM(AJ55:AJ59)</f>
      </c>
      <c r="AK61" s="22">
        <f>SUM(AK55:AK59)</f>
      </c>
      <c r="AL61" s="22">
        <f>SUM(AL55:AL59)</f>
      </c>
      <c r="AM61" s="23"/>
    </row>
    <row r="64" ht="12.75" customHeight="1" spans="2:39" x14ac:dyDescent="0.25">
      <c r="B64" s="11" t="s">
        <v>40</v>
      </c>
      <c r="C64" s="12"/>
      <c r="D64" s="12"/>
      <c r="E64" s="12"/>
      <c r="F64" s="12"/>
      <c r="G64" s="52" t="s">
        <v>7</v>
      </c>
      <c r="H64" s="52" t="s">
        <v>8</v>
      </c>
      <c r="I64" s="52" t="s">
        <v>9</v>
      </c>
      <c r="J64" s="52" t="s">
        <v>10</v>
      </c>
      <c r="K64" s="52" t="s">
        <v>11</v>
      </c>
      <c r="L64" s="52" t="s">
        <v>12</v>
      </c>
      <c r="M64" s="52" t="s">
        <v>13</v>
      </c>
      <c r="N64" s="52" t="s">
        <v>14</v>
      </c>
      <c r="O64" s="52" t="s">
        <v>15</v>
      </c>
      <c r="P64" s="52" t="s">
        <v>16</v>
      </c>
      <c r="Q64" s="52" t="s">
        <v>17</v>
      </c>
      <c r="R64" s="52" t="s">
        <v>18</v>
      </c>
      <c r="S64" s="52" t="s">
        <v>19</v>
      </c>
      <c r="T64" s="52" t="s">
        <v>20</v>
      </c>
      <c r="U64" s="52" t="s">
        <v>21</v>
      </c>
      <c r="V64" s="52" t="s">
        <v>22</v>
      </c>
      <c r="W64" s="52" t="s">
        <v>23</v>
      </c>
      <c r="X64" s="52" t="s">
        <v>24</v>
      </c>
      <c r="Y64" s="52" t="s">
        <v>25</v>
      </c>
      <c r="Z64" s="52" t="s">
        <v>26</v>
      </c>
      <c r="AA64" s="52" t="s">
        <v>27</v>
      </c>
      <c r="AB64" s="52" t="s">
        <v>28</v>
      </c>
      <c r="AC64" s="52" t="s">
        <v>29</v>
      </c>
      <c r="AD64" s="52" t="s">
        <v>30</v>
      </c>
      <c r="AE64" s="52" t="s">
        <v>31</v>
      </c>
      <c r="AF64" s="52" t="s">
        <v>32</v>
      </c>
      <c r="AG64" s="52" t="s">
        <v>33</v>
      </c>
      <c r="AH64" s="52" t="s">
        <v>34</v>
      </c>
      <c r="AI64" s="52" t="s">
        <v>35</v>
      </c>
      <c r="AJ64" s="52" t="s">
        <v>36</v>
      </c>
      <c r="AK64" s="52" t="s">
        <v>37</v>
      </c>
      <c r="AL64" s="52" t="s">
        <v>38</v>
      </c>
      <c r="AM64" s="15"/>
    </row>
    <row r="65" ht="12.75" customHeight="1" spans="2:39" x14ac:dyDescent="0.25">
      <c r="B65" s="16"/>
      <c r="C65" s="17"/>
      <c r="D65" s="17" t="s">
        <v>41</v>
      </c>
      <c r="E65" s="17"/>
      <c r="F65" s="17"/>
      <c r="G65" s="18">
        <f>G11</f>
      </c>
      <c r="H65" s="18">
        <f>H11</f>
      </c>
      <c r="I65" s="18">
        <f>I11</f>
      </c>
      <c r="J65" s="18">
        <f>J11</f>
      </c>
      <c r="K65" s="18">
        <f>K11</f>
      </c>
      <c r="L65" s="18">
        <f>L11</f>
      </c>
      <c r="M65" s="18">
        <f>M11</f>
      </c>
      <c r="N65" s="18">
        <f>N11</f>
      </c>
      <c r="O65" s="18">
        <f>O11</f>
      </c>
      <c r="P65" s="18">
        <f>P11</f>
      </c>
      <c r="Q65" s="18">
        <f>Q11</f>
      </c>
      <c r="R65" s="18">
        <f>R11</f>
      </c>
      <c r="S65" s="18">
        <f>S11</f>
      </c>
      <c r="T65" s="18">
        <f>T11</f>
      </c>
      <c r="U65" s="18">
        <f>U11</f>
      </c>
      <c r="V65" s="18">
        <f>V11</f>
      </c>
      <c r="W65" s="18">
        <f>W11</f>
      </c>
      <c r="X65" s="18">
        <f>X11</f>
      </c>
      <c r="Y65" s="18">
        <f>Y11</f>
      </c>
      <c r="Z65" s="18">
        <f>Z11</f>
      </c>
      <c r="AA65" s="18">
        <f>AA11</f>
      </c>
      <c r="AB65" s="18">
        <f>AB11</f>
      </c>
      <c r="AC65" s="18">
        <f>AC11</f>
      </c>
      <c r="AD65" s="18">
        <f>AD11</f>
      </c>
      <c r="AE65" s="18">
        <f>AE11</f>
      </c>
      <c r="AF65" s="18">
        <f>AF11</f>
      </c>
      <c r="AG65" s="18">
        <f>AG11</f>
      </c>
      <c r="AH65" s="18">
        <f>AH11</f>
      </c>
      <c r="AI65" s="18">
        <f>AI11</f>
      </c>
      <c r="AJ65" s="18">
        <f>AJ11</f>
      </c>
      <c r="AK65" s="18">
        <f>AK11</f>
      </c>
      <c r="AL65" s="18">
        <f>AL11</f>
      </c>
      <c r="AM65" s="19"/>
    </row>
    <row r="66" ht="12.75" customHeight="1" spans="2:39" x14ac:dyDescent="0.25">
      <c r="B66" s="16"/>
      <c r="C66" s="17"/>
      <c r="D66" s="17" t="s">
        <v>42</v>
      </c>
      <c r="E66" s="17"/>
      <c r="F66" s="17"/>
      <c r="G66" s="18">
        <f>G40</f>
      </c>
      <c r="H66" s="18">
        <f>H40</f>
      </c>
      <c r="I66" s="18">
        <f>I40</f>
      </c>
      <c r="J66" s="18">
        <f>J40</f>
      </c>
      <c r="K66" s="18">
        <f>K40</f>
      </c>
      <c r="L66" s="18">
        <f>L40</f>
      </c>
      <c r="M66" s="18">
        <f>M40</f>
      </c>
      <c r="N66" s="18">
        <f>N40</f>
      </c>
      <c r="O66" s="18">
        <f>O40</f>
      </c>
      <c r="P66" s="18">
        <f>P40</f>
      </c>
      <c r="Q66" s="18">
        <f>Q40</f>
      </c>
      <c r="R66" s="18">
        <f>R40</f>
      </c>
      <c r="S66" s="18">
        <f>S40</f>
      </c>
      <c r="T66" s="18">
        <f>T40</f>
      </c>
      <c r="U66" s="18">
        <f>U40</f>
      </c>
      <c r="V66" s="18">
        <f>V40</f>
      </c>
      <c r="W66" s="18">
        <f>W40</f>
      </c>
      <c r="X66" s="18">
        <f>X40</f>
      </c>
      <c r="Y66" s="18">
        <f>Y40</f>
      </c>
      <c r="Z66" s="18">
        <f>Z40</f>
      </c>
      <c r="AA66" s="18">
        <f>AA40</f>
      </c>
      <c r="AB66" s="18">
        <f>AB40</f>
      </c>
      <c r="AC66" s="18">
        <f>AC40</f>
      </c>
      <c r="AD66" s="18">
        <f>AD40</f>
      </c>
      <c r="AE66" s="18">
        <f>AE40</f>
      </c>
      <c r="AF66" s="18">
        <f>AF40</f>
      </c>
      <c r="AG66" s="18">
        <f>AG40</f>
      </c>
      <c r="AH66" s="18">
        <f>AH40</f>
      </c>
      <c r="AI66" s="18">
        <f>AI40</f>
      </c>
      <c r="AJ66" s="18">
        <f>AJ40</f>
      </c>
      <c r="AK66" s="18">
        <f>AK40</f>
      </c>
      <c r="AL66" s="18">
        <f>AL40</f>
      </c>
      <c r="AM66" s="19"/>
    </row>
    <row r="67" ht="12.75" customHeight="1" spans="2:39" x14ac:dyDescent="0.25">
      <c r="B67" s="16"/>
      <c r="C67" s="17"/>
      <c r="D67" s="17" t="s">
        <v>43</v>
      </c>
      <c r="E67" s="17"/>
      <c r="F67" s="17"/>
      <c r="G67" s="18">
        <f>G52</f>
      </c>
      <c r="H67" s="18">
        <f>H52</f>
      </c>
      <c r="I67" s="18">
        <f>I52</f>
      </c>
      <c r="J67" s="18">
        <f>J52</f>
      </c>
      <c r="K67" s="18">
        <f>K52</f>
      </c>
      <c r="L67" s="18">
        <f>L52</f>
      </c>
      <c r="M67" s="18">
        <f>M52</f>
      </c>
      <c r="N67" s="18">
        <f>N52</f>
      </c>
      <c r="O67" s="18">
        <f>O52</f>
      </c>
      <c r="P67" s="18">
        <f>P52</f>
      </c>
      <c r="Q67" s="18">
        <f>Q52</f>
      </c>
      <c r="R67" s="18">
        <f>R52</f>
      </c>
      <c r="S67" s="18">
        <f>S52</f>
      </c>
      <c r="T67" s="18">
        <f>T52</f>
      </c>
      <c r="U67" s="18">
        <f>U52</f>
      </c>
      <c r="V67" s="18">
        <f>V52</f>
      </c>
      <c r="W67" s="18">
        <f>W52</f>
      </c>
      <c r="X67" s="18">
        <f>X52</f>
      </c>
      <c r="Y67" s="18">
        <f>Y52</f>
      </c>
      <c r="Z67" s="18">
        <f>Z52</f>
      </c>
      <c r="AA67" s="18">
        <f>AA52</f>
      </c>
      <c r="AB67" s="18">
        <f>AB52</f>
      </c>
      <c r="AC67" s="18">
        <f>AC52</f>
      </c>
      <c r="AD67" s="18">
        <f>AD52</f>
      </c>
      <c r="AE67" s="18">
        <f>AE52</f>
      </c>
      <c r="AF67" s="18">
        <f>AF52</f>
      </c>
      <c r="AG67" s="18">
        <f>AG52</f>
      </c>
      <c r="AH67" s="18">
        <f>AH52</f>
      </c>
      <c r="AI67" s="18">
        <f>AI52</f>
      </c>
      <c r="AJ67" s="18">
        <f>AJ52</f>
      </c>
      <c r="AK67" s="18">
        <f>AK52</f>
      </c>
      <c r="AL67" s="18">
        <f>AL52</f>
      </c>
      <c r="AM67" s="19"/>
    </row>
    <row r="68" ht="12.75" customHeight="1" spans="2:39" x14ac:dyDescent="0.25">
      <c r="B68" s="16"/>
      <c r="C68" s="17"/>
      <c r="D68" s="17" t="s">
        <v>44</v>
      </c>
      <c r="E68" s="17"/>
      <c r="F68" s="17"/>
      <c r="G68" s="18">
        <f>G61</f>
      </c>
      <c r="H68" s="18">
        <f>H61</f>
      </c>
      <c r="I68" s="18">
        <f>I61</f>
      </c>
      <c r="J68" s="18">
        <f>J61</f>
      </c>
      <c r="K68" s="18">
        <f>K61</f>
      </c>
      <c r="L68" s="18">
        <f>L61</f>
      </c>
      <c r="M68" s="18">
        <f>M61</f>
      </c>
      <c r="N68" s="18">
        <f>N61</f>
      </c>
      <c r="O68" s="18">
        <f>O61</f>
      </c>
      <c r="P68" s="18">
        <f>P61</f>
      </c>
      <c r="Q68" s="18">
        <f>Q61</f>
      </c>
      <c r="R68" s="18">
        <f>R61</f>
      </c>
      <c r="S68" s="18">
        <f>S61</f>
      </c>
      <c r="T68" s="18">
        <f>T61</f>
      </c>
      <c r="U68" s="18">
        <f>U61</f>
      </c>
      <c r="V68" s="18">
        <f>V61</f>
      </c>
      <c r="W68" s="18">
        <f>W61</f>
      </c>
      <c r="X68" s="18">
        <f>X61</f>
      </c>
      <c r="Y68" s="18">
        <f>Y61</f>
      </c>
      <c r="Z68" s="18">
        <f>Z61</f>
      </c>
      <c r="AA68" s="18">
        <f>AA61</f>
      </c>
      <c r="AB68" s="18">
        <f>AB61</f>
      </c>
      <c r="AC68" s="18">
        <f>AC61</f>
      </c>
      <c r="AD68" s="18">
        <f>AD61</f>
      </c>
      <c r="AE68" s="18">
        <f>AE61</f>
      </c>
      <c r="AF68" s="18">
        <f>AF61</f>
      </c>
      <c r="AG68" s="18">
        <f>AG61</f>
      </c>
      <c r="AH68" s="18">
        <f>AH61</f>
      </c>
      <c r="AI68" s="18">
        <f>AI61</f>
      </c>
      <c r="AJ68" s="18">
        <f>AJ61</f>
      </c>
      <c r="AK68" s="18">
        <f>AK61</f>
      </c>
      <c r="AL68" s="18">
        <f>AL61</f>
      </c>
      <c r="AM68" s="19"/>
    </row>
    <row r="69" ht="12.75" customHeight="1" spans="2:39" x14ac:dyDescent="0.25">
      <c r="B69" s="20"/>
      <c r="C69" s="21"/>
      <c r="D69" s="21" t="s">
        <v>45</v>
      </c>
      <c r="E69" s="21"/>
      <c r="F69" s="21"/>
      <c r="G69" s="22">
        <f>G65+G66+G67+G68</f>
      </c>
      <c r="H69" s="22">
        <f>H65+H66+H67+H68</f>
      </c>
      <c r="I69" s="22">
        <f>I65+I66+I67+I68</f>
      </c>
      <c r="J69" s="22">
        <f>J65+J66+J67+J68</f>
      </c>
      <c r="K69" s="22">
        <f>K65+K66+K67+K68</f>
      </c>
      <c r="L69" s="22">
        <f>L65+L66+L67+L68</f>
      </c>
      <c r="M69" s="22">
        <f>M65+M66+M67+M68</f>
      </c>
      <c r="N69" s="22">
        <f>N65+N66+N67+N68</f>
      </c>
      <c r="O69" s="22">
        <f>O65+O66+O67+O68</f>
      </c>
      <c r="P69" s="22">
        <f>P65+P66+P67+P68</f>
      </c>
      <c r="Q69" s="22">
        <f>Q65+Q66+Q67+Q68</f>
      </c>
      <c r="R69" s="22">
        <f>R65+R66+R67+R68</f>
      </c>
      <c r="S69" s="22">
        <f>S65+S66+S67+S68</f>
      </c>
      <c r="T69" s="22">
        <f>T65+T66+T67+T68</f>
      </c>
      <c r="U69" s="22">
        <f>U65+U66+U67+U68</f>
      </c>
      <c r="V69" s="22">
        <f>V65+V66+V67+V68</f>
      </c>
      <c r="W69" s="22">
        <f>W65+W66+W67+W68</f>
      </c>
      <c r="X69" s="22">
        <f>X65+X66+X67+X68</f>
      </c>
      <c r="Y69" s="22">
        <f>Y65+Y66+Y67+Y68</f>
      </c>
      <c r="Z69" s="22">
        <f>Z65+Z66+Z67+Z68</f>
      </c>
      <c r="AA69" s="22">
        <f>AA65+AA66+AA67+AA68</f>
      </c>
      <c r="AB69" s="22">
        <f>AB65+AB66+AB67+AB68</f>
      </c>
      <c r="AC69" s="22">
        <f>AC65+AC66+AC67+AC68</f>
      </c>
      <c r="AD69" s="22">
        <f>AD65+AD66+AD67+AD68</f>
      </c>
      <c r="AE69" s="22">
        <f>AE65+AE66+AE67+AE68</f>
      </c>
      <c r="AF69" s="22">
        <f>AF65+AF66+AF67+AF68</f>
      </c>
      <c r="AG69" s="22">
        <f>AG65+AG66+AG67+AG68</f>
      </c>
      <c r="AH69" s="22">
        <f>AH65+AH66+AH67+AH68</f>
      </c>
      <c r="AI69" s="22">
        <f>AI65+AI66+AI67+AI68</f>
      </c>
      <c r="AJ69" s="22">
        <f>AJ65+AJ66+AJ67+AJ68</f>
      </c>
      <c r="AK69" s="22">
        <f>AK65+AK66+AK67+AK68</f>
      </c>
      <c r="AL69" s="22">
        <f>AL65+AL66+AL67+AL68</f>
      </c>
      <c r="AM69" s="23"/>
    </row>
    <row r="71" ht="12.75" customHeight="1" spans="2:39" x14ac:dyDescent="0.25">
      <c r="B71" s="11" t="s">
        <v>46</v>
      </c>
      <c r="C71" s="12"/>
      <c r="D71" s="12"/>
      <c r="E71" s="12"/>
      <c r="F71" s="12"/>
      <c r="G71" s="52" t="s">
        <v>7</v>
      </c>
      <c r="H71" s="52" t="s">
        <v>8</v>
      </c>
      <c r="I71" s="52" t="s">
        <v>9</v>
      </c>
      <c r="J71" s="52" t="s">
        <v>10</v>
      </c>
      <c r="K71" s="52" t="s">
        <v>11</v>
      </c>
      <c r="L71" s="52" t="s">
        <v>12</v>
      </c>
      <c r="M71" s="52" t="s">
        <v>13</v>
      </c>
      <c r="N71" s="52" t="s">
        <v>14</v>
      </c>
      <c r="O71" s="52" t="s">
        <v>15</v>
      </c>
      <c r="P71" s="52" t="s">
        <v>16</v>
      </c>
      <c r="Q71" s="52" t="s">
        <v>17</v>
      </c>
      <c r="R71" s="52" t="s">
        <v>18</v>
      </c>
      <c r="S71" s="52" t="s">
        <v>19</v>
      </c>
      <c r="T71" s="52" t="s">
        <v>20</v>
      </c>
      <c r="U71" s="52" t="s">
        <v>21</v>
      </c>
      <c r="V71" s="52" t="s">
        <v>22</v>
      </c>
      <c r="W71" s="52" t="s">
        <v>23</v>
      </c>
      <c r="X71" s="52" t="s">
        <v>24</v>
      </c>
      <c r="Y71" s="52" t="s">
        <v>25</v>
      </c>
      <c r="Z71" s="52" t="s">
        <v>26</v>
      </c>
      <c r="AA71" s="52" t="s">
        <v>27</v>
      </c>
      <c r="AB71" s="52" t="s">
        <v>28</v>
      </c>
      <c r="AC71" s="52" t="s">
        <v>29</v>
      </c>
      <c r="AD71" s="52" t="s">
        <v>30</v>
      </c>
      <c r="AE71" s="52" t="s">
        <v>31</v>
      </c>
      <c r="AF71" s="52" t="s">
        <v>32</v>
      </c>
      <c r="AG71" s="52" t="s">
        <v>33</v>
      </c>
      <c r="AH71" s="52" t="s">
        <v>34</v>
      </c>
      <c r="AI71" s="52" t="s">
        <v>35</v>
      </c>
      <c r="AJ71" s="52" t="s">
        <v>36</v>
      </c>
      <c r="AK71" s="52" t="s">
        <v>37</v>
      </c>
      <c r="AL71" s="52" t="s">
        <v>38</v>
      </c>
      <c r="AM71" s="15"/>
    </row>
    <row r="72" ht="12.75" customHeight="1" spans="2:39" x14ac:dyDescent="0.25">
      <c r="B72" s="16"/>
      <c r="C72" s="17"/>
      <c r="D72" s="17" t="s">
        <v>41</v>
      </c>
      <c r="E72" s="17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9"/>
    </row>
    <row r="73" ht="12.75" customHeight="1" spans="2:39" x14ac:dyDescent="0.25">
      <c r="B73" s="16"/>
      <c r="C73" s="17"/>
      <c r="D73" s="17" t="s">
        <v>42</v>
      </c>
      <c r="E73" s="17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9"/>
    </row>
    <row r="74" ht="12.75" customHeight="1" spans="2:39" x14ac:dyDescent="0.25">
      <c r="B74" s="16"/>
      <c r="C74" s="17"/>
      <c r="D74" s="17" t="s">
        <v>43</v>
      </c>
      <c r="E74" s="17"/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9"/>
    </row>
    <row r="75" ht="12.75" customHeight="1" spans="2:39" x14ac:dyDescent="0.25">
      <c r="B75" s="16"/>
      <c r="C75" s="17"/>
      <c r="D75" s="17" t="s">
        <v>44</v>
      </c>
      <c r="E75" s="17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9"/>
    </row>
    <row r="76" ht="12.75" customHeight="1" spans="2:39" x14ac:dyDescent="0.25">
      <c r="B76" s="20"/>
      <c r="C76" s="21"/>
      <c r="D76" s="21" t="s">
        <v>45</v>
      </c>
      <c r="E76" s="21"/>
      <c r="F76" s="21"/>
      <c r="G76" s="22">
        <f>G72+G73+G74+G75</f>
      </c>
      <c r="H76" s="22">
        <f>H72+H73+H74+H75</f>
      </c>
      <c r="I76" s="22">
        <f>I72+I73+I74+I75</f>
      </c>
      <c r="J76" s="22">
        <f>J72+J73+J74+J75</f>
      </c>
      <c r="K76" s="22">
        <f>K72+K73+K74+K75</f>
      </c>
      <c r="L76" s="22">
        <f>L72+L73+L74+L75</f>
      </c>
      <c r="M76" s="22">
        <f>M72+M73+M74+M75</f>
      </c>
      <c r="N76" s="22">
        <f>N72+N73+N74+N75</f>
      </c>
      <c r="O76" s="22">
        <f>O72+O73+O74+O75</f>
      </c>
      <c r="P76" s="22">
        <f>P72+P73+P74+P75</f>
      </c>
      <c r="Q76" s="22">
        <f>Q72+Q73+Q74+Q75</f>
      </c>
      <c r="R76" s="22">
        <f>R72+R73+R74+R75</f>
      </c>
      <c r="S76" s="22">
        <f>S72+S73+S74+S75</f>
      </c>
      <c r="T76" s="22">
        <f>T72+T73+T74+T75</f>
      </c>
      <c r="U76" s="22">
        <f>U72+U73+U74+U75</f>
      </c>
      <c r="V76" s="22">
        <f>V72+V73+V74+V75</f>
      </c>
      <c r="W76" s="22">
        <f>W72+W73+W74+W75</f>
      </c>
      <c r="X76" s="22">
        <f>X72+X73+X74+X75</f>
      </c>
      <c r="Y76" s="22">
        <f>Y72+Y73+Y74+Y75</f>
      </c>
      <c r="Z76" s="22">
        <f>Z72+Z73+Z74+Z75</f>
      </c>
      <c r="AA76" s="22">
        <f>AA72+AA73+AA74+AA75</f>
      </c>
      <c r="AB76" s="22">
        <f>AB72+AB73+AB74+AB75</f>
      </c>
      <c r="AC76" s="22">
        <f>AC72+AC73+AC74+AC75</f>
      </c>
      <c r="AD76" s="22">
        <f>AD72+AD73+AD74+AD75</f>
      </c>
      <c r="AE76" s="22">
        <f>AE72+AE73+AE74+AE75</f>
      </c>
      <c r="AF76" s="22">
        <f>AF72+AF73+AF74+AF75</f>
      </c>
      <c r="AG76" s="22">
        <f>AG72+AG73+AG74+AG75</f>
      </c>
      <c r="AH76" s="22">
        <f>AH72+AH73+AH74+AH75</f>
      </c>
      <c r="AI76" s="22">
        <f>AI72+AI73+AI74+AI75</f>
      </c>
      <c r="AJ76" s="22">
        <f>AJ72+AJ73+AJ74+AJ75</f>
      </c>
      <c r="AK76" s="22">
        <f>AK72+AK73+AK74+AK75</f>
      </c>
      <c r="AL76" s="22">
        <f>AL72+AL73+AL74+AL75</f>
      </c>
      <c r="AM76" s="23"/>
    </row>
    <row r="78" ht="12.75" customHeight="1" spans="2:39" x14ac:dyDescent="0.25">
      <c r="B78" s="11" t="s">
        <v>47</v>
      </c>
      <c r="C78" s="12"/>
      <c r="D78" s="12"/>
      <c r="E78" s="12"/>
      <c r="F78" s="12"/>
      <c r="G78" s="52" t="s">
        <v>7</v>
      </c>
      <c r="H78" s="52" t="s">
        <v>8</v>
      </c>
      <c r="I78" s="52" t="s">
        <v>9</v>
      </c>
      <c r="J78" s="52" t="s">
        <v>10</v>
      </c>
      <c r="K78" s="52" t="s">
        <v>11</v>
      </c>
      <c r="L78" s="52" t="s">
        <v>12</v>
      </c>
      <c r="M78" s="52" t="s">
        <v>13</v>
      </c>
      <c r="N78" s="52" t="s">
        <v>14</v>
      </c>
      <c r="O78" s="52" t="s">
        <v>15</v>
      </c>
      <c r="P78" s="52" t="s">
        <v>16</v>
      </c>
      <c r="Q78" s="52" t="s">
        <v>17</v>
      </c>
      <c r="R78" s="52" t="s">
        <v>18</v>
      </c>
      <c r="S78" s="52" t="s">
        <v>19</v>
      </c>
      <c r="T78" s="52" t="s">
        <v>20</v>
      </c>
      <c r="U78" s="52" t="s">
        <v>21</v>
      </c>
      <c r="V78" s="52" t="s">
        <v>22</v>
      </c>
      <c r="W78" s="52" t="s">
        <v>23</v>
      </c>
      <c r="X78" s="52" t="s">
        <v>24</v>
      </c>
      <c r="Y78" s="52" t="s">
        <v>25</v>
      </c>
      <c r="Z78" s="52" t="s">
        <v>26</v>
      </c>
      <c r="AA78" s="52" t="s">
        <v>27</v>
      </c>
      <c r="AB78" s="52" t="s">
        <v>28</v>
      </c>
      <c r="AC78" s="52" t="s">
        <v>29</v>
      </c>
      <c r="AD78" s="52" t="s">
        <v>30</v>
      </c>
      <c r="AE78" s="52" t="s">
        <v>31</v>
      </c>
      <c r="AF78" s="52" t="s">
        <v>32</v>
      </c>
      <c r="AG78" s="52" t="s">
        <v>33</v>
      </c>
      <c r="AH78" s="52" t="s">
        <v>34</v>
      </c>
      <c r="AI78" s="52" t="s">
        <v>35</v>
      </c>
      <c r="AJ78" s="52" t="s">
        <v>36</v>
      </c>
      <c r="AK78" s="52" t="s">
        <v>37</v>
      </c>
      <c r="AL78" s="52" t="s">
        <v>38</v>
      </c>
      <c r="AM78" s="15"/>
    </row>
    <row r="79" ht="12.75" customHeight="1" spans="2:39" x14ac:dyDescent="0.25">
      <c r="B79" s="16"/>
      <c r="C79" s="17"/>
      <c r="D79" s="17" t="s">
        <v>41</v>
      </c>
      <c r="E79" s="17"/>
      <c r="F79" s="17"/>
      <c r="G79" s="24">
        <f>G72-G65</f>
      </c>
      <c r="H79" s="24">
        <f>H72-H65</f>
      </c>
      <c r="I79" s="24">
        <f>I72-I65</f>
      </c>
      <c r="J79" s="24">
        <f>J72-J65</f>
      </c>
      <c r="K79" s="24">
        <f>K72-K65</f>
      </c>
      <c r="L79" s="24">
        <f>L72-L65</f>
      </c>
      <c r="M79" s="24">
        <f>M72-M65</f>
      </c>
      <c r="N79" s="24">
        <f>N72-N65</f>
      </c>
      <c r="O79" s="24">
        <f>O72-O65</f>
      </c>
      <c r="P79" s="24">
        <f>P72-P65</f>
      </c>
      <c r="Q79" s="24">
        <f>Q72-Q65</f>
      </c>
      <c r="R79" s="24">
        <f>R72-R65</f>
      </c>
      <c r="S79" s="24">
        <f>S72-S65</f>
      </c>
      <c r="T79" s="24">
        <f>T72-T65</f>
      </c>
      <c r="U79" s="24">
        <f>U72-U65</f>
      </c>
      <c r="V79" s="24">
        <f>V72-V65</f>
      </c>
      <c r="W79" s="24">
        <f>W72-W65</f>
      </c>
      <c r="X79" s="24">
        <f>X72-X65</f>
      </c>
      <c r="Y79" s="24">
        <f>Y72-Y65</f>
      </c>
      <c r="Z79" s="24">
        <f>Z72-Z65</f>
      </c>
      <c r="AA79" s="24">
        <f>AA72-AA65</f>
      </c>
      <c r="AB79" s="24">
        <f>AB72-AB65</f>
      </c>
      <c r="AC79" s="24">
        <f>AC72-AC65</f>
      </c>
      <c r="AD79" s="24">
        <f>AD72-AD65</f>
      </c>
      <c r="AE79" s="24">
        <f>AE72-AE65</f>
      </c>
      <c r="AF79" s="24">
        <f>AF72-AF65</f>
      </c>
      <c r="AG79" s="24">
        <f>AG72-AG65</f>
      </c>
      <c r="AH79" s="24">
        <f>AH72-AH65</f>
      </c>
      <c r="AI79" s="24">
        <f>AI72-AI65</f>
      </c>
      <c r="AJ79" s="24">
        <f>AJ72-AJ65</f>
      </c>
      <c r="AK79" s="24">
        <f>AK72-AK65</f>
      </c>
      <c r="AL79" s="24">
        <f>AL72-AL65</f>
      </c>
      <c r="AM79" s="19"/>
    </row>
    <row r="80" ht="12.75" customHeight="1" spans="2:39" x14ac:dyDescent="0.25">
      <c r="B80" s="16"/>
      <c r="C80" s="17"/>
      <c r="D80" s="17" t="s">
        <v>42</v>
      </c>
      <c r="E80" s="17"/>
      <c r="F80" s="17"/>
      <c r="G80" s="24">
        <f>G73-G66</f>
      </c>
      <c r="H80" s="24">
        <f>H73-H66</f>
      </c>
      <c r="I80" s="24">
        <f>I73-I66</f>
      </c>
      <c r="J80" s="24">
        <f>J73-J66</f>
      </c>
      <c r="K80" s="24">
        <f>K73-K66</f>
      </c>
      <c r="L80" s="24">
        <f>L73-L66</f>
      </c>
      <c r="M80" s="24">
        <f>M73-M66</f>
      </c>
      <c r="N80" s="24">
        <f>N73-N66</f>
      </c>
      <c r="O80" s="24">
        <f>O73-O66</f>
      </c>
      <c r="P80" s="24">
        <f>P73-P66</f>
      </c>
      <c r="Q80" s="24">
        <f>Q73-Q66</f>
      </c>
      <c r="R80" s="24">
        <f>R73-R66</f>
      </c>
      <c r="S80" s="24">
        <f>S73-S66</f>
      </c>
      <c r="T80" s="24">
        <f>T73-T66</f>
      </c>
      <c r="U80" s="24">
        <f>U73-U66</f>
      </c>
      <c r="V80" s="24">
        <f>V73-V66</f>
      </c>
      <c r="W80" s="24">
        <f>W73-W66</f>
      </c>
      <c r="X80" s="24">
        <f>X73-X66</f>
      </c>
      <c r="Y80" s="24">
        <f>Y73-Y66</f>
      </c>
      <c r="Z80" s="24">
        <f>Z73-Z66</f>
      </c>
      <c r="AA80" s="24">
        <f>AA73-AA66</f>
      </c>
      <c r="AB80" s="24">
        <f>AB73-AB66</f>
      </c>
      <c r="AC80" s="24">
        <f>AC73-AC66</f>
      </c>
      <c r="AD80" s="24">
        <f>AD73-AD66</f>
      </c>
      <c r="AE80" s="24">
        <f>AE73-AE66</f>
      </c>
      <c r="AF80" s="24">
        <f>AF73-AF66</f>
      </c>
      <c r="AG80" s="24">
        <f>AG73-AG66</f>
      </c>
      <c r="AH80" s="24">
        <f>AH73-AH66</f>
      </c>
      <c r="AI80" s="24">
        <f>AI73-AI66</f>
      </c>
      <c r="AJ80" s="24">
        <f>AJ73-AJ66</f>
      </c>
      <c r="AK80" s="24">
        <f>AK73-AK66</f>
      </c>
      <c r="AL80" s="24">
        <f>AL73-AL66</f>
      </c>
      <c r="AM80" s="19"/>
    </row>
    <row r="81" ht="12.75" customHeight="1" spans="2:39" x14ac:dyDescent="0.25">
      <c r="B81" s="16"/>
      <c r="C81" s="17"/>
      <c r="D81" s="17" t="s">
        <v>43</v>
      </c>
      <c r="E81" s="17"/>
      <c r="F81" s="17"/>
      <c r="G81" s="24">
        <f>G74-G67</f>
      </c>
      <c r="H81" s="24">
        <f>H74-H67</f>
      </c>
      <c r="I81" s="24">
        <f>I74-I67</f>
      </c>
      <c r="J81" s="24">
        <f>J74-J67</f>
      </c>
      <c r="K81" s="24">
        <f>K74-K67</f>
      </c>
      <c r="L81" s="24">
        <f>L74-L67</f>
      </c>
      <c r="M81" s="24">
        <f>M74-M67</f>
      </c>
      <c r="N81" s="24">
        <f>N74-N67</f>
      </c>
      <c r="O81" s="24">
        <f>O74-O67</f>
      </c>
      <c r="P81" s="24">
        <f>P74-P67</f>
      </c>
      <c r="Q81" s="24">
        <f>Q74-Q67</f>
      </c>
      <c r="R81" s="24">
        <f>R74-R67</f>
      </c>
      <c r="S81" s="24">
        <f>S74-S67</f>
      </c>
      <c r="T81" s="24">
        <f>T74-T67</f>
      </c>
      <c r="U81" s="24">
        <f>U74-U67</f>
      </c>
      <c r="V81" s="24">
        <f>V74-V67</f>
      </c>
      <c r="W81" s="24">
        <f>W74-W67</f>
      </c>
      <c r="X81" s="24">
        <f>X74-X67</f>
      </c>
      <c r="Y81" s="24">
        <f>Y74-Y67</f>
      </c>
      <c r="Z81" s="24">
        <f>Z74-Z67</f>
      </c>
      <c r="AA81" s="24">
        <f>AA74-AA67</f>
      </c>
      <c r="AB81" s="24">
        <f>AB74-AB67</f>
      </c>
      <c r="AC81" s="24">
        <f>AC74-AC67</f>
      </c>
      <c r="AD81" s="24">
        <f>AD74-AD67</f>
      </c>
      <c r="AE81" s="24">
        <f>AE74-AE67</f>
      </c>
      <c r="AF81" s="24">
        <f>AF74-AF67</f>
      </c>
      <c r="AG81" s="24">
        <f>AG74-AG67</f>
      </c>
      <c r="AH81" s="24">
        <f>AH74-AH67</f>
      </c>
      <c r="AI81" s="24">
        <f>AI74-AI67</f>
      </c>
      <c r="AJ81" s="24">
        <f>AJ74-AJ67</f>
      </c>
      <c r="AK81" s="24">
        <f>AK74-AK67</f>
      </c>
      <c r="AL81" s="24">
        <f>AL74-AL67</f>
      </c>
      <c r="AM81" s="19"/>
    </row>
    <row r="82" ht="12.75" customHeight="1" spans="2:39" x14ac:dyDescent="0.25">
      <c r="B82" s="16"/>
      <c r="C82" s="17"/>
      <c r="D82" s="17" t="s">
        <v>44</v>
      </c>
      <c r="E82" s="17"/>
      <c r="F82" s="17"/>
      <c r="G82" s="24">
        <f>G75-G68</f>
      </c>
      <c r="H82" s="24">
        <f>H75-H68</f>
      </c>
      <c r="I82" s="24">
        <f>I75-I68</f>
      </c>
      <c r="J82" s="24">
        <f>J75-J68</f>
      </c>
      <c r="K82" s="24">
        <f>K75-K68</f>
      </c>
      <c r="L82" s="24">
        <f>L75-L68</f>
      </c>
      <c r="M82" s="24">
        <f>M75-M68</f>
      </c>
      <c r="N82" s="24">
        <f>N75-N68</f>
      </c>
      <c r="O82" s="24">
        <f>O75-O68</f>
      </c>
      <c r="P82" s="24">
        <f>P75-P68</f>
      </c>
      <c r="Q82" s="24">
        <f>Q75-Q68</f>
      </c>
      <c r="R82" s="24">
        <f>R75-R68</f>
      </c>
      <c r="S82" s="24">
        <f>S75-S68</f>
      </c>
      <c r="T82" s="24">
        <f>T75-T68</f>
      </c>
      <c r="U82" s="24">
        <f>U75-U68</f>
      </c>
      <c r="V82" s="24">
        <f>V75-V68</f>
      </c>
      <c r="W82" s="24">
        <f>W75-W68</f>
      </c>
      <c r="X82" s="24">
        <f>X75-X68</f>
      </c>
      <c r="Y82" s="24">
        <f>Y75-Y68</f>
      </c>
      <c r="Z82" s="24">
        <f>Z75-Z68</f>
      </c>
      <c r="AA82" s="24">
        <f>AA75-AA68</f>
      </c>
      <c r="AB82" s="24">
        <f>AB75-AB68</f>
      </c>
      <c r="AC82" s="24">
        <f>AC75-AC68</f>
      </c>
      <c r="AD82" s="24">
        <f>AD75-AD68</f>
      </c>
      <c r="AE82" s="24">
        <f>AE75-AE68</f>
      </c>
      <c r="AF82" s="24">
        <f>AF75-AF68</f>
      </c>
      <c r="AG82" s="24">
        <f>AG75-AG68</f>
      </c>
      <c r="AH82" s="24">
        <f>AH75-AH68</f>
      </c>
      <c r="AI82" s="24">
        <f>AI75-AI68</f>
      </c>
      <c r="AJ82" s="24">
        <f>AJ75-AJ68</f>
      </c>
      <c r="AK82" s="24">
        <f>AK75-AK68</f>
      </c>
      <c r="AL82" s="24">
        <f>AL75-AL68</f>
      </c>
      <c r="AM82" s="19"/>
    </row>
    <row r="83" ht="12.75" customHeight="1" spans="2:39" x14ac:dyDescent="0.25">
      <c r="B83" s="20"/>
      <c r="C83" s="21"/>
      <c r="D83" s="21" t="s">
        <v>45</v>
      </c>
      <c r="E83" s="21"/>
      <c r="F83" s="21"/>
      <c r="G83" s="25">
        <f>G79+G80+G81+G82</f>
      </c>
      <c r="H83" s="25">
        <f>H79+H80+H81+H82</f>
      </c>
      <c r="I83" s="25">
        <f>I79+I80+I81+I82</f>
      </c>
      <c r="J83" s="25">
        <f>J79+J80+J81+J82</f>
      </c>
      <c r="K83" s="25">
        <f>K79+K80+K81+K82</f>
      </c>
      <c r="L83" s="25">
        <f>L79+L80+L81+L82</f>
      </c>
      <c r="M83" s="25">
        <f>M79+M80+M81+M82</f>
      </c>
      <c r="N83" s="25">
        <f>N79+N80+N81+N82</f>
      </c>
      <c r="O83" s="25">
        <f>O79+O80+O81+O82</f>
      </c>
      <c r="P83" s="25">
        <f>P79+P80+P81+P82</f>
      </c>
      <c r="Q83" s="25">
        <f>Q79+Q80+Q81+Q82</f>
      </c>
      <c r="R83" s="25">
        <f>R79+R80+R81+R82</f>
      </c>
      <c r="S83" s="25">
        <f>S79+S80+S81+S82</f>
      </c>
      <c r="T83" s="25">
        <f>T79+T80+T81+T82</f>
      </c>
      <c r="U83" s="25">
        <f>U79+U80+U81+U82</f>
      </c>
      <c r="V83" s="25">
        <f>V79+V80+V81+V82</f>
      </c>
      <c r="W83" s="25">
        <f>W79+W80+W81+W82</f>
      </c>
      <c r="X83" s="25">
        <f>X79+X80+X81+X82</f>
      </c>
      <c r="Y83" s="25">
        <f>Y79+Y80+Y81+Y82</f>
      </c>
      <c r="Z83" s="25">
        <f>Z79+Z80+Z81+Z82</f>
      </c>
      <c r="AA83" s="25">
        <f>AA79+AA80+AA81+AA82</f>
      </c>
      <c r="AB83" s="25">
        <f>AB79+AB80+AB81+AB82</f>
      </c>
      <c r="AC83" s="25">
        <f>AC79+AC80+AC81+AC82</f>
      </c>
      <c r="AD83" s="25">
        <f>AD79+AD80+AD81+AD82</f>
      </c>
      <c r="AE83" s="25">
        <f>AE79+AE80+AE81+AE82</f>
      </c>
      <c r="AF83" s="25">
        <f>AF79+AF80+AF81+AF82</f>
      </c>
      <c r="AG83" s="25">
        <f>AG79+AG80+AG81+AG82</f>
      </c>
      <c r="AH83" s="25">
        <f>AH79+AH80+AH81+AH82</f>
      </c>
      <c r="AI83" s="25">
        <f>AI79+AI80+AI81+AI82</f>
      </c>
      <c r="AJ83" s="25">
        <f>AJ79+AJ80+AJ81+AJ82</f>
      </c>
      <c r="AK83" s="25">
        <f>AK79+AK80+AK81+AK82</f>
      </c>
      <c r="AL83" s="25">
        <f>AL79+AL80+AL81+AL82</f>
      </c>
      <c r="AM8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7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1664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227</v>
      </c>
      <c r="D13" s="32" t="s">
        <v>1665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>
        <v>36.99</v>
      </c>
      <c r="AA13" s="33">
        <v>5.62</v>
      </c>
      <c r="AB13" s="33">
        <v>46.19</v>
      </c>
      <c r="AC13" s="33">
        <v>41.02</v>
      </c>
      <c r="AD13" s="36">
        <f>33.81+38.39</f>
        <v>72.2</v>
      </c>
      <c r="AE13" s="33">
        <v>32.02</v>
      </c>
      <c r="AF13" s="33">
        <v>39.51</v>
      </c>
      <c r="AG13" s="32"/>
      <c r="AH13" s="33">
        <v>37.13</v>
      </c>
      <c r="AI13" s="33">
        <v>39.12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227</v>
      </c>
      <c r="D14" s="32" t="s">
        <v>1666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>
        <v>32.09</v>
      </c>
      <c r="AA14" s="33">
        <v>0.97</v>
      </c>
      <c r="AB14" s="33">
        <v>53.89</v>
      </c>
      <c r="AC14" s="33">
        <v>52.78</v>
      </c>
      <c r="AD14" s="36">
        <f>37.05+45.91</f>
        <v>82.96</v>
      </c>
      <c r="AE14" s="33">
        <v>33.72</v>
      </c>
      <c r="AF14" s="33">
        <v>39.47</v>
      </c>
      <c r="AG14" s="32"/>
      <c r="AH14" s="33">
        <v>38.49</v>
      </c>
      <c r="AI14" s="33">
        <v>37.64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227</v>
      </c>
      <c r="D15" s="32" t="s">
        <v>1667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3">
        <v>89.36</v>
      </c>
      <c r="AA15" s="33">
        <v>-8.12</v>
      </c>
      <c r="AB15" s="33">
        <v>75.76</v>
      </c>
      <c r="AC15" s="33">
        <v>65.86</v>
      </c>
      <c r="AD15" s="36">
        <f>37.01+50.04</f>
        <v>87.05</v>
      </c>
      <c r="AE15" s="33">
        <v>33.49</v>
      </c>
      <c r="AF15" s="33">
        <v>39.77</v>
      </c>
      <c r="AG15" s="33">
        <v>36.21</v>
      </c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227</v>
      </c>
      <c r="D16" s="32" t="s">
        <v>1668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>
        <v>-25.3</v>
      </c>
      <c r="AA16" s="33">
        <v>20.24</v>
      </c>
      <c r="AB16" s="33">
        <v>48.28</v>
      </c>
      <c r="AC16" s="33">
        <v>50.86</v>
      </c>
      <c r="AD16" s="36">
        <f>49.22+52.53</f>
        <v>101.75</v>
      </c>
      <c r="AE16" s="33">
        <v>49.22</v>
      </c>
      <c r="AF16" s="33">
        <v>55.98</v>
      </c>
      <c r="AG16" s="32"/>
      <c r="AH16" s="33">
        <v>64.84</v>
      </c>
      <c r="AI16" s="33">
        <v>58.02</v>
      </c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227</v>
      </c>
      <c r="D17" s="32" t="s">
        <v>1669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>
        <v>61.61</v>
      </c>
      <c r="AB17" s="33">
        <v>65.98</v>
      </c>
      <c r="AC17" s="33">
        <v>56.36</v>
      </c>
      <c r="AD17" s="36">
        <f>37.78+40.41</f>
        <v>78.19</v>
      </c>
      <c r="AE17" s="33">
        <v>35.01</v>
      </c>
      <c r="AF17" s="33">
        <v>39.21</v>
      </c>
      <c r="AG17" s="32"/>
      <c r="AH17" s="33">
        <v>38.4</v>
      </c>
      <c r="AI17" s="33">
        <v>42.98</v>
      </c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227</v>
      </c>
      <c r="D18" s="32" t="s">
        <v>1670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>
        <v>29.81</v>
      </c>
      <c r="AA18" s="33">
        <v>35.6</v>
      </c>
      <c r="AB18" s="33">
        <v>33.2</v>
      </c>
      <c r="AC18" s="33">
        <v>32.37</v>
      </c>
      <c r="AD18" s="36">
        <f>30.81+30.71</f>
        <v>61.519999999999996</v>
      </c>
      <c r="AE18" s="33">
        <v>34</v>
      </c>
      <c r="AF18" s="33">
        <v>-90.48</v>
      </c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227</v>
      </c>
      <c r="D19" s="32" t="s">
        <v>1671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>
        <v>-216.71</v>
      </c>
      <c r="AA19" s="33">
        <v>78.87</v>
      </c>
      <c r="AB19" s="33">
        <v>295.58</v>
      </c>
      <c r="AC19" s="33">
        <v>295.58</v>
      </c>
      <c r="AD19" s="36">
        <f>295.58+295.58</f>
        <v>591.16</v>
      </c>
      <c r="AE19" s="33">
        <v>295.58</v>
      </c>
      <c r="AF19" s="33">
        <v>310.92</v>
      </c>
      <c r="AG19" s="32"/>
      <c r="AH19" s="33">
        <v>310.92</v>
      </c>
      <c r="AI19" s="33">
        <v>310.92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227</v>
      </c>
      <c r="D20" s="32" t="s">
        <v>1672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6">
        <f>0.00+100.00</f>
        <v>100</v>
      </c>
      <c r="AH20" s="33">
        <v>136.43</v>
      </c>
      <c r="AI20" s="33">
        <v>-29.75</v>
      </c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227</v>
      </c>
      <c r="D21" s="32" t="s">
        <v>1673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>
        <v>-53.89</v>
      </c>
      <c r="AA21" s="33">
        <v>115.66</v>
      </c>
      <c r="AB21" s="33">
        <v>168.77</v>
      </c>
      <c r="AC21" s="33">
        <v>178.62</v>
      </c>
      <c r="AD21" s="36">
        <f>104.53+116.95</f>
        <v>221.48000000000002</v>
      </c>
      <c r="AE21" s="33">
        <v>124.34</v>
      </c>
      <c r="AF21" s="33">
        <v>227.81</v>
      </c>
      <c r="AG21" s="32"/>
      <c r="AH21" s="33">
        <v>437.01</v>
      </c>
      <c r="AI21" s="33">
        <v>247.82</v>
      </c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227</v>
      </c>
      <c r="D22" s="32" t="s">
        <v>1674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>
        <v>-652.44</v>
      </c>
      <c r="AA22" s="33">
        <v>-234.8</v>
      </c>
      <c r="AB22" s="33">
        <v>271.89</v>
      </c>
      <c r="AC22" s="33">
        <v>530.29</v>
      </c>
      <c r="AD22" s="36">
        <f>808.16+593.80</f>
        <v>1401.96</v>
      </c>
      <c r="AE22" s="33">
        <v>931.73</v>
      </c>
      <c r="AF22" s="33">
        <v>1210.32</v>
      </c>
      <c r="AG22" s="32"/>
      <c r="AH22" s="33">
        <v>1245.39</v>
      </c>
      <c r="AI22" s="33">
        <v>971.06</v>
      </c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227</v>
      </c>
      <c r="D23" s="32" t="s">
        <v>1675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3">
        <v>29.81</v>
      </c>
      <c r="AA23" s="33">
        <v>0</v>
      </c>
      <c r="AB23" s="33">
        <v>29.81</v>
      </c>
      <c r="AC23" s="33">
        <v>29.81</v>
      </c>
      <c r="AD23" s="36">
        <f>29.81+29.81</f>
        <v>59.62</v>
      </c>
      <c r="AE23" s="33">
        <v>29.81</v>
      </c>
      <c r="AF23" s="33">
        <v>35.53</v>
      </c>
      <c r="AG23" s="32"/>
      <c r="AH23" s="33">
        <v>35.53</v>
      </c>
      <c r="AI23" s="33">
        <v>35.53</v>
      </c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227</v>
      </c>
      <c r="D24" s="32" t="s">
        <v>1676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3">
        <v>474</v>
      </c>
      <c r="AA24" s="33">
        <v>-38.23</v>
      </c>
      <c r="AB24" s="33">
        <v>449.52</v>
      </c>
      <c r="AC24" s="33">
        <v>495.75</v>
      </c>
      <c r="AD24" s="36">
        <f>346.73+450.35</f>
        <v>797.08</v>
      </c>
      <c r="AE24" s="33">
        <v>257.03</v>
      </c>
      <c r="AF24" s="33">
        <v>328.71</v>
      </c>
      <c r="AG24" s="32"/>
      <c r="AH24" s="33">
        <v>306.62</v>
      </c>
      <c r="AI24" s="33">
        <v>327.28</v>
      </c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227</v>
      </c>
      <c r="D25" s="32" t="s">
        <v>1677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65.57</v>
      </c>
      <c r="AA25" s="33">
        <v>-7.15</v>
      </c>
      <c r="AB25" s="33">
        <v>54.7</v>
      </c>
      <c r="AC25" s="33">
        <v>57.33</v>
      </c>
      <c r="AD25" s="36">
        <f>40.50+55.81</f>
        <v>96.31</v>
      </c>
      <c r="AE25" s="33">
        <v>36.05</v>
      </c>
      <c r="AF25" s="33">
        <v>41.05</v>
      </c>
      <c r="AG25" s="32"/>
      <c r="AH25" s="33">
        <v>110</v>
      </c>
      <c r="AI25" s="33">
        <v>123.89</v>
      </c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227</v>
      </c>
      <c r="D26" s="32" t="s">
        <v>1678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>
        <v>57.46</v>
      </c>
      <c r="AA26" s="33">
        <v>0.49</v>
      </c>
      <c r="AB26" s="33">
        <v>63.86</v>
      </c>
      <c r="AC26" s="33">
        <v>83.21</v>
      </c>
      <c r="AD26" s="36">
        <f>64.16+59.77</f>
        <v>123.93</v>
      </c>
      <c r="AE26" s="33">
        <v>75.82</v>
      </c>
      <c r="AF26" s="33">
        <v>93.37</v>
      </c>
      <c r="AG26" s="32"/>
      <c r="AH26" s="33">
        <v>105.46</v>
      </c>
      <c r="AI26" s="33">
        <v>107.32</v>
      </c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227</v>
      </c>
      <c r="D27" s="32" t="s">
        <v>1679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>
        <v>61.06</v>
      </c>
      <c r="AB27" s="33">
        <v>64.75</v>
      </c>
      <c r="AC27" s="33">
        <v>58.02</v>
      </c>
      <c r="AD27" s="36">
        <f>41.33+53.34</f>
        <v>94.67</v>
      </c>
      <c r="AE27" s="33">
        <v>38.7</v>
      </c>
      <c r="AF27" s="33">
        <v>43.91</v>
      </c>
      <c r="AG27" s="32"/>
      <c r="AH27" s="33">
        <v>41.22</v>
      </c>
      <c r="AI27" s="33">
        <v>45.5</v>
      </c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227</v>
      </c>
      <c r="D28" s="32" t="s">
        <v>1680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66.84</v>
      </c>
      <c r="AA28" s="33">
        <v>-8.96</v>
      </c>
      <c r="AB28" s="36">
        <f>-63.12+54.83</f>
        <v>-8.29</v>
      </c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227</v>
      </c>
      <c r="D29" s="32" t="s">
        <v>1681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3">
        <v>30.71</v>
      </c>
      <c r="AA29" s="33">
        <v>0</v>
      </c>
      <c r="AB29" s="33">
        <v>30.71</v>
      </c>
      <c r="AC29" s="33">
        <v>30.81</v>
      </c>
      <c r="AD29" s="36">
        <f>30.65+29.81</f>
        <v>60.459999999999994</v>
      </c>
      <c r="AE29" s="33">
        <v>30.6</v>
      </c>
      <c r="AF29" s="33">
        <v>36.31</v>
      </c>
      <c r="AG29" s="32"/>
      <c r="AH29" s="33">
        <v>36.26</v>
      </c>
      <c r="AI29" s="33">
        <v>36.17</v>
      </c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227</v>
      </c>
      <c r="D30" s="32" t="s">
        <v>1682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3">
        <v>40.11</v>
      </c>
      <c r="AA30" s="33">
        <v>-0.04</v>
      </c>
      <c r="AB30" s="33">
        <v>42.02</v>
      </c>
      <c r="AC30" s="33">
        <v>38.57</v>
      </c>
      <c r="AD30" s="33">
        <v>39.94</v>
      </c>
      <c r="AE30" s="33">
        <v>-105.17</v>
      </c>
      <c r="AF30" s="33">
        <v>-61.74</v>
      </c>
      <c r="AG30" s="33">
        <v>-20.24</v>
      </c>
      <c r="AH30" s="33">
        <v>24.42</v>
      </c>
      <c r="AI30" s="33">
        <v>41.4</v>
      </c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227</v>
      </c>
      <c r="D31" s="32" t="s">
        <v>1683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3">
        <v>29.81</v>
      </c>
      <c r="AA31" s="33">
        <v>0</v>
      </c>
      <c r="AB31" s="33">
        <v>29.81</v>
      </c>
      <c r="AC31" s="33">
        <v>29.81</v>
      </c>
      <c r="AD31" s="36">
        <f>29.81+29.81</f>
        <v>59.62</v>
      </c>
      <c r="AE31" s="33">
        <v>61.33</v>
      </c>
      <c r="AF31" s="33">
        <v>94.87</v>
      </c>
      <c r="AG31" s="32"/>
      <c r="AH31" s="33">
        <v>118.89</v>
      </c>
      <c r="AI31" s="33">
        <v>108.34</v>
      </c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227</v>
      </c>
      <c r="D32" s="32" t="s">
        <v>1684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3">
        <v>33.88</v>
      </c>
      <c r="AB32" s="33">
        <v>33.83</v>
      </c>
      <c r="AC32" s="33">
        <v>-5.27</v>
      </c>
      <c r="AD32" s="36">
        <f>34.02+28.70</f>
        <v>62.72</v>
      </c>
      <c r="AE32" s="33">
        <v>34.69</v>
      </c>
      <c r="AF32" s="33">
        <v>41.92</v>
      </c>
      <c r="AG32" s="32"/>
      <c r="AH32" s="33">
        <v>42.03</v>
      </c>
      <c r="AI32" s="33">
        <v>41.47</v>
      </c>
      <c r="AJ32" s="34">
        <f>SUM(E32:AI32)</f>
      </c>
      <c r="AK32" s="35"/>
    </row>
    <row r="33" ht="12.75" customHeight="1" spans="2:37" x14ac:dyDescent="0.25">
      <c r="B33" s="37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40"/>
    </row>
    <row r="34" ht="12.75" customHeight="1" spans="2:37" x14ac:dyDescent="0.25">
      <c r="B34" s="20" t="s">
        <v>85</v>
      </c>
      <c r="C34" s="21"/>
      <c r="D34" s="21"/>
      <c r="E34" s="22">
        <f>SUM(E13:E32)</f>
      </c>
      <c r="F34" s="22">
        <f>SUM(F13:F32)</f>
      </c>
      <c r="G34" s="22">
        <f>SUM(G13:G32)</f>
      </c>
      <c r="H34" s="22">
        <f>SUM(H13:H32)</f>
      </c>
      <c r="I34" s="22">
        <f>SUM(I13:I32)</f>
      </c>
      <c r="J34" s="22">
        <f>SUM(J13:J32)</f>
      </c>
      <c r="K34" s="22">
        <f>SUM(K13:K32)</f>
      </c>
      <c r="L34" s="22">
        <f>SUM(L13:L32)</f>
      </c>
      <c r="M34" s="22">
        <f>SUM(M13:M32)</f>
      </c>
      <c r="N34" s="22">
        <f>SUM(N13:N32)</f>
      </c>
      <c r="O34" s="22">
        <f>SUM(O13:O32)</f>
      </c>
      <c r="P34" s="22">
        <f>SUM(P13:P32)</f>
      </c>
      <c r="Q34" s="22">
        <f>SUM(Q13:Q32)</f>
      </c>
      <c r="R34" s="22">
        <f>SUM(R13:R32)</f>
      </c>
      <c r="S34" s="22">
        <f>SUM(S13:S32)</f>
      </c>
      <c r="T34" s="22">
        <f>SUM(T13:T32)</f>
      </c>
      <c r="U34" s="22">
        <f>SUM(U13:U32)</f>
      </c>
      <c r="V34" s="22">
        <f>SUM(V13:V32)</f>
      </c>
      <c r="W34" s="22">
        <f>SUM(W13:W32)</f>
      </c>
      <c r="X34" s="22">
        <f>SUM(X13:X32)</f>
      </c>
      <c r="Y34" s="22">
        <f>SUM(Y13:Y32)</f>
      </c>
      <c r="Z34" s="22">
        <f>SUM(Z13:Z32)</f>
      </c>
      <c r="AA34" s="22">
        <f>SUM(AA13:AA32)</f>
      </c>
      <c r="AB34" s="22">
        <f>SUM(AB13:AB32)</f>
      </c>
      <c r="AC34" s="22">
        <f>SUM(AC13:AC32)</f>
      </c>
      <c r="AD34" s="22">
        <f>SUM(AD13:AD32)</f>
      </c>
      <c r="AE34" s="22">
        <f>SUM(AE13:AE32)</f>
      </c>
      <c r="AF34" s="22">
        <f>SUM(AF13:AF32)</f>
      </c>
      <c r="AG34" s="22">
        <f>SUM(AG13:AG32)</f>
      </c>
      <c r="AH34" s="22">
        <f>SUM(AH13:AH32)</f>
      </c>
      <c r="AI34" s="22">
        <f>SUM(AI13:AI32)</f>
      </c>
      <c r="AJ34" s="22">
        <f>SUM(AJ13:AJ32)</f>
      </c>
      <c r="AK34" s="23"/>
    </row>
    <row r="36" ht="12.75" customHeight="1" spans="2:37" x14ac:dyDescent="0.25">
      <c r="B36" s="26" t="s">
        <v>43</v>
      </c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9"/>
    </row>
    <row r="37" ht="12.75" customHeight="1" spans="2:37" x14ac:dyDescent="0.25">
      <c r="B37" s="30" t="s">
        <v>43</v>
      </c>
      <c r="C37" s="31" t="s">
        <v>1685</v>
      </c>
      <c r="D37" s="32" t="s">
        <v>1686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6">
        <f>0.00+0.00</f>
        <v>0</v>
      </c>
      <c r="Y37" s="36">
        <f>0.00+270.87</f>
        <v>270.87</v>
      </c>
      <c r="Z37" s="36">
        <f>46.01+-196.32</f>
        <v>-150.31</v>
      </c>
      <c r="AA37" s="36">
        <f>50.03+-50.25</f>
        <v>-0.21999999999999886</v>
      </c>
      <c r="AB37" s="36">
        <f>50.03+81.51</f>
        <v>131.54000000000002</v>
      </c>
      <c r="AC37" s="36">
        <f>0.00+150.09</f>
        <v>150.09</v>
      </c>
      <c r="AD37" s="36">
        <f>46.01+74.55</f>
        <v>120.56</v>
      </c>
      <c r="AE37" s="36">
        <f>86.21+144.15</f>
        <v>230.36</v>
      </c>
      <c r="AF37" s="36">
        <f>122.39+206.79</f>
        <v>329.18</v>
      </c>
      <c r="AG37" s="36">
        <f>226.91+387.75</f>
        <v>614.66</v>
      </c>
      <c r="AH37" s="36">
        <f>162.59+276.39</f>
        <v>438.98</v>
      </c>
      <c r="AI37" s="32"/>
      <c r="AJ37" s="34">
        <f>SUM(E37:AI37)</f>
      </c>
      <c r="AK37" s="35"/>
    </row>
    <row r="38" ht="12.75" customHeight="1" spans="2:37" x14ac:dyDescent="0.25">
      <c r="B38" s="30" t="s">
        <v>43</v>
      </c>
      <c r="C38" s="31" t="s">
        <v>1685</v>
      </c>
      <c r="D38" s="32" t="s">
        <v>1687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6">
        <f>0.00+1767.29</f>
        <v>1767.29</v>
      </c>
      <c r="AF38" s="36">
        <f>33.95+53.67</f>
        <v>87.62</v>
      </c>
      <c r="AG38" s="36">
        <f>33.95+53.67</f>
        <v>87.62</v>
      </c>
      <c r="AH38" s="36">
        <f>33.95+53.67</f>
        <v>87.62</v>
      </c>
      <c r="AI38" s="32"/>
      <c r="AJ38" s="34">
        <f>SUM(E38:AI38)</f>
      </c>
      <c r="AK38" s="35"/>
    </row>
    <row r="39" ht="12.75" customHeight="1" spans="2:37" x14ac:dyDescent="0.25">
      <c r="B39" s="30" t="s">
        <v>43</v>
      </c>
      <c r="C39" s="31" t="s">
        <v>1685</v>
      </c>
      <c r="D39" s="32" t="s">
        <v>1688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6">
        <f>0.00+0.00</f>
        <v>0</v>
      </c>
      <c r="Y39" s="36">
        <f>33.95+53.67</f>
        <v>87.62</v>
      </c>
      <c r="Z39" s="32"/>
      <c r="AA39" s="36">
        <f>33.95+53.67</f>
        <v>87.62</v>
      </c>
      <c r="AB39" s="36">
        <f>33.95+53.67</f>
        <v>87.62</v>
      </c>
      <c r="AC39" s="36">
        <f>33.95+53.67</f>
        <v>87.62</v>
      </c>
      <c r="AD39" s="36">
        <f>33.95+53.67</f>
        <v>87.62</v>
      </c>
      <c r="AE39" s="36">
        <f>33.95+53.67</f>
        <v>87.62</v>
      </c>
      <c r="AF39" s="36">
        <f>33.95+53.67</f>
        <v>87.62</v>
      </c>
      <c r="AG39" s="36">
        <f>33.95+53.67</f>
        <v>87.62</v>
      </c>
      <c r="AH39" s="36">
        <f>33.95+53.67</f>
        <v>87.62</v>
      </c>
      <c r="AI39" s="32"/>
      <c r="AJ39" s="34">
        <f>SUM(E39:AI39)</f>
      </c>
      <c r="AK39" s="35"/>
    </row>
    <row r="40" ht="12.75" customHeight="1" spans="2:37" x14ac:dyDescent="0.25">
      <c r="B40" s="30" t="s">
        <v>43</v>
      </c>
      <c r="C40" s="31" t="s">
        <v>1685</v>
      </c>
      <c r="D40" s="32" t="s">
        <v>1689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6">
        <f>0.00+0.00</f>
        <v>0</v>
      </c>
      <c r="Y40" s="36">
        <f>0.00+87.62</f>
        <v>87.62</v>
      </c>
      <c r="Z40" s="32"/>
      <c r="AA40" s="36">
        <f>33.95+53.67</f>
        <v>87.62</v>
      </c>
      <c r="AB40" s="36">
        <f>33.95+53.67</f>
        <v>87.62</v>
      </c>
      <c r="AC40" s="36">
        <f>33.95+53.67</f>
        <v>87.62</v>
      </c>
      <c r="AD40" s="36">
        <f>33.95+53.67</f>
        <v>87.62</v>
      </c>
      <c r="AE40" s="36">
        <f>33.95+53.67</f>
        <v>87.62</v>
      </c>
      <c r="AF40" s="36">
        <f>33.95+53.67</f>
        <v>87.62</v>
      </c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43</v>
      </c>
      <c r="C41" s="31" t="s">
        <v>1685</v>
      </c>
      <c r="D41" s="32" t="s">
        <v>1690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6">
        <f>0.00+0.00</f>
        <v>0</v>
      </c>
      <c r="Y41" s="36">
        <f>56.52+60.63</f>
        <v>117.15</v>
      </c>
      <c r="Z41" s="36">
        <f>33.95+-63.48</f>
        <v>-29.529999999999994</v>
      </c>
      <c r="AA41" s="36">
        <f>33.95+24.14</f>
        <v>58.09</v>
      </c>
      <c r="AB41" s="36">
        <f>33.95+53.67</f>
        <v>87.62</v>
      </c>
      <c r="AC41" s="36">
        <f>33.95+53.67</f>
        <v>87.62</v>
      </c>
      <c r="AD41" s="36">
        <f>33.95+53.67</f>
        <v>87.62</v>
      </c>
      <c r="AE41" s="36">
        <f>33.95+53.67</f>
        <v>87.62</v>
      </c>
      <c r="AF41" s="36">
        <f>33.95+53.67</f>
        <v>87.62</v>
      </c>
      <c r="AG41" s="36">
        <f>4.85+7.67+33.95+53.67</f>
        <v>100.14</v>
      </c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43</v>
      </c>
      <c r="C42" s="31" t="s">
        <v>1685</v>
      </c>
      <c r="D42" s="32" t="s">
        <v>1691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6">
        <f>0.00+0.00</f>
        <v>0</v>
      </c>
      <c r="Y42" s="36">
        <f>0.00+87.62</f>
        <v>87.62</v>
      </c>
      <c r="Z42" s="32"/>
      <c r="AA42" s="36">
        <f>56.52+60.63</f>
        <v>117.15</v>
      </c>
      <c r="AB42" s="36">
        <f>33.95+53.67</f>
        <v>87.62</v>
      </c>
      <c r="AC42" s="36">
        <f>33.95+53.67</f>
        <v>87.62</v>
      </c>
      <c r="AD42" s="36">
        <f>33.95+53.67</f>
        <v>87.62</v>
      </c>
      <c r="AE42" s="36">
        <f>33.95+53.67</f>
        <v>87.62</v>
      </c>
      <c r="AF42" s="36">
        <f>60.54+67.59</f>
        <v>128.13</v>
      </c>
      <c r="AG42" s="36">
        <f>60.54+67.59</f>
        <v>128.13</v>
      </c>
      <c r="AH42" s="36">
        <f>56.52+60.63</f>
        <v>117.15</v>
      </c>
      <c r="AI42" s="32"/>
      <c r="AJ42" s="34">
        <f>SUM(E42:AI42)</f>
      </c>
      <c r="AK42" s="35"/>
    </row>
    <row r="43" ht="12.75" customHeight="1" spans="2:37" x14ac:dyDescent="0.25">
      <c r="B43" s="30" t="s">
        <v>43</v>
      </c>
      <c r="C43" s="31" t="s">
        <v>1685</v>
      </c>
      <c r="D43" s="32" t="s">
        <v>1692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6">
        <f>0.00+0.00</f>
        <v>0</v>
      </c>
      <c r="Y43" s="36">
        <f>257.23+363.87</f>
        <v>621.1</v>
      </c>
      <c r="Z43" s="36">
        <f>168.79+210.75</f>
        <v>379.53999999999996</v>
      </c>
      <c r="AA43" s="36">
        <f>144.67+-452.11</f>
        <v>-307.44000000000005</v>
      </c>
      <c r="AB43" s="36">
        <f>132.61+-159.33</f>
        <v>-26.72</v>
      </c>
      <c r="AC43" s="36">
        <f>156.73+163.15</f>
        <v>319.88</v>
      </c>
      <c r="AD43" s="36">
        <f>144.67+168.99</f>
        <v>313.65999999999997</v>
      </c>
      <c r="AE43" s="36">
        <f>317.53+468.27</f>
        <v>785.8</v>
      </c>
      <c r="AF43" s="36">
        <f>235.13+331.07</f>
        <v>566.2</v>
      </c>
      <c r="AG43" s="36">
        <f>401.95+614.43</f>
        <v>1016.3799999999999</v>
      </c>
      <c r="AH43" s="36">
        <f>261.25+370.83</f>
        <v>632.0799999999999</v>
      </c>
      <c r="AI43" s="32"/>
      <c r="AJ43" s="34">
        <f>SUM(E43:AI43)</f>
      </c>
      <c r="AK43" s="35"/>
    </row>
    <row r="44" ht="12.75" customHeight="1" spans="2:37" x14ac:dyDescent="0.25">
      <c r="B44" s="30" t="s">
        <v>43</v>
      </c>
      <c r="C44" s="31" t="s">
        <v>1685</v>
      </c>
      <c r="D44" s="32" t="s">
        <v>1693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6">
        <f>1686.50+2670.44</f>
        <v>4356.9400000000005</v>
      </c>
      <c r="AC44" s="36">
        <f>2627.18+4299.08</f>
        <v>6926.26</v>
      </c>
      <c r="AD44" s="36">
        <f>0.00+1723.86</f>
        <v>1723.86</v>
      </c>
      <c r="AE44" s="36">
        <f>2277.44+3693.56</f>
        <v>5971</v>
      </c>
      <c r="AF44" s="36">
        <f>2856.32+4695.80</f>
        <v>7552.120000000001</v>
      </c>
      <c r="AG44" s="36">
        <f>4275.38+7152.68</f>
        <v>11428.060000000001</v>
      </c>
      <c r="AH44" s="36">
        <f>3495.50+5802.44</f>
        <v>9297.939999999999</v>
      </c>
      <c r="AI44" s="32"/>
      <c r="AJ44" s="34">
        <f>SUM(E44:AI44)</f>
      </c>
      <c r="AK44" s="35"/>
    </row>
    <row r="45" ht="12.75" customHeight="1" spans="2:37" x14ac:dyDescent="0.25">
      <c r="B45" s="37"/>
      <c r="C45" s="38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40"/>
    </row>
    <row r="46" ht="12.75" customHeight="1" spans="2:37" x14ac:dyDescent="0.25">
      <c r="B46" s="20" t="s">
        <v>89</v>
      </c>
      <c r="C46" s="21"/>
      <c r="D46" s="21"/>
      <c r="E46" s="22">
        <f>SUM(E37:E44)</f>
      </c>
      <c r="F46" s="22">
        <f>SUM(F37:F44)</f>
      </c>
      <c r="G46" s="22">
        <f>SUM(G37:G44)</f>
      </c>
      <c r="H46" s="22">
        <f>SUM(H37:H44)</f>
      </c>
      <c r="I46" s="22">
        <f>SUM(I37:I44)</f>
      </c>
      <c r="J46" s="22">
        <f>SUM(J37:J44)</f>
      </c>
      <c r="K46" s="22">
        <f>SUM(K37:K44)</f>
      </c>
      <c r="L46" s="22">
        <f>SUM(L37:L44)</f>
      </c>
      <c r="M46" s="22">
        <f>SUM(M37:M44)</f>
      </c>
      <c r="N46" s="22">
        <f>SUM(N37:N44)</f>
      </c>
      <c r="O46" s="22">
        <f>SUM(O37:O44)</f>
      </c>
      <c r="P46" s="22">
        <f>SUM(P37:P44)</f>
      </c>
      <c r="Q46" s="22">
        <f>SUM(Q37:Q44)</f>
      </c>
      <c r="R46" s="22">
        <f>SUM(R37:R44)</f>
      </c>
      <c r="S46" s="22">
        <f>SUM(S37:S44)</f>
      </c>
      <c r="T46" s="22">
        <f>SUM(T37:T44)</f>
      </c>
      <c r="U46" s="22">
        <f>SUM(U37:U44)</f>
      </c>
      <c r="V46" s="22">
        <f>SUM(V37:V44)</f>
      </c>
      <c r="W46" s="22">
        <f>SUM(W37:W44)</f>
      </c>
      <c r="X46" s="22">
        <f>SUM(X37:X44)</f>
      </c>
      <c r="Y46" s="22">
        <f>SUM(Y37:Y44)</f>
      </c>
      <c r="Z46" s="22">
        <f>SUM(Z37:Z44)</f>
      </c>
      <c r="AA46" s="22">
        <f>SUM(AA37:AA44)</f>
      </c>
      <c r="AB46" s="22">
        <f>SUM(AB37:AB44)</f>
      </c>
      <c r="AC46" s="22">
        <f>SUM(AC37:AC44)</f>
      </c>
      <c r="AD46" s="22">
        <f>SUM(AD37:AD44)</f>
      </c>
      <c r="AE46" s="22">
        <f>SUM(AE37:AE44)</f>
      </c>
      <c r="AF46" s="22">
        <f>SUM(AF37:AF44)</f>
      </c>
      <c r="AG46" s="22">
        <f>SUM(AG37:AG44)</f>
      </c>
      <c r="AH46" s="22">
        <f>SUM(AH37:AH44)</f>
      </c>
      <c r="AI46" s="22">
        <f>SUM(AI37:AI44)</f>
      </c>
      <c r="AJ46" s="22">
        <f>SUM(AJ37:AJ44)</f>
      </c>
      <c r="AK46" s="23"/>
    </row>
    <row r="48" ht="12.75" customHeight="1" spans="2:37" x14ac:dyDescent="0.25">
      <c r="B48" s="26" t="s">
        <v>44</v>
      </c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9"/>
    </row>
    <row r="49" ht="12.75" customHeight="1" spans="2:37" x14ac:dyDescent="0.25">
      <c r="B49" s="30" t="s">
        <v>44</v>
      </c>
      <c r="C49" s="31" t="s">
        <v>1685</v>
      </c>
      <c r="D49" s="32" t="s">
        <v>1686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3">
        <v>0</v>
      </c>
      <c r="Y49" s="33">
        <v>0</v>
      </c>
      <c r="Z49" s="33">
        <v>18.55</v>
      </c>
      <c r="AA49" s="33">
        <v>18.55</v>
      </c>
      <c r="AB49" s="33">
        <v>18.55</v>
      </c>
      <c r="AC49" s="33">
        <v>0</v>
      </c>
      <c r="AD49" s="33">
        <v>18.55</v>
      </c>
      <c r="AE49" s="33">
        <v>18.55</v>
      </c>
      <c r="AF49" s="33">
        <v>18.55</v>
      </c>
      <c r="AG49" s="33">
        <v>18.55</v>
      </c>
      <c r="AH49" s="33">
        <v>18.55</v>
      </c>
      <c r="AI49" s="32"/>
      <c r="AJ49" s="34">
        <f>SUM(E49:AI49)</f>
      </c>
      <c r="AK49" s="35"/>
    </row>
    <row r="50" ht="12.75" customHeight="1" spans="2:37" x14ac:dyDescent="0.25">
      <c r="B50" s="30" t="s">
        <v>44</v>
      </c>
      <c r="C50" s="31" t="s">
        <v>1685</v>
      </c>
      <c r="D50" s="32" t="s">
        <v>1694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6">
        <f>909.30+0.00</f>
        <v>909.3</v>
      </c>
      <c r="Z50" s="32"/>
      <c r="AA50" s="33">
        <v>909.3</v>
      </c>
      <c r="AB50" s="33">
        <v>909.3</v>
      </c>
      <c r="AC50" s="33">
        <v>909.3</v>
      </c>
      <c r="AD50" s="33">
        <v>909.3</v>
      </c>
      <c r="AE50" s="33">
        <v>909.3</v>
      </c>
      <c r="AF50" s="33">
        <v>909.3</v>
      </c>
      <c r="AG50" s="33">
        <v>909.3</v>
      </c>
      <c r="AH50" s="33">
        <v>909.3</v>
      </c>
      <c r="AI50" s="32"/>
      <c r="AJ50" s="34">
        <f>SUM(E50:AI50)</f>
      </c>
      <c r="AK50" s="35"/>
    </row>
    <row r="51" ht="12.75" customHeight="1" spans="2:37" x14ac:dyDescent="0.25">
      <c r="B51" s="37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40"/>
    </row>
    <row r="52" ht="12.75" customHeight="1" spans="2:37" x14ac:dyDescent="0.25">
      <c r="B52" s="20" t="s">
        <v>90</v>
      </c>
      <c r="C52" s="21"/>
      <c r="D52" s="21"/>
      <c r="E52" s="22">
        <f>SUM(E49:E50)</f>
      </c>
      <c r="F52" s="22">
        <f>SUM(F49:F50)</f>
      </c>
      <c r="G52" s="22">
        <f>SUM(G49:G50)</f>
      </c>
      <c r="H52" s="22">
        <f>SUM(H49:H50)</f>
      </c>
      <c r="I52" s="22">
        <f>SUM(I49:I50)</f>
      </c>
      <c r="J52" s="22">
        <f>SUM(J49:J50)</f>
      </c>
      <c r="K52" s="22">
        <f>SUM(K49:K50)</f>
      </c>
      <c r="L52" s="22">
        <f>SUM(L49:L50)</f>
      </c>
      <c r="M52" s="22">
        <f>SUM(M49:M50)</f>
      </c>
      <c r="N52" s="22">
        <f>SUM(N49:N50)</f>
      </c>
      <c r="O52" s="22">
        <f>SUM(O49:O50)</f>
      </c>
      <c r="P52" s="22">
        <f>SUM(P49:P50)</f>
      </c>
      <c r="Q52" s="22">
        <f>SUM(Q49:Q50)</f>
      </c>
      <c r="R52" s="22">
        <f>SUM(R49:R50)</f>
      </c>
      <c r="S52" s="22">
        <f>SUM(S49:S50)</f>
      </c>
      <c r="T52" s="22">
        <f>SUM(T49:T50)</f>
      </c>
      <c r="U52" s="22">
        <f>SUM(U49:U50)</f>
      </c>
      <c r="V52" s="22">
        <f>SUM(V49:V50)</f>
      </c>
      <c r="W52" s="22">
        <f>SUM(W49:W50)</f>
      </c>
      <c r="X52" s="22">
        <f>SUM(X49:X50)</f>
      </c>
      <c r="Y52" s="22">
        <f>SUM(Y49:Y50)</f>
      </c>
      <c r="Z52" s="22">
        <f>SUM(Z49:Z50)</f>
      </c>
      <c r="AA52" s="22">
        <f>SUM(AA49:AA50)</f>
      </c>
      <c r="AB52" s="22">
        <f>SUM(AB49:AB50)</f>
      </c>
      <c r="AC52" s="22">
        <f>SUM(AC49:AC50)</f>
      </c>
      <c r="AD52" s="22">
        <f>SUM(AD49:AD50)</f>
      </c>
      <c r="AE52" s="22">
        <f>SUM(AE49:AE50)</f>
      </c>
      <c r="AF52" s="22">
        <f>SUM(AF49:AF50)</f>
      </c>
      <c r="AG52" s="22">
        <f>SUM(AG49:AG50)</f>
      </c>
      <c r="AH52" s="22">
        <f>SUM(AH49:AH50)</f>
      </c>
      <c r="AI52" s="22">
        <f>SUM(AI49:AI50)</f>
      </c>
      <c r="AJ52" s="22">
        <f>SUM(AJ49:AJ50)</f>
      </c>
      <c r="AK52" s="23"/>
    </row>
    <row r="55" ht="12.75" customHeight="1" spans="2:37" x14ac:dyDescent="0.25">
      <c r="B55" s="11" t="s">
        <v>40</v>
      </c>
      <c r="C55" s="12"/>
      <c r="D55" s="13"/>
      <c r="E55" s="14" t="s">
        <v>7</v>
      </c>
      <c r="F55" s="14" t="s">
        <v>8</v>
      </c>
      <c r="G55" s="14" t="s">
        <v>9</v>
      </c>
      <c r="H55" s="14" t="s">
        <v>10</v>
      </c>
      <c r="I55" s="14" t="s">
        <v>11</v>
      </c>
      <c r="J55" s="14" t="s">
        <v>12</v>
      </c>
      <c r="K55" s="14" t="s">
        <v>13</v>
      </c>
      <c r="L55" s="14" t="s">
        <v>14</v>
      </c>
      <c r="M55" s="14" t="s">
        <v>15</v>
      </c>
      <c r="N55" s="14" t="s">
        <v>16</v>
      </c>
      <c r="O55" s="14" t="s">
        <v>17</v>
      </c>
      <c r="P55" s="14" t="s">
        <v>18</v>
      </c>
      <c r="Q55" s="14" t="s">
        <v>19</v>
      </c>
      <c r="R55" s="14" t="s">
        <v>20</v>
      </c>
      <c r="S55" s="14" t="s">
        <v>21</v>
      </c>
      <c r="T55" s="14" t="s">
        <v>22</v>
      </c>
      <c r="U55" s="14" t="s">
        <v>23</v>
      </c>
      <c r="V55" s="14" t="s">
        <v>24</v>
      </c>
      <c r="W55" s="14" t="s">
        <v>25</v>
      </c>
      <c r="X55" s="14" t="s">
        <v>26</v>
      </c>
      <c r="Y55" s="14" t="s">
        <v>27</v>
      </c>
      <c r="Z55" s="14" t="s">
        <v>28</v>
      </c>
      <c r="AA55" s="14" t="s">
        <v>29</v>
      </c>
      <c r="AB55" s="14" t="s">
        <v>30</v>
      </c>
      <c r="AC55" s="14" t="s">
        <v>31</v>
      </c>
      <c r="AD55" s="14" t="s">
        <v>32</v>
      </c>
      <c r="AE55" s="14" t="s">
        <v>33</v>
      </c>
      <c r="AF55" s="14" t="s">
        <v>34</v>
      </c>
      <c r="AG55" s="14" t="s">
        <v>35</v>
      </c>
      <c r="AH55" s="14" t="s">
        <v>36</v>
      </c>
      <c r="AI55" s="14" t="s">
        <v>37</v>
      </c>
      <c r="AJ55" s="14" t="s">
        <v>38</v>
      </c>
      <c r="AK55" s="15"/>
    </row>
    <row r="56" ht="12.75" customHeight="1" spans="2:37" x14ac:dyDescent="0.25">
      <c r="B56" s="16" t="s">
        <v>41</v>
      </c>
      <c r="C56" s="17"/>
      <c r="D56" s="17"/>
      <c r="E56" s="18">
        <f>E10</f>
      </c>
      <c r="F56" s="18">
        <f>F10</f>
      </c>
      <c r="G56" s="18">
        <f>G10</f>
      </c>
      <c r="H56" s="18">
        <f>H10</f>
      </c>
      <c r="I56" s="18">
        <f>I10</f>
      </c>
      <c r="J56" s="18">
        <f>J10</f>
      </c>
      <c r="K56" s="18">
        <f>K10</f>
      </c>
      <c r="L56" s="18">
        <f>L10</f>
      </c>
      <c r="M56" s="18">
        <f>M10</f>
      </c>
      <c r="N56" s="18">
        <f>N10</f>
      </c>
      <c r="O56" s="18">
        <f>O10</f>
      </c>
      <c r="P56" s="18">
        <f>P10</f>
      </c>
      <c r="Q56" s="18">
        <f>Q10</f>
      </c>
      <c r="R56" s="18">
        <f>R10</f>
      </c>
      <c r="S56" s="18">
        <f>S10</f>
      </c>
      <c r="T56" s="18">
        <f>T10</f>
      </c>
      <c r="U56" s="18">
        <f>U10</f>
      </c>
      <c r="V56" s="18">
        <f>V10</f>
      </c>
      <c r="W56" s="18">
        <f>W10</f>
      </c>
      <c r="X56" s="18">
        <f>X10</f>
      </c>
      <c r="Y56" s="18">
        <f>Y10</f>
      </c>
      <c r="Z56" s="18">
        <f>Z10</f>
      </c>
      <c r="AA56" s="18">
        <f>AA10</f>
      </c>
      <c r="AB56" s="18">
        <f>AB10</f>
      </c>
      <c r="AC56" s="18">
        <f>AC10</f>
      </c>
      <c r="AD56" s="18">
        <f>AD10</f>
      </c>
      <c r="AE56" s="18">
        <f>AE10</f>
      </c>
      <c r="AF56" s="18">
        <f>AF10</f>
      </c>
      <c r="AG56" s="18">
        <f>AG10</f>
      </c>
      <c r="AH56" s="18">
        <f>AH10</f>
      </c>
      <c r="AI56" s="18">
        <f>AI10</f>
      </c>
      <c r="AJ56" s="18">
        <f>AJ10</f>
      </c>
      <c r="AK56" s="19"/>
    </row>
    <row r="57" ht="12.75" customHeight="1" spans="2:37" x14ac:dyDescent="0.25">
      <c r="B57" s="16" t="s">
        <v>42</v>
      </c>
      <c r="C57" s="17"/>
      <c r="D57" s="17"/>
      <c r="E57" s="18">
        <f>E34</f>
      </c>
      <c r="F57" s="18">
        <f>F34</f>
      </c>
      <c r="G57" s="18">
        <f>G34</f>
      </c>
      <c r="H57" s="18">
        <f>H34</f>
      </c>
      <c r="I57" s="18">
        <f>I34</f>
      </c>
      <c r="J57" s="18">
        <f>J34</f>
      </c>
      <c r="K57" s="18">
        <f>K34</f>
      </c>
      <c r="L57" s="18">
        <f>L34</f>
      </c>
      <c r="M57" s="18">
        <f>M34</f>
      </c>
      <c r="N57" s="18">
        <f>N34</f>
      </c>
      <c r="O57" s="18">
        <f>O34</f>
      </c>
      <c r="P57" s="18">
        <f>P34</f>
      </c>
      <c r="Q57" s="18">
        <f>Q34</f>
      </c>
      <c r="R57" s="18">
        <f>R34</f>
      </c>
      <c r="S57" s="18">
        <f>S34</f>
      </c>
      <c r="T57" s="18">
        <f>T34</f>
      </c>
      <c r="U57" s="18">
        <f>U34</f>
      </c>
      <c r="V57" s="18">
        <f>V34</f>
      </c>
      <c r="W57" s="18">
        <f>W34</f>
      </c>
      <c r="X57" s="18">
        <f>X34</f>
      </c>
      <c r="Y57" s="18">
        <f>Y34</f>
      </c>
      <c r="Z57" s="18">
        <f>Z34</f>
      </c>
      <c r="AA57" s="18">
        <f>AA34</f>
      </c>
      <c r="AB57" s="18">
        <f>AB34</f>
      </c>
      <c r="AC57" s="18">
        <f>AC34</f>
      </c>
      <c r="AD57" s="18">
        <f>AD34</f>
      </c>
      <c r="AE57" s="18">
        <f>AE34</f>
      </c>
      <c r="AF57" s="18">
        <f>AF34</f>
      </c>
      <c r="AG57" s="18">
        <f>AG34</f>
      </c>
      <c r="AH57" s="18">
        <f>AH34</f>
      </c>
      <c r="AI57" s="18">
        <f>AI34</f>
      </c>
      <c r="AJ57" s="18">
        <f>AJ34</f>
      </c>
      <c r="AK57" s="19"/>
    </row>
    <row r="58" ht="12.75" customHeight="1" spans="2:37" x14ac:dyDescent="0.25">
      <c r="B58" s="16" t="s">
        <v>43</v>
      </c>
      <c r="C58" s="17"/>
      <c r="D58" s="17"/>
      <c r="E58" s="18">
        <f>E46</f>
      </c>
      <c r="F58" s="18">
        <f>F46</f>
      </c>
      <c r="G58" s="18">
        <f>G46</f>
      </c>
      <c r="H58" s="18">
        <f>H46</f>
      </c>
      <c r="I58" s="18">
        <f>I46</f>
      </c>
      <c r="J58" s="18">
        <f>J46</f>
      </c>
      <c r="K58" s="18">
        <f>K46</f>
      </c>
      <c r="L58" s="18">
        <f>L46</f>
      </c>
      <c r="M58" s="18">
        <f>M46</f>
      </c>
      <c r="N58" s="18">
        <f>N46</f>
      </c>
      <c r="O58" s="18">
        <f>O46</f>
      </c>
      <c r="P58" s="18">
        <f>P46</f>
      </c>
      <c r="Q58" s="18">
        <f>Q46</f>
      </c>
      <c r="R58" s="18">
        <f>R46</f>
      </c>
      <c r="S58" s="18">
        <f>S46</f>
      </c>
      <c r="T58" s="18">
        <f>T46</f>
      </c>
      <c r="U58" s="18">
        <f>U46</f>
      </c>
      <c r="V58" s="18">
        <f>V46</f>
      </c>
      <c r="W58" s="18">
        <f>W46</f>
      </c>
      <c r="X58" s="18">
        <f>X46</f>
      </c>
      <c r="Y58" s="18">
        <f>Y46</f>
      </c>
      <c r="Z58" s="18">
        <f>Z46</f>
      </c>
      <c r="AA58" s="18">
        <f>AA46</f>
      </c>
      <c r="AB58" s="18">
        <f>AB46</f>
      </c>
      <c r="AC58" s="18">
        <f>AC46</f>
      </c>
      <c r="AD58" s="18">
        <f>AD46</f>
      </c>
      <c r="AE58" s="18">
        <f>AE46</f>
      </c>
      <c r="AF58" s="18">
        <f>AF46</f>
      </c>
      <c r="AG58" s="18">
        <f>AG46</f>
      </c>
      <c r="AH58" s="18">
        <f>AH46</f>
      </c>
      <c r="AI58" s="18">
        <f>AI46</f>
      </c>
      <c r="AJ58" s="18">
        <f>AJ46</f>
      </c>
      <c r="AK58" s="19"/>
    </row>
    <row r="59" ht="12.75" customHeight="1" spans="2:37" x14ac:dyDescent="0.25">
      <c r="B59" s="16" t="s">
        <v>44</v>
      </c>
      <c r="C59" s="17"/>
      <c r="D59" s="17"/>
      <c r="E59" s="18">
        <f>E52</f>
      </c>
      <c r="F59" s="18">
        <f>F52</f>
      </c>
      <c r="G59" s="18">
        <f>G52</f>
      </c>
      <c r="H59" s="18">
        <f>H52</f>
      </c>
      <c r="I59" s="18">
        <f>I52</f>
      </c>
      <c r="J59" s="18">
        <f>J52</f>
      </c>
      <c r="K59" s="18">
        <f>K52</f>
      </c>
      <c r="L59" s="18">
        <f>L52</f>
      </c>
      <c r="M59" s="18">
        <f>M52</f>
      </c>
      <c r="N59" s="18">
        <f>N52</f>
      </c>
      <c r="O59" s="18">
        <f>O52</f>
      </c>
      <c r="P59" s="18">
        <f>P52</f>
      </c>
      <c r="Q59" s="18">
        <f>Q52</f>
      </c>
      <c r="R59" s="18">
        <f>R52</f>
      </c>
      <c r="S59" s="18">
        <f>S52</f>
      </c>
      <c r="T59" s="18">
        <f>T52</f>
      </c>
      <c r="U59" s="18">
        <f>U52</f>
      </c>
      <c r="V59" s="18">
        <f>V52</f>
      </c>
      <c r="W59" s="18">
        <f>W52</f>
      </c>
      <c r="X59" s="18">
        <f>X52</f>
      </c>
      <c r="Y59" s="18">
        <f>Y52</f>
      </c>
      <c r="Z59" s="18">
        <f>Z52</f>
      </c>
      <c r="AA59" s="18">
        <f>AA52</f>
      </c>
      <c r="AB59" s="18">
        <f>AB52</f>
      </c>
      <c r="AC59" s="18">
        <f>AC52</f>
      </c>
      <c r="AD59" s="18">
        <f>AD52</f>
      </c>
      <c r="AE59" s="18">
        <f>AE52</f>
      </c>
      <c r="AF59" s="18">
        <f>AF52</f>
      </c>
      <c r="AG59" s="18">
        <f>AG52</f>
      </c>
      <c r="AH59" s="18">
        <f>AH52</f>
      </c>
      <c r="AI59" s="18">
        <f>AI52</f>
      </c>
      <c r="AJ59" s="18">
        <f>AJ52</f>
      </c>
      <c r="AK59" s="19"/>
    </row>
    <row r="60" ht="12.75" customHeight="1" spans="2:37" x14ac:dyDescent="0.25">
      <c r="B60" s="20" t="s">
        <v>45</v>
      </c>
      <c r="C60" s="21"/>
      <c r="D60" s="21"/>
      <c r="E60" s="22">
        <f>E56+E57+E58+E59</f>
      </c>
      <c r="F60" s="22">
        <f>F56+F57+F58+F59</f>
      </c>
      <c r="G60" s="22">
        <f>G56+G57+G58+G59</f>
      </c>
      <c r="H60" s="22">
        <f>H56+H57+H58+H59</f>
      </c>
      <c r="I60" s="22">
        <f>I56+I57+I58+I59</f>
      </c>
      <c r="J60" s="22">
        <f>J56+J57+J58+J59</f>
      </c>
      <c r="K60" s="22">
        <f>K56+K57+K58+K59</f>
      </c>
      <c r="L60" s="22">
        <f>L56+L57+L58+L59</f>
      </c>
      <c r="M60" s="22">
        <f>M56+M57+M58+M59</f>
      </c>
      <c r="N60" s="22">
        <f>N56+N57+N58+N59</f>
      </c>
      <c r="O60" s="22">
        <f>O56+O57+O58+O59</f>
      </c>
      <c r="P60" s="22">
        <f>P56+P57+P58+P59</f>
      </c>
      <c r="Q60" s="22">
        <f>Q56+Q57+Q58+Q59</f>
      </c>
      <c r="R60" s="22">
        <f>R56+R57+R58+R59</f>
      </c>
      <c r="S60" s="22">
        <f>S56+S57+S58+S59</f>
      </c>
      <c r="T60" s="22">
        <f>T56+T57+T58+T59</f>
      </c>
      <c r="U60" s="22">
        <f>U56+U57+U58+U59</f>
      </c>
      <c r="V60" s="22">
        <f>V56+V57+V58+V59</f>
      </c>
      <c r="W60" s="22">
        <f>W56+W57+W58+W59</f>
      </c>
      <c r="X60" s="22">
        <f>X56+X57+X58+X59</f>
      </c>
      <c r="Y60" s="22">
        <f>Y56+Y57+Y58+Y59</f>
      </c>
      <c r="Z60" s="22">
        <f>Z56+Z57+Z58+Z59</f>
      </c>
      <c r="AA60" s="22">
        <f>AA56+AA57+AA58+AA59</f>
      </c>
      <c r="AB60" s="22">
        <f>AB56+AB57+AB58+AB59</f>
      </c>
      <c r="AC60" s="22">
        <f>AC56+AC57+AC58+AC59</f>
      </c>
      <c r="AD60" s="22">
        <f>AD56+AD57+AD58+AD59</f>
      </c>
      <c r="AE60" s="22">
        <f>AE56+AE57+AE58+AE59</f>
      </c>
      <c r="AF60" s="22">
        <f>AF56+AF57+AF58+AF59</f>
      </c>
      <c r="AG60" s="22">
        <f>AG56+AG57+AG58+AG59</f>
      </c>
      <c r="AH60" s="22">
        <f>AH56+AH57+AH58+AH59</f>
      </c>
      <c r="AI60" s="22">
        <f>AI56+AI57+AI58+AI59</f>
      </c>
      <c r="AJ60" s="22">
        <f>AJ56+AJ57+AJ58+AJ59</f>
      </c>
      <c r="AK60" s="23"/>
    </row>
    <row r="62" ht="12.75" customHeight="1" spans="2:37" x14ac:dyDescent="0.25">
      <c r="B62" s="11" t="s">
        <v>46</v>
      </c>
      <c r="C62" s="12"/>
      <c r="D62" s="13"/>
      <c r="E62" s="14" t="s">
        <v>7</v>
      </c>
      <c r="F62" s="14" t="s">
        <v>8</v>
      </c>
      <c r="G62" s="14" t="s">
        <v>9</v>
      </c>
      <c r="H62" s="14" t="s">
        <v>10</v>
      </c>
      <c r="I62" s="14" t="s">
        <v>11</v>
      </c>
      <c r="J62" s="14" t="s">
        <v>12</v>
      </c>
      <c r="K62" s="14" t="s">
        <v>13</v>
      </c>
      <c r="L62" s="14" t="s">
        <v>14</v>
      </c>
      <c r="M62" s="14" t="s">
        <v>15</v>
      </c>
      <c r="N62" s="14" t="s">
        <v>16</v>
      </c>
      <c r="O62" s="14" t="s">
        <v>17</v>
      </c>
      <c r="P62" s="14" t="s">
        <v>18</v>
      </c>
      <c r="Q62" s="14" t="s">
        <v>19</v>
      </c>
      <c r="R62" s="14" t="s">
        <v>20</v>
      </c>
      <c r="S62" s="14" t="s">
        <v>21</v>
      </c>
      <c r="T62" s="14" t="s">
        <v>22</v>
      </c>
      <c r="U62" s="14" t="s">
        <v>23</v>
      </c>
      <c r="V62" s="14" t="s">
        <v>24</v>
      </c>
      <c r="W62" s="14" t="s">
        <v>25</v>
      </c>
      <c r="X62" s="14" t="s">
        <v>26</v>
      </c>
      <c r="Y62" s="14" t="s">
        <v>27</v>
      </c>
      <c r="Z62" s="14" t="s">
        <v>28</v>
      </c>
      <c r="AA62" s="14" t="s">
        <v>29</v>
      </c>
      <c r="AB62" s="14" t="s">
        <v>30</v>
      </c>
      <c r="AC62" s="14" t="s">
        <v>31</v>
      </c>
      <c r="AD62" s="14" t="s">
        <v>32</v>
      </c>
      <c r="AE62" s="14" t="s">
        <v>33</v>
      </c>
      <c r="AF62" s="14" t="s">
        <v>34</v>
      </c>
      <c r="AG62" s="14" t="s">
        <v>35</v>
      </c>
      <c r="AH62" s="14" t="s">
        <v>36</v>
      </c>
      <c r="AI62" s="14" t="s">
        <v>37</v>
      </c>
      <c r="AJ62" s="14" t="s">
        <v>38</v>
      </c>
      <c r="AK62" s="15"/>
    </row>
    <row r="63" ht="12.75" customHeight="1" spans="2:37" x14ac:dyDescent="0.25">
      <c r="B63" s="16" t="s">
        <v>41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9"/>
    </row>
    <row r="64" ht="12.75" customHeight="1" spans="2:37" x14ac:dyDescent="0.25">
      <c r="B64" s="16" t="s">
        <v>42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9"/>
    </row>
    <row r="65" ht="12.75" customHeight="1" spans="2:37" x14ac:dyDescent="0.25">
      <c r="B65" s="16" t="s">
        <v>43</v>
      </c>
      <c r="C65" s="17"/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9"/>
    </row>
    <row r="66" ht="12.75" customHeight="1" spans="2:37" x14ac:dyDescent="0.25">
      <c r="B66" s="16" t="s">
        <v>44</v>
      </c>
      <c r="C66" s="17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9"/>
    </row>
    <row r="67" ht="12.75" customHeight="1" spans="2:37" x14ac:dyDescent="0.25">
      <c r="B67" s="20" t="s">
        <v>45</v>
      </c>
      <c r="C67" s="21"/>
      <c r="D67" s="21"/>
      <c r="E67" s="22">
        <f>E63+E64+E65+E66</f>
      </c>
      <c r="F67" s="22">
        <f>F63+F64+F65+F66</f>
      </c>
      <c r="G67" s="22">
        <f>G63+G64+G65+G66</f>
      </c>
      <c r="H67" s="22">
        <f>H63+H64+H65+H66</f>
      </c>
      <c r="I67" s="22">
        <f>I63+I64+I65+I66</f>
      </c>
      <c r="J67" s="22">
        <f>J63+J64+J65+J66</f>
      </c>
      <c r="K67" s="22">
        <f>K63+K64+K65+K66</f>
      </c>
      <c r="L67" s="22">
        <f>L63+L64+L65+L66</f>
      </c>
      <c r="M67" s="22">
        <f>M63+M64+M65+M66</f>
      </c>
      <c r="N67" s="22">
        <f>N63+N64+N65+N66</f>
      </c>
      <c r="O67" s="22">
        <f>O63+O64+O65+O66</f>
      </c>
      <c r="P67" s="22">
        <f>P63+P64+P65+P66</f>
      </c>
      <c r="Q67" s="22">
        <f>Q63+Q64+Q65+Q66</f>
      </c>
      <c r="R67" s="22">
        <f>R63+R64+R65+R66</f>
      </c>
      <c r="S67" s="22">
        <f>S63+S64+S65+S66</f>
      </c>
      <c r="T67" s="22">
        <f>T63+T64+T65+T66</f>
      </c>
      <c r="U67" s="22">
        <f>U63+U64+U65+U66</f>
      </c>
      <c r="V67" s="22">
        <f>V63+V64+V65+V66</f>
      </c>
      <c r="W67" s="22">
        <f>W63+W64+W65+W66</f>
      </c>
      <c r="X67" s="22">
        <f>X63+X64+X65+X66</f>
      </c>
      <c r="Y67" s="22">
        <f>Y63+Y64+Y65+Y66</f>
      </c>
      <c r="Z67" s="22">
        <f>Z63+Z64+Z65+Z66</f>
      </c>
      <c r="AA67" s="22">
        <f>AA63+AA64+AA65+AA66</f>
      </c>
      <c r="AB67" s="22">
        <f>AB63+AB64+AB65+AB66</f>
      </c>
      <c r="AC67" s="22">
        <f>AC63+AC64+AC65+AC66</f>
      </c>
      <c r="AD67" s="22">
        <f>AD63+AD64+AD65+AD66</f>
      </c>
      <c r="AE67" s="22">
        <f>AE63+AE64+AE65+AE66</f>
      </c>
      <c r="AF67" s="22">
        <f>AF63+AF64+AF65+AF66</f>
      </c>
      <c r="AG67" s="22">
        <f>AG63+AG64+AG65+AG66</f>
      </c>
      <c r="AH67" s="22">
        <f>AH63+AH64+AH65+AH66</f>
      </c>
      <c r="AI67" s="22">
        <f>AI63+AI64+AI65+AI66</f>
      </c>
      <c r="AJ67" s="22">
        <f>AJ63+AJ64+AJ65+AJ66</f>
      </c>
      <c r="AK67" s="23"/>
    </row>
    <row r="69" ht="12.75" customHeight="1" spans="2:37" x14ac:dyDescent="0.25">
      <c r="B69" s="11" t="s">
        <v>47</v>
      </c>
      <c r="C69" s="12"/>
      <c r="D69" s="13"/>
      <c r="E69" s="14" t="s">
        <v>7</v>
      </c>
      <c r="F69" s="14" t="s">
        <v>8</v>
      </c>
      <c r="G69" s="14" t="s">
        <v>9</v>
      </c>
      <c r="H69" s="14" t="s">
        <v>10</v>
      </c>
      <c r="I69" s="14" t="s">
        <v>11</v>
      </c>
      <c r="J69" s="14" t="s">
        <v>12</v>
      </c>
      <c r="K69" s="14" t="s">
        <v>13</v>
      </c>
      <c r="L69" s="14" t="s">
        <v>14</v>
      </c>
      <c r="M69" s="14" t="s">
        <v>15</v>
      </c>
      <c r="N69" s="14" t="s">
        <v>16</v>
      </c>
      <c r="O69" s="14" t="s">
        <v>17</v>
      </c>
      <c r="P69" s="14" t="s">
        <v>18</v>
      </c>
      <c r="Q69" s="14" t="s">
        <v>19</v>
      </c>
      <c r="R69" s="14" t="s">
        <v>20</v>
      </c>
      <c r="S69" s="14" t="s">
        <v>21</v>
      </c>
      <c r="T69" s="14" t="s">
        <v>22</v>
      </c>
      <c r="U69" s="14" t="s">
        <v>23</v>
      </c>
      <c r="V69" s="14" t="s">
        <v>24</v>
      </c>
      <c r="W69" s="14" t="s">
        <v>25</v>
      </c>
      <c r="X69" s="14" t="s">
        <v>26</v>
      </c>
      <c r="Y69" s="14" t="s">
        <v>27</v>
      </c>
      <c r="Z69" s="14" t="s">
        <v>28</v>
      </c>
      <c r="AA69" s="14" t="s">
        <v>29</v>
      </c>
      <c r="AB69" s="14" t="s">
        <v>30</v>
      </c>
      <c r="AC69" s="14" t="s">
        <v>31</v>
      </c>
      <c r="AD69" s="14" t="s">
        <v>32</v>
      </c>
      <c r="AE69" s="14" t="s">
        <v>33</v>
      </c>
      <c r="AF69" s="14" t="s">
        <v>34</v>
      </c>
      <c r="AG69" s="14" t="s">
        <v>35</v>
      </c>
      <c r="AH69" s="14" t="s">
        <v>36</v>
      </c>
      <c r="AI69" s="14" t="s">
        <v>37</v>
      </c>
      <c r="AJ69" s="14" t="s">
        <v>38</v>
      </c>
      <c r="AK69" s="15"/>
    </row>
    <row r="70" ht="12.75" customHeight="1" spans="2:37" x14ac:dyDescent="0.25">
      <c r="B70" s="16" t="s">
        <v>41</v>
      </c>
      <c r="C70" s="17"/>
      <c r="D70" s="17"/>
      <c r="E70" s="24">
        <f>E63-E56</f>
      </c>
      <c r="F70" s="24">
        <f>F63-F56</f>
      </c>
      <c r="G70" s="24">
        <f>G63-G56</f>
      </c>
      <c r="H70" s="24">
        <f>H63-H56</f>
      </c>
      <c r="I70" s="24">
        <f>I63-I56</f>
      </c>
      <c r="J70" s="24">
        <f>J63-J56</f>
      </c>
      <c r="K70" s="24">
        <f>K63-K56</f>
      </c>
      <c r="L70" s="24">
        <f>L63-L56</f>
      </c>
      <c r="M70" s="24">
        <f>M63-M56</f>
      </c>
      <c r="N70" s="24">
        <f>N63-N56</f>
      </c>
      <c r="O70" s="24">
        <f>O63-O56</f>
      </c>
      <c r="P70" s="24">
        <f>P63-P56</f>
      </c>
      <c r="Q70" s="24">
        <f>Q63-Q56</f>
      </c>
      <c r="R70" s="24">
        <f>R63-R56</f>
      </c>
      <c r="S70" s="24">
        <f>S63-S56</f>
      </c>
      <c r="T70" s="24">
        <f>T63-T56</f>
      </c>
      <c r="U70" s="24">
        <f>U63-U56</f>
      </c>
      <c r="V70" s="24">
        <f>V63-V56</f>
      </c>
      <c r="W70" s="24">
        <f>W63-W56</f>
      </c>
      <c r="X70" s="24">
        <f>X63-X56</f>
      </c>
      <c r="Y70" s="24">
        <f>Y63-Y56</f>
      </c>
      <c r="Z70" s="24">
        <f>Z63-Z56</f>
      </c>
      <c r="AA70" s="24">
        <f>AA63-AA56</f>
      </c>
      <c r="AB70" s="24">
        <f>AB63-AB56</f>
      </c>
      <c r="AC70" s="24">
        <f>AC63-AC56</f>
      </c>
      <c r="AD70" s="24">
        <f>AD63-AD56</f>
      </c>
      <c r="AE70" s="24">
        <f>AE63-AE56</f>
      </c>
      <c r="AF70" s="24">
        <f>AF63-AF56</f>
      </c>
      <c r="AG70" s="24">
        <f>AG63-AG56</f>
      </c>
      <c r="AH70" s="24">
        <f>AH63-AH56</f>
      </c>
      <c r="AI70" s="24">
        <f>AI63-AI56</f>
      </c>
      <c r="AJ70" s="24">
        <f>AJ63-AJ56</f>
      </c>
      <c r="AK70" s="19"/>
    </row>
    <row r="71" ht="12.75" customHeight="1" spans="2:37" x14ac:dyDescent="0.25">
      <c r="B71" s="16" t="s">
        <v>42</v>
      </c>
      <c r="C71" s="17"/>
      <c r="D71" s="17"/>
      <c r="E71" s="24">
        <f>E64-E57</f>
      </c>
      <c r="F71" s="24">
        <f>F64-F57</f>
      </c>
      <c r="G71" s="24">
        <f>G64-G57</f>
      </c>
      <c r="H71" s="24">
        <f>H64-H57</f>
      </c>
      <c r="I71" s="24">
        <f>I64-I57</f>
      </c>
      <c r="J71" s="24">
        <f>J64-J57</f>
      </c>
      <c r="K71" s="24">
        <f>K64-K57</f>
      </c>
      <c r="L71" s="24">
        <f>L64-L57</f>
      </c>
      <c r="M71" s="24">
        <f>M64-M57</f>
      </c>
      <c r="N71" s="24">
        <f>N64-N57</f>
      </c>
      <c r="O71" s="24">
        <f>O64-O57</f>
      </c>
      <c r="P71" s="24">
        <f>P64-P57</f>
      </c>
      <c r="Q71" s="24">
        <f>Q64-Q57</f>
      </c>
      <c r="R71" s="24">
        <f>R64-R57</f>
      </c>
      <c r="S71" s="24">
        <f>S64-S57</f>
      </c>
      <c r="T71" s="24">
        <f>T64-T57</f>
      </c>
      <c r="U71" s="24">
        <f>U64-U57</f>
      </c>
      <c r="V71" s="24">
        <f>V64-V57</f>
      </c>
      <c r="W71" s="24">
        <f>W64-W57</f>
      </c>
      <c r="X71" s="24">
        <f>X64-X57</f>
      </c>
      <c r="Y71" s="24">
        <f>Y64-Y57</f>
      </c>
      <c r="Z71" s="24">
        <f>Z64-Z57</f>
      </c>
      <c r="AA71" s="24">
        <f>AA64-AA57</f>
      </c>
      <c r="AB71" s="24">
        <f>AB64-AB57</f>
      </c>
      <c r="AC71" s="24">
        <f>AC64-AC57</f>
      </c>
      <c r="AD71" s="24">
        <f>AD64-AD57</f>
      </c>
      <c r="AE71" s="24">
        <f>AE64-AE57</f>
      </c>
      <c r="AF71" s="24">
        <f>AF64-AF57</f>
      </c>
      <c r="AG71" s="24">
        <f>AG64-AG57</f>
      </c>
      <c r="AH71" s="24">
        <f>AH64-AH57</f>
      </c>
      <c r="AI71" s="24">
        <f>AI64-AI57</f>
      </c>
      <c r="AJ71" s="24">
        <f>AJ64-AJ57</f>
      </c>
      <c r="AK71" s="19"/>
    </row>
    <row r="72" ht="12.75" customHeight="1" spans="2:37" x14ac:dyDescent="0.25">
      <c r="B72" s="16" t="s">
        <v>43</v>
      </c>
      <c r="C72" s="17"/>
      <c r="D72" s="17"/>
      <c r="E72" s="24">
        <f>E65-E58</f>
      </c>
      <c r="F72" s="24">
        <f>F65-F58</f>
      </c>
      <c r="G72" s="24">
        <f>G65-G58</f>
      </c>
      <c r="H72" s="24">
        <f>H65-H58</f>
      </c>
      <c r="I72" s="24">
        <f>I65-I58</f>
      </c>
      <c r="J72" s="24">
        <f>J65-J58</f>
      </c>
      <c r="K72" s="24">
        <f>K65-K58</f>
      </c>
      <c r="L72" s="24">
        <f>L65-L58</f>
      </c>
      <c r="M72" s="24">
        <f>M65-M58</f>
      </c>
      <c r="N72" s="24">
        <f>N65-N58</f>
      </c>
      <c r="O72" s="24">
        <f>O65-O58</f>
      </c>
      <c r="P72" s="24">
        <f>P65-P58</f>
      </c>
      <c r="Q72" s="24">
        <f>Q65-Q58</f>
      </c>
      <c r="R72" s="24">
        <f>R65-R58</f>
      </c>
      <c r="S72" s="24">
        <f>S65-S58</f>
      </c>
      <c r="T72" s="24">
        <f>T65-T58</f>
      </c>
      <c r="U72" s="24">
        <f>U65-U58</f>
      </c>
      <c r="V72" s="24">
        <f>V65-V58</f>
      </c>
      <c r="W72" s="24">
        <f>W65-W58</f>
      </c>
      <c r="X72" s="24">
        <f>X65-X58</f>
      </c>
      <c r="Y72" s="24">
        <f>Y65-Y58</f>
      </c>
      <c r="Z72" s="24">
        <f>Z65-Z58</f>
      </c>
      <c r="AA72" s="24">
        <f>AA65-AA58</f>
      </c>
      <c r="AB72" s="24">
        <f>AB65-AB58</f>
      </c>
      <c r="AC72" s="24">
        <f>AC65-AC58</f>
      </c>
      <c r="AD72" s="24">
        <f>AD65-AD58</f>
      </c>
      <c r="AE72" s="24">
        <f>AE65-AE58</f>
      </c>
      <c r="AF72" s="24">
        <f>AF65-AF58</f>
      </c>
      <c r="AG72" s="24">
        <f>AG65-AG58</f>
      </c>
      <c r="AH72" s="24">
        <f>AH65-AH58</f>
      </c>
      <c r="AI72" s="24">
        <f>AI65-AI58</f>
      </c>
      <c r="AJ72" s="24">
        <f>AJ65-AJ58</f>
      </c>
      <c r="AK72" s="19"/>
    </row>
    <row r="73" ht="12.75" customHeight="1" spans="2:37" x14ac:dyDescent="0.25">
      <c r="B73" s="16" t="s">
        <v>44</v>
      </c>
      <c r="C73" s="17"/>
      <c r="D73" s="17"/>
      <c r="E73" s="24">
        <f>E66-E59</f>
      </c>
      <c r="F73" s="24">
        <f>F66-F59</f>
      </c>
      <c r="G73" s="24">
        <f>G66-G59</f>
      </c>
      <c r="H73" s="24">
        <f>H66-H59</f>
      </c>
      <c r="I73" s="24">
        <f>I66-I59</f>
      </c>
      <c r="J73" s="24">
        <f>J66-J59</f>
      </c>
      <c r="K73" s="24">
        <f>K66-K59</f>
      </c>
      <c r="L73" s="24">
        <f>L66-L59</f>
      </c>
      <c r="M73" s="24">
        <f>M66-M59</f>
      </c>
      <c r="N73" s="24">
        <f>N66-N59</f>
      </c>
      <c r="O73" s="24">
        <f>O66-O59</f>
      </c>
      <c r="P73" s="24">
        <f>P66-P59</f>
      </c>
      <c r="Q73" s="24">
        <f>Q66-Q59</f>
      </c>
      <c r="R73" s="24">
        <f>R66-R59</f>
      </c>
      <c r="S73" s="24">
        <f>S66-S59</f>
      </c>
      <c r="T73" s="24">
        <f>T66-T59</f>
      </c>
      <c r="U73" s="24">
        <f>U66-U59</f>
      </c>
      <c r="V73" s="24">
        <f>V66-V59</f>
      </c>
      <c r="W73" s="24">
        <f>W66-W59</f>
      </c>
      <c r="X73" s="24">
        <f>X66-X59</f>
      </c>
      <c r="Y73" s="24">
        <f>Y66-Y59</f>
      </c>
      <c r="Z73" s="24">
        <f>Z66-Z59</f>
      </c>
      <c r="AA73" s="24">
        <f>AA66-AA59</f>
      </c>
      <c r="AB73" s="24">
        <f>AB66-AB59</f>
      </c>
      <c r="AC73" s="24">
        <f>AC66-AC59</f>
      </c>
      <c r="AD73" s="24">
        <f>AD66-AD59</f>
      </c>
      <c r="AE73" s="24">
        <f>AE66-AE59</f>
      </c>
      <c r="AF73" s="24">
        <f>AF66-AF59</f>
      </c>
      <c r="AG73" s="24">
        <f>AG66-AG59</f>
      </c>
      <c r="AH73" s="24">
        <f>AH66-AH59</f>
      </c>
      <c r="AI73" s="24">
        <f>AI66-AI59</f>
      </c>
      <c r="AJ73" s="24">
        <f>AJ66-AJ59</f>
      </c>
      <c r="AK73" s="19"/>
    </row>
    <row r="74" ht="12.75" customHeight="1" spans="2:37" x14ac:dyDescent="0.25">
      <c r="B74" s="20" t="s">
        <v>45</v>
      </c>
      <c r="C74" s="21"/>
      <c r="D74" s="21"/>
      <c r="E74" s="25">
        <f>E70+E71+E72+E73</f>
      </c>
      <c r="F74" s="25">
        <f>F70+F71+F72+F73</f>
      </c>
      <c r="G74" s="25">
        <f>G70+G71+G72+G73</f>
      </c>
      <c r="H74" s="25">
        <f>H70+H71+H72+H73</f>
      </c>
      <c r="I74" s="25">
        <f>I70+I71+I72+I73</f>
      </c>
      <c r="J74" s="25">
        <f>J70+J71+J72+J73</f>
      </c>
      <c r="K74" s="25">
        <f>K70+K71+K72+K73</f>
      </c>
      <c r="L74" s="25">
        <f>L70+L71+L72+L73</f>
      </c>
      <c r="M74" s="25">
        <f>M70+M71+M72+M73</f>
      </c>
      <c r="N74" s="25">
        <f>N70+N71+N72+N73</f>
      </c>
      <c r="O74" s="25">
        <f>O70+O71+O72+O73</f>
      </c>
      <c r="P74" s="25">
        <f>P70+P71+P72+P73</f>
      </c>
      <c r="Q74" s="25">
        <f>Q70+Q71+Q72+Q73</f>
      </c>
      <c r="R74" s="25">
        <f>R70+R71+R72+R73</f>
      </c>
      <c r="S74" s="25">
        <f>S70+S71+S72+S73</f>
      </c>
      <c r="T74" s="25">
        <f>T70+T71+T72+T73</f>
      </c>
      <c r="U74" s="25">
        <f>U70+U71+U72+U73</f>
      </c>
      <c r="V74" s="25">
        <f>V70+V71+V72+V73</f>
      </c>
      <c r="W74" s="25">
        <f>W70+W71+W72+W73</f>
      </c>
      <c r="X74" s="25">
        <f>X70+X71+X72+X73</f>
      </c>
      <c r="Y74" s="25">
        <f>Y70+Y71+Y72+Y73</f>
      </c>
      <c r="Z74" s="25">
        <f>Z70+Z71+Z72+Z73</f>
      </c>
      <c r="AA74" s="25">
        <f>AA70+AA71+AA72+AA73</f>
      </c>
      <c r="AB74" s="25">
        <f>AB70+AB71+AB72+AB73</f>
      </c>
      <c r="AC74" s="25">
        <f>AC70+AC71+AC72+AC73</f>
      </c>
      <c r="AD74" s="25">
        <f>AD70+AD71+AD72+AD73</f>
      </c>
      <c r="AE74" s="25">
        <f>AE70+AE71+AE72+AE73</f>
      </c>
      <c r="AF74" s="25">
        <f>AF70+AF71+AF72+AF73</f>
      </c>
      <c r="AG74" s="25">
        <f>AG70+AG71+AG72+AG73</f>
      </c>
      <c r="AH74" s="25">
        <f>AH70+AH71+AH72+AH73</f>
      </c>
      <c r="AI74" s="25">
        <f>AI70+AI71+AI72+AI73</f>
      </c>
      <c r="AJ74" s="25">
        <f>AJ70+AJ71+AJ72+AJ73</f>
      </c>
      <c r="AK7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7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1664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1695</v>
      </c>
      <c r="AA8" s="44" t="s">
        <v>1696</v>
      </c>
      <c r="AB8" s="44" t="s">
        <v>1697</v>
      </c>
      <c r="AC8" s="44" t="s">
        <v>1698</v>
      </c>
      <c r="AD8" s="44" t="s">
        <v>1699</v>
      </c>
      <c r="AE8" s="44" t="s">
        <v>1700</v>
      </c>
      <c r="AF8" s="44" t="s">
        <v>1701</v>
      </c>
      <c r="AG8" s="44" t="s">
        <v>1702</v>
      </c>
      <c r="AH8" s="44" t="s">
        <v>1703</v>
      </c>
      <c r="AI8" s="44" t="s">
        <v>1704</v>
      </c>
      <c r="AJ8" s="44" t="s">
        <v>1705</v>
      </c>
      <c r="AK8" s="44" t="s">
        <v>1434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1664</v>
      </c>
      <c r="D14" s="50" t="s">
        <v>42</v>
      </c>
      <c r="E14" s="32" t="s">
        <v>227</v>
      </c>
      <c r="F14" s="32" t="s">
        <v>1665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36.99</v>
      </c>
      <c r="AC14" s="33">
        <v>5.62</v>
      </c>
      <c r="AD14" s="33">
        <v>46.19</v>
      </c>
      <c r="AE14" s="33">
        <v>41.02</v>
      </c>
      <c r="AF14" s="33">
        <f>33.81+38.39</f>
        <v>72.2</v>
      </c>
      <c r="AG14" s="33">
        <v>32.02</v>
      </c>
      <c r="AH14" s="33">
        <v>39.51</v>
      </c>
      <c r="AI14" s="32"/>
      <c r="AJ14" s="33">
        <v>37.13</v>
      </c>
      <c r="AK14" s="33">
        <v>39.12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1664</v>
      </c>
      <c r="D15" s="50" t="s">
        <v>42</v>
      </c>
      <c r="E15" s="32" t="s">
        <v>227</v>
      </c>
      <c r="F15" s="32" t="s">
        <v>1666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32.09</v>
      </c>
      <c r="AC15" s="33">
        <v>0.97</v>
      </c>
      <c r="AD15" s="33">
        <v>53.89</v>
      </c>
      <c r="AE15" s="33">
        <v>52.78</v>
      </c>
      <c r="AF15" s="33">
        <f>37.05+45.91</f>
        <v>82.96</v>
      </c>
      <c r="AG15" s="33">
        <v>33.72</v>
      </c>
      <c r="AH15" s="33">
        <v>39.47</v>
      </c>
      <c r="AI15" s="32"/>
      <c r="AJ15" s="33">
        <v>38.49</v>
      </c>
      <c r="AK15" s="33">
        <v>37.64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1664</v>
      </c>
      <c r="D16" s="50" t="s">
        <v>42</v>
      </c>
      <c r="E16" s="32" t="s">
        <v>227</v>
      </c>
      <c r="F16" s="32" t="s">
        <v>1667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>
        <v>89.36</v>
      </c>
      <c r="AC16" s="33">
        <v>-8.12</v>
      </c>
      <c r="AD16" s="33">
        <v>75.76</v>
      </c>
      <c r="AE16" s="33">
        <v>65.86</v>
      </c>
      <c r="AF16" s="33">
        <f>37.01+50.04</f>
        <v>87.05</v>
      </c>
      <c r="AG16" s="33">
        <v>33.49</v>
      </c>
      <c r="AH16" s="33">
        <v>39.77</v>
      </c>
      <c r="AI16" s="33">
        <v>36.21</v>
      </c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1664</v>
      </c>
      <c r="D17" s="50" t="s">
        <v>42</v>
      </c>
      <c r="E17" s="32" t="s">
        <v>227</v>
      </c>
      <c r="F17" s="32" t="s">
        <v>1668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>
        <v>-25.3</v>
      </c>
      <c r="AC17" s="33">
        <v>20.24</v>
      </c>
      <c r="AD17" s="33">
        <v>48.28</v>
      </c>
      <c r="AE17" s="33">
        <v>50.86</v>
      </c>
      <c r="AF17" s="33">
        <f>49.22+52.53</f>
        <v>101.75</v>
      </c>
      <c r="AG17" s="33">
        <v>49.22</v>
      </c>
      <c r="AH17" s="33">
        <v>55.98</v>
      </c>
      <c r="AI17" s="32"/>
      <c r="AJ17" s="33">
        <v>64.84</v>
      </c>
      <c r="AK17" s="33">
        <v>58.02</v>
      </c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1664</v>
      </c>
      <c r="D18" s="50" t="s">
        <v>42</v>
      </c>
      <c r="E18" s="32" t="s">
        <v>227</v>
      </c>
      <c r="F18" s="32" t="s">
        <v>1669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3">
        <v>61.61</v>
      </c>
      <c r="AD18" s="33">
        <v>65.98</v>
      </c>
      <c r="AE18" s="33">
        <v>56.36</v>
      </c>
      <c r="AF18" s="33">
        <f>37.78+40.41</f>
        <v>78.19</v>
      </c>
      <c r="AG18" s="33">
        <v>35.01</v>
      </c>
      <c r="AH18" s="33">
        <v>39.21</v>
      </c>
      <c r="AI18" s="32"/>
      <c r="AJ18" s="33">
        <v>38.4</v>
      </c>
      <c r="AK18" s="33">
        <v>42.98</v>
      </c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1664</v>
      </c>
      <c r="D19" s="50" t="s">
        <v>42</v>
      </c>
      <c r="E19" s="32" t="s">
        <v>227</v>
      </c>
      <c r="F19" s="32" t="s">
        <v>1670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>
        <v>29.81</v>
      </c>
      <c r="AC19" s="33">
        <v>35.6</v>
      </c>
      <c r="AD19" s="33">
        <v>33.2</v>
      </c>
      <c r="AE19" s="33">
        <v>32.37</v>
      </c>
      <c r="AF19" s="33">
        <f>30.81+30.71</f>
        <v>61.519999999999996</v>
      </c>
      <c r="AG19" s="33">
        <v>34</v>
      </c>
      <c r="AH19" s="33">
        <v>-90.48</v>
      </c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1664</v>
      </c>
      <c r="D20" s="50" t="s">
        <v>42</v>
      </c>
      <c r="E20" s="32" t="s">
        <v>227</v>
      </c>
      <c r="F20" s="32" t="s">
        <v>1671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>
        <v>-216.71</v>
      </c>
      <c r="AC20" s="33">
        <v>78.87</v>
      </c>
      <c r="AD20" s="33">
        <v>295.58</v>
      </c>
      <c r="AE20" s="33">
        <v>295.58</v>
      </c>
      <c r="AF20" s="33">
        <f>295.58+295.58</f>
        <v>591.16</v>
      </c>
      <c r="AG20" s="33">
        <v>295.58</v>
      </c>
      <c r="AH20" s="33">
        <v>310.92</v>
      </c>
      <c r="AI20" s="32"/>
      <c r="AJ20" s="33">
        <v>310.92</v>
      </c>
      <c r="AK20" s="33">
        <v>310.92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1664</v>
      </c>
      <c r="D21" s="50" t="s">
        <v>42</v>
      </c>
      <c r="E21" s="32" t="s">
        <v>227</v>
      </c>
      <c r="F21" s="32" t="s">
        <v>1672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3">
        <f>0.00+100.00</f>
        <v>100</v>
      </c>
      <c r="AJ21" s="33">
        <v>136.43</v>
      </c>
      <c r="AK21" s="33">
        <v>-29.75</v>
      </c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1664</v>
      </c>
      <c r="D22" s="50" t="s">
        <v>42</v>
      </c>
      <c r="E22" s="32" t="s">
        <v>227</v>
      </c>
      <c r="F22" s="32" t="s">
        <v>1673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>
        <v>-53.89</v>
      </c>
      <c r="AC22" s="33">
        <v>115.66</v>
      </c>
      <c r="AD22" s="33">
        <v>168.77</v>
      </c>
      <c r="AE22" s="33">
        <v>178.62</v>
      </c>
      <c r="AF22" s="33">
        <f>104.53+116.95</f>
        <v>221.48000000000002</v>
      </c>
      <c r="AG22" s="33">
        <v>124.34</v>
      </c>
      <c r="AH22" s="33">
        <v>227.81</v>
      </c>
      <c r="AI22" s="32"/>
      <c r="AJ22" s="33">
        <v>437.01</v>
      </c>
      <c r="AK22" s="33">
        <v>247.82</v>
      </c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1664</v>
      </c>
      <c r="D23" s="50" t="s">
        <v>42</v>
      </c>
      <c r="E23" s="32" t="s">
        <v>227</v>
      </c>
      <c r="F23" s="32" t="s">
        <v>1674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3">
        <v>-652.44</v>
      </c>
      <c r="AC23" s="33">
        <v>-234.8</v>
      </c>
      <c r="AD23" s="33">
        <v>271.89</v>
      </c>
      <c r="AE23" s="33">
        <v>530.29</v>
      </c>
      <c r="AF23" s="33">
        <f>808.16+593.80</f>
        <v>1401.96</v>
      </c>
      <c r="AG23" s="33">
        <v>931.73</v>
      </c>
      <c r="AH23" s="33">
        <v>1210.32</v>
      </c>
      <c r="AI23" s="32"/>
      <c r="AJ23" s="33">
        <v>1245.39</v>
      </c>
      <c r="AK23" s="33">
        <v>971.06</v>
      </c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1664</v>
      </c>
      <c r="D24" s="50" t="s">
        <v>42</v>
      </c>
      <c r="E24" s="32" t="s">
        <v>227</v>
      </c>
      <c r="F24" s="32" t="s">
        <v>1675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29.81</v>
      </c>
      <c r="AC24" s="33">
        <v>0</v>
      </c>
      <c r="AD24" s="33">
        <v>29.81</v>
      </c>
      <c r="AE24" s="33">
        <v>29.81</v>
      </c>
      <c r="AF24" s="33">
        <f>29.81+29.81</f>
        <v>59.62</v>
      </c>
      <c r="AG24" s="33">
        <v>29.81</v>
      </c>
      <c r="AH24" s="33">
        <v>35.53</v>
      </c>
      <c r="AI24" s="32"/>
      <c r="AJ24" s="33">
        <v>35.53</v>
      </c>
      <c r="AK24" s="33">
        <v>35.53</v>
      </c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1664</v>
      </c>
      <c r="D25" s="50" t="s">
        <v>42</v>
      </c>
      <c r="E25" s="32" t="s">
        <v>227</v>
      </c>
      <c r="F25" s="32" t="s">
        <v>1676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3">
        <v>474</v>
      </c>
      <c r="AC25" s="33">
        <v>-38.23</v>
      </c>
      <c r="AD25" s="33">
        <v>449.52</v>
      </c>
      <c r="AE25" s="33">
        <v>495.75</v>
      </c>
      <c r="AF25" s="33">
        <f>346.73+450.35</f>
        <v>797.08</v>
      </c>
      <c r="AG25" s="33">
        <v>257.03</v>
      </c>
      <c r="AH25" s="33">
        <v>328.71</v>
      </c>
      <c r="AI25" s="32"/>
      <c r="AJ25" s="33">
        <v>306.62</v>
      </c>
      <c r="AK25" s="33">
        <v>327.28</v>
      </c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1664</v>
      </c>
      <c r="D26" s="50" t="s">
        <v>42</v>
      </c>
      <c r="E26" s="32" t="s">
        <v>227</v>
      </c>
      <c r="F26" s="32" t="s">
        <v>1677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65.57</v>
      </c>
      <c r="AC26" s="33">
        <v>-7.15</v>
      </c>
      <c r="AD26" s="33">
        <v>54.7</v>
      </c>
      <c r="AE26" s="33">
        <v>57.33</v>
      </c>
      <c r="AF26" s="33">
        <f>40.50+55.81</f>
        <v>96.31</v>
      </c>
      <c r="AG26" s="33">
        <v>36.05</v>
      </c>
      <c r="AH26" s="33">
        <v>41.05</v>
      </c>
      <c r="AI26" s="32"/>
      <c r="AJ26" s="33">
        <v>110</v>
      </c>
      <c r="AK26" s="33">
        <v>123.89</v>
      </c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1664</v>
      </c>
      <c r="D27" s="50" t="s">
        <v>42</v>
      </c>
      <c r="E27" s="32" t="s">
        <v>227</v>
      </c>
      <c r="F27" s="32" t="s">
        <v>1678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3">
        <v>57.46</v>
      </c>
      <c r="AC27" s="33">
        <v>0.49</v>
      </c>
      <c r="AD27" s="33">
        <v>63.86</v>
      </c>
      <c r="AE27" s="33">
        <v>83.21</v>
      </c>
      <c r="AF27" s="33">
        <f>64.16+59.77</f>
        <v>123.93</v>
      </c>
      <c r="AG27" s="33">
        <v>75.82</v>
      </c>
      <c r="AH27" s="33">
        <v>93.37</v>
      </c>
      <c r="AI27" s="32"/>
      <c r="AJ27" s="33">
        <v>105.46</v>
      </c>
      <c r="AK27" s="33">
        <v>107.32</v>
      </c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1664</v>
      </c>
      <c r="D28" s="50" t="s">
        <v>42</v>
      </c>
      <c r="E28" s="32" t="s">
        <v>227</v>
      </c>
      <c r="F28" s="32" t="s">
        <v>1679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3">
        <v>61.06</v>
      </c>
      <c r="AD28" s="33">
        <v>64.75</v>
      </c>
      <c r="AE28" s="33">
        <v>58.02</v>
      </c>
      <c r="AF28" s="33">
        <f>41.33+53.34</f>
        <v>94.67</v>
      </c>
      <c r="AG28" s="33">
        <v>38.7</v>
      </c>
      <c r="AH28" s="33">
        <v>43.91</v>
      </c>
      <c r="AI28" s="32"/>
      <c r="AJ28" s="33">
        <v>41.22</v>
      </c>
      <c r="AK28" s="33">
        <v>45.5</v>
      </c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1664</v>
      </c>
      <c r="D29" s="50" t="s">
        <v>42</v>
      </c>
      <c r="E29" s="32" t="s">
        <v>227</v>
      </c>
      <c r="F29" s="32" t="s">
        <v>1680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66.84</v>
      </c>
      <c r="AC29" s="33">
        <v>-8.96</v>
      </c>
      <c r="AD29" s="33">
        <f>-63.12+54.83</f>
        <v>-8.29</v>
      </c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1664</v>
      </c>
      <c r="D30" s="50" t="s">
        <v>42</v>
      </c>
      <c r="E30" s="32" t="s">
        <v>227</v>
      </c>
      <c r="F30" s="32" t="s">
        <v>1681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3">
        <v>30.71</v>
      </c>
      <c r="AC30" s="33">
        <v>0</v>
      </c>
      <c r="AD30" s="33">
        <v>30.71</v>
      </c>
      <c r="AE30" s="33">
        <v>30.81</v>
      </c>
      <c r="AF30" s="33">
        <f>30.65+29.81</f>
        <v>60.459999999999994</v>
      </c>
      <c r="AG30" s="33">
        <v>30.6</v>
      </c>
      <c r="AH30" s="33">
        <v>36.31</v>
      </c>
      <c r="AI30" s="32"/>
      <c r="AJ30" s="33">
        <v>36.26</v>
      </c>
      <c r="AK30" s="33">
        <v>36.17</v>
      </c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1664</v>
      </c>
      <c r="D31" s="50" t="s">
        <v>42</v>
      </c>
      <c r="E31" s="32" t="s">
        <v>227</v>
      </c>
      <c r="F31" s="32" t="s">
        <v>1682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3">
        <v>40.11</v>
      </c>
      <c r="AC31" s="33">
        <v>-0.04</v>
      </c>
      <c r="AD31" s="33">
        <v>42.02</v>
      </c>
      <c r="AE31" s="33">
        <v>38.57</v>
      </c>
      <c r="AF31" s="33">
        <v>39.94</v>
      </c>
      <c r="AG31" s="33">
        <v>-105.17</v>
      </c>
      <c r="AH31" s="33">
        <v>-61.74</v>
      </c>
      <c r="AI31" s="33">
        <v>-20.24</v>
      </c>
      <c r="AJ31" s="33">
        <v>24.42</v>
      </c>
      <c r="AK31" s="33">
        <v>41.4</v>
      </c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1664</v>
      </c>
      <c r="D32" s="50" t="s">
        <v>42</v>
      </c>
      <c r="E32" s="32" t="s">
        <v>227</v>
      </c>
      <c r="F32" s="32" t="s">
        <v>1683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3">
        <v>29.81</v>
      </c>
      <c r="AC32" s="33">
        <v>0</v>
      </c>
      <c r="AD32" s="33">
        <v>29.81</v>
      </c>
      <c r="AE32" s="33">
        <v>29.81</v>
      </c>
      <c r="AF32" s="33">
        <f>29.81+29.81</f>
        <v>59.62</v>
      </c>
      <c r="AG32" s="33">
        <v>61.33</v>
      </c>
      <c r="AH32" s="33">
        <v>94.87</v>
      </c>
      <c r="AI32" s="32"/>
      <c r="AJ32" s="33">
        <v>118.89</v>
      </c>
      <c r="AK32" s="33">
        <v>108.34</v>
      </c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1664</v>
      </c>
      <c r="D33" s="50" t="s">
        <v>42</v>
      </c>
      <c r="E33" s="32" t="s">
        <v>227</v>
      </c>
      <c r="F33" s="32" t="s">
        <v>1684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3">
        <v>33.88</v>
      </c>
      <c r="AD33" s="33">
        <v>33.83</v>
      </c>
      <c r="AE33" s="33">
        <v>-5.27</v>
      </c>
      <c r="AF33" s="33">
        <f>34.02+28.70</f>
        <v>62.72</v>
      </c>
      <c r="AG33" s="33">
        <v>34.69</v>
      </c>
      <c r="AH33" s="33">
        <v>41.92</v>
      </c>
      <c r="AI33" s="32"/>
      <c r="AJ33" s="33">
        <v>42.03</v>
      </c>
      <c r="AK33" s="33">
        <v>41.47</v>
      </c>
      <c r="AL33" s="34">
        <f>SUM(G33:AK33)</f>
      </c>
      <c r="AM33" s="35"/>
    </row>
    <row r="34" ht="13.5" customHeight="1" spans="2:39" x14ac:dyDescent="0.25">
      <c r="B34" s="51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40"/>
    </row>
    <row r="35" ht="13.5" customHeight="1" spans="2:39" x14ac:dyDescent="0.25">
      <c r="B35" s="20"/>
      <c r="C35" s="21"/>
      <c r="D35" s="21" t="s">
        <v>85</v>
      </c>
      <c r="E35" s="21"/>
      <c r="F35" s="21"/>
      <c r="G35" s="22">
        <f>SUM(G14:G33)</f>
      </c>
      <c r="H35" s="22">
        <f>SUM(H14:H33)</f>
      </c>
      <c r="I35" s="22">
        <f>SUM(I14:I33)</f>
      </c>
      <c r="J35" s="22">
        <f>SUM(J14:J33)</f>
      </c>
      <c r="K35" s="22">
        <f>SUM(K14:K33)</f>
      </c>
      <c r="L35" s="22">
        <f>SUM(L14:L33)</f>
      </c>
      <c r="M35" s="22">
        <f>SUM(M14:M33)</f>
      </c>
      <c r="N35" s="22">
        <f>SUM(N14:N33)</f>
      </c>
      <c r="O35" s="22">
        <f>SUM(O14:O33)</f>
      </c>
      <c r="P35" s="22">
        <f>SUM(P14:P33)</f>
      </c>
      <c r="Q35" s="22">
        <f>SUM(Q14:Q33)</f>
      </c>
      <c r="R35" s="22">
        <f>SUM(R14:R33)</f>
      </c>
      <c r="S35" s="22">
        <f>SUM(S14:S33)</f>
      </c>
      <c r="T35" s="22">
        <f>SUM(T14:T33)</f>
      </c>
      <c r="U35" s="22">
        <f>SUM(U14:U33)</f>
      </c>
      <c r="V35" s="22">
        <f>SUM(V14:V33)</f>
      </c>
      <c r="W35" s="22">
        <f>SUM(W14:W33)</f>
      </c>
      <c r="X35" s="22">
        <f>SUM(X14:X33)</f>
      </c>
      <c r="Y35" s="22">
        <f>SUM(Y14:Y33)</f>
      </c>
      <c r="Z35" s="22">
        <f>SUM(Z14:Z33)</f>
      </c>
      <c r="AA35" s="22">
        <f>SUM(AA14:AA33)</f>
      </c>
      <c r="AB35" s="22">
        <f>SUM(AB14:AB33)</f>
      </c>
      <c r="AC35" s="22">
        <f>SUM(AC14:AC33)</f>
      </c>
      <c r="AD35" s="22">
        <f>SUM(AD14:AD33)</f>
      </c>
      <c r="AE35" s="22">
        <f>SUM(AE14:AE33)</f>
      </c>
      <c r="AF35" s="22">
        <f>SUM(AF14:AF33)</f>
      </c>
      <c r="AG35" s="22">
        <f>SUM(AG14:AG33)</f>
      </c>
      <c r="AH35" s="22">
        <f>SUM(AH14:AH33)</f>
      </c>
      <c r="AI35" s="22">
        <f>SUM(AI14:AI33)</f>
      </c>
      <c r="AJ35" s="22">
        <f>SUM(AJ14:AJ33)</f>
      </c>
      <c r="AK35" s="22">
        <f>SUM(AK14:AK33)</f>
      </c>
      <c r="AL35" s="22">
        <f>SUM(AL14:AL33)</f>
      </c>
      <c r="AM35" s="23"/>
    </row>
    <row r="37" ht="13.5" customHeight="1" spans="2:39" x14ac:dyDescent="0.25">
      <c r="B37" s="46"/>
      <c r="C37" s="28"/>
      <c r="D37" s="47" t="s">
        <v>43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9"/>
    </row>
    <row r="38" ht="13.5" customHeight="1" spans="2:39" x14ac:dyDescent="0.25">
      <c r="B38" s="48" t="s">
        <v>3</v>
      </c>
      <c r="C38" s="49" t="s">
        <v>1664</v>
      </c>
      <c r="D38" s="50" t="s">
        <v>43</v>
      </c>
      <c r="E38" s="32" t="s">
        <v>1685</v>
      </c>
      <c r="F38" s="32" t="s">
        <v>1686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3">
        <f>0.00+0.00</f>
        <v>0</v>
      </c>
      <c r="AA38" s="33">
        <f>0.00+270.87</f>
        <v>270.87</v>
      </c>
      <c r="AB38" s="33">
        <f>46.01+-196.32</f>
        <v>-150.31</v>
      </c>
      <c r="AC38" s="33">
        <f>50.03+-50.25</f>
        <v>-0.21999999999999886</v>
      </c>
      <c r="AD38" s="33">
        <f>50.03+81.51</f>
        <v>131.54000000000002</v>
      </c>
      <c r="AE38" s="33">
        <f>0.00+150.09</f>
        <v>150.09</v>
      </c>
      <c r="AF38" s="33">
        <f>46.01+74.55</f>
        <v>120.56</v>
      </c>
      <c r="AG38" s="33">
        <f>86.21+144.15</f>
        <v>230.36</v>
      </c>
      <c r="AH38" s="33">
        <f>122.39+206.79</f>
        <v>329.18</v>
      </c>
      <c r="AI38" s="33">
        <f>226.91+387.75</f>
        <v>614.66</v>
      </c>
      <c r="AJ38" s="33">
        <f>162.59+276.39</f>
        <v>438.98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1664</v>
      </c>
      <c r="D39" s="50" t="s">
        <v>43</v>
      </c>
      <c r="E39" s="32" t="s">
        <v>1685</v>
      </c>
      <c r="F39" s="32" t="s">
        <v>1687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3">
        <f>0.00+1767.29</f>
        <v>1767.29</v>
      </c>
      <c r="AH39" s="33">
        <f>33.95+53.67</f>
        <v>87.62</v>
      </c>
      <c r="AI39" s="33">
        <f>33.95+53.67</f>
        <v>87.62</v>
      </c>
      <c r="AJ39" s="33">
        <f>33.95+53.67</f>
        <v>87.62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1664</v>
      </c>
      <c r="D40" s="50" t="s">
        <v>43</v>
      </c>
      <c r="E40" s="32" t="s">
        <v>1685</v>
      </c>
      <c r="F40" s="32" t="s">
        <v>1688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3">
        <f>0.00+0.00</f>
        <v>0</v>
      </c>
      <c r="AA40" s="33">
        <f>33.95+53.67</f>
        <v>87.62</v>
      </c>
      <c r="AB40" s="32"/>
      <c r="AC40" s="33">
        <f>33.95+53.67</f>
        <v>87.62</v>
      </c>
      <c r="AD40" s="33">
        <f>33.95+53.67</f>
        <v>87.62</v>
      </c>
      <c r="AE40" s="33">
        <f>33.95+53.67</f>
        <v>87.62</v>
      </c>
      <c r="AF40" s="33">
        <f>33.95+53.67</f>
        <v>87.62</v>
      </c>
      <c r="AG40" s="33">
        <f>33.95+53.67</f>
        <v>87.62</v>
      </c>
      <c r="AH40" s="33">
        <f>33.95+53.67</f>
        <v>87.62</v>
      </c>
      <c r="AI40" s="33">
        <f>33.95+53.67</f>
        <v>87.62</v>
      </c>
      <c r="AJ40" s="33">
        <f>33.95+53.67</f>
        <v>87.62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1664</v>
      </c>
      <c r="D41" s="50" t="s">
        <v>43</v>
      </c>
      <c r="E41" s="32" t="s">
        <v>1685</v>
      </c>
      <c r="F41" s="32" t="s">
        <v>1689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3">
        <f>0.00+0.00</f>
        <v>0</v>
      </c>
      <c r="AA41" s="33">
        <f>0.00+87.62</f>
        <v>87.62</v>
      </c>
      <c r="AB41" s="32"/>
      <c r="AC41" s="33">
        <f>33.95+53.67</f>
        <v>87.62</v>
      </c>
      <c r="AD41" s="33">
        <f>33.95+53.67</f>
        <v>87.62</v>
      </c>
      <c r="AE41" s="33">
        <f>33.95+53.67</f>
        <v>87.62</v>
      </c>
      <c r="AF41" s="33">
        <f>33.95+53.67</f>
        <v>87.62</v>
      </c>
      <c r="AG41" s="33">
        <f>33.95+53.67</f>
        <v>87.62</v>
      </c>
      <c r="AH41" s="33">
        <f>33.95+53.67</f>
        <v>87.62</v>
      </c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1664</v>
      </c>
      <c r="D42" s="50" t="s">
        <v>43</v>
      </c>
      <c r="E42" s="32" t="s">
        <v>1685</v>
      </c>
      <c r="F42" s="32" t="s">
        <v>1690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3">
        <f>0.00+0.00</f>
        <v>0</v>
      </c>
      <c r="AA42" s="33">
        <f>56.52+60.63</f>
        <v>117.15</v>
      </c>
      <c r="AB42" s="33">
        <f>33.95+-63.48</f>
        <v>-29.529999999999994</v>
      </c>
      <c r="AC42" s="33">
        <f>33.95+24.14</f>
        <v>58.09</v>
      </c>
      <c r="AD42" s="33">
        <f>33.95+53.67</f>
        <v>87.62</v>
      </c>
      <c r="AE42" s="33">
        <f>33.95+53.67</f>
        <v>87.62</v>
      </c>
      <c r="AF42" s="33">
        <f>33.95+53.67</f>
        <v>87.62</v>
      </c>
      <c r="AG42" s="33">
        <f>33.95+53.67</f>
        <v>87.62</v>
      </c>
      <c r="AH42" s="33">
        <f>33.95+53.67</f>
        <v>87.62</v>
      </c>
      <c r="AI42" s="33">
        <f>4.85+7.67+33.95+53.67</f>
        <v>100.14</v>
      </c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1664</v>
      </c>
      <c r="D43" s="50" t="s">
        <v>43</v>
      </c>
      <c r="E43" s="32" t="s">
        <v>1685</v>
      </c>
      <c r="F43" s="32" t="s">
        <v>1691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3">
        <f>0.00+0.00</f>
        <v>0</v>
      </c>
      <c r="AA43" s="33">
        <f>0.00+87.62</f>
        <v>87.62</v>
      </c>
      <c r="AB43" s="32"/>
      <c r="AC43" s="33">
        <f>56.52+60.63</f>
        <v>117.15</v>
      </c>
      <c r="AD43" s="33">
        <f>33.95+53.67</f>
        <v>87.62</v>
      </c>
      <c r="AE43" s="33">
        <f>33.95+53.67</f>
        <v>87.62</v>
      </c>
      <c r="AF43" s="33">
        <f>33.95+53.67</f>
        <v>87.62</v>
      </c>
      <c r="AG43" s="33">
        <f>33.95+53.67</f>
        <v>87.62</v>
      </c>
      <c r="AH43" s="33">
        <f>60.54+67.59</f>
        <v>128.13</v>
      </c>
      <c r="AI43" s="33">
        <f>60.54+67.59</f>
        <v>128.13</v>
      </c>
      <c r="AJ43" s="33">
        <f>56.52+60.63</f>
        <v>117.15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1664</v>
      </c>
      <c r="D44" s="50" t="s">
        <v>43</v>
      </c>
      <c r="E44" s="32" t="s">
        <v>1685</v>
      </c>
      <c r="F44" s="32" t="s">
        <v>1692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3">
        <f>0.00+0.00</f>
        <v>0</v>
      </c>
      <c r="AA44" s="33">
        <f>257.23+363.87</f>
        <v>621.1</v>
      </c>
      <c r="AB44" s="33">
        <f>168.79+210.75</f>
        <v>379.53999999999996</v>
      </c>
      <c r="AC44" s="33">
        <f>144.67+-452.11</f>
        <v>-307.44000000000005</v>
      </c>
      <c r="AD44" s="33">
        <f>132.61+-159.33</f>
        <v>-26.72</v>
      </c>
      <c r="AE44" s="33">
        <f>156.73+163.15</f>
        <v>319.88</v>
      </c>
      <c r="AF44" s="33">
        <f>144.67+168.99</f>
        <v>313.65999999999997</v>
      </c>
      <c r="AG44" s="33">
        <f>317.53+468.27</f>
        <v>785.8</v>
      </c>
      <c r="AH44" s="33">
        <f>235.13+331.07</f>
        <v>566.2</v>
      </c>
      <c r="AI44" s="33">
        <f>401.95+614.43</f>
        <v>1016.3799999999999</v>
      </c>
      <c r="AJ44" s="33">
        <f>261.25+370.83</f>
        <v>632.0799999999999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1664</v>
      </c>
      <c r="D45" s="50" t="s">
        <v>43</v>
      </c>
      <c r="E45" s="32" t="s">
        <v>1685</v>
      </c>
      <c r="F45" s="32" t="s">
        <v>1693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3">
        <f>1686.50+2670.44</f>
        <v>4356.9400000000005</v>
      </c>
      <c r="AE45" s="33">
        <f>2627.18+4299.08</f>
        <v>6926.26</v>
      </c>
      <c r="AF45" s="33">
        <f>0.00+1723.86</f>
        <v>1723.86</v>
      </c>
      <c r="AG45" s="33">
        <f>2277.44+3693.56</f>
        <v>5971</v>
      </c>
      <c r="AH45" s="33">
        <f>2856.32+4695.80</f>
        <v>7552.120000000001</v>
      </c>
      <c r="AI45" s="33">
        <f>4275.38+7152.68</f>
        <v>11428.060000000001</v>
      </c>
      <c r="AJ45" s="33">
        <f>3495.50+5802.44</f>
        <v>9297.939999999999</v>
      </c>
      <c r="AK45" s="32"/>
      <c r="AL45" s="34">
        <f>SUM(G45:AK45)</f>
      </c>
      <c r="AM45" s="35"/>
    </row>
    <row r="46" ht="13.5" customHeight="1" spans="2:39" x14ac:dyDescent="0.25">
      <c r="B46" s="5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40"/>
    </row>
    <row r="47" ht="13.5" customHeight="1" spans="2:39" x14ac:dyDescent="0.25">
      <c r="B47" s="20"/>
      <c r="C47" s="21"/>
      <c r="D47" s="21" t="s">
        <v>89</v>
      </c>
      <c r="E47" s="21"/>
      <c r="F47" s="21"/>
      <c r="G47" s="22">
        <f>SUM(G38:G45)</f>
      </c>
      <c r="H47" s="22">
        <f>SUM(H38:H45)</f>
      </c>
      <c r="I47" s="22">
        <f>SUM(I38:I45)</f>
      </c>
      <c r="J47" s="22">
        <f>SUM(J38:J45)</f>
      </c>
      <c r="K47" s="22">
        <f>SUM(K38:K45)</f>
      </c>
      <c r="L47" s="22">
        <f>SUM(L38:L45)</f>
      </c>
      <c r="M47" s="22">
        <f>SUM(M38:M45)</f>
      </c>
      <c r="N47" s="22">
        <f>SUM(N38:N45)</f>
      </c>
      <c r="O47" s="22">
        <f>SUM(O38:O45)</f>
      </c>
      <c r="P47" s="22">
        <f>SUM(P38:P45)</f>
      </c>
      <c r="Q47" s="22">
        <f>SUM(Q38:Q45)</f>
      </c>
      <c r="R47" s="22">
        <f>SUM(R38:R45)</f>
      </c>
      <c r="S47" s="22">
        <f>SUM(S38:S45)</f>
      </c>
      <c r="T47" s="22">
        <f>SUM(T38:T45)</f>
      </c>
      <c r="U47" s="22">
        <f>SUM(U38:U45)</f>
      </c>
      <c r="V47" s="22">
        <f>SUM(V38:V45)</f>
      </c>
      <c r="W47" s="22">
        <f>SUM(W38:W45)</f>
      </c>
      <c r="X47" s="22">
        <f>SUM(X38:X45)</f>
      </c>
      <c r="Y47" s="22">
        <f>SUM(Y38:Y45)</f>
      </c>
      <c r="Z47" s="22">
        <f>SUM(Z38:Z45)</f>
      </c>
      <c r="AA47" s="22">
        <f>SUM(AA38:AA45)</f>
      </c>
      <c r="AB47" s="22">
        <f>SUM(AB38:AB45)</f>
      </c>
      <c r="AC47" s="22">
        <f>SUM(AC38:AC45)</f>
      </c>
      <c r="AD47" s="22">
        <f>SUM(AD38:AD45)</f>
      </c>
      <c r="AE47" s="22">
        <f>SUM(AE38:AE45)</f>
      </c>
      <c r="AF47" s="22">
        <f>SUM(AF38:AF45)</f>
      </c>
      <c r="AG47" s="22">
        <f>SUM(AG38:AG45)</f>
      </c>
      <c r="AH47" s="22">
        <f>SUM(AH38:AH45)</f>
      </c>
      <c r="AI47" s="22">
        <f>SUM(AI38:AI45)</f>
      </c>
      <c r="AJ47" s="22">
        <f>SUM(AJ38:AJ45)</f>
      </c>
      <c r="AK47" s="22">
        <f>SUM(AK38:AK45)</f>
      </c>
      <c r="AL47" s="22">
        <f>SUM(AL38:AL45)</f>
      </c>
      <c r="AM47" s="23"/>
    </row>
    <row r="49" ht="13.5" customHeight="1" spans="2:39" x14ac:dyDescent="0.25">
      <c r="B49" s="46"/>
      <c r="C49" s="28"/>
      <c r="D49" s="47" t="s">
        <v>44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9"/>
    </row>
    <row r="50" ht="13.5" customHeight="1" spans="2:39" x14ac:dyDescent="0.25">
      <c r="B50" s="48" t="s">
        <v>3</v>
      </c>
      <c r="C50" s="49" t="s">
        <v>1664</v>
      </c>
      <c r="D50" s="50" t="s">
        <v>44</v>
      </c>
      <c r="E50" s="32" t="s">
        <v>1685</v>
      </c>
      <c r="F50" s="32" t="s">
        <v>1686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3">
        <v>0</v>
      </c>
      <c r="AA50" s="33">
        <v>0</v>
      </c>
      <c r="AB50" s="33">
        <v>18.55</v>
      </c>
      <c r="AC50" s="33">
        <v>18.55</v>
      </c>
      <c r="AD50" s="33">
        <v>18.55</v>
      </c>
      <c r="AE50" s="33">
        <v>0</v>
      </c>
      <c r="AF50" s="33">
        <v>18.55</v>
      </c>
      <c r="AG50" s="33">
        <v>18.55</v>
      </c>
      <c r="AH50" s="33">
        <v>18.55</v>
      </c>
      <c r="AI50" s="33">
        <v>18.55</v>
      </c>
      <c r="AJ50" s="33">
        <v>18.55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1664</v>
      </c>
      <c r="D51" s="50" t="s">
        <v>44</v>
      </c>
      <c r="E51" s="32" t="s">
        <v>1685</v>
      </c>
      <c r="F51" s="32" t="s">
        <v>1694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3">
        <f>909.30+0.00</f>
        <v>909.3</v>
      </c>
      <c r="AB51" s="32"/>
      <c r="AC51" s="33">
        <v>909.3</v>
      </c>
      <c r="AD51" s="33">
        <v>909.3</v>
      </c>
      <c r="AE51" s="33">
        <v>909.3</v>
      </c>
      <c r="AF51" s="33">
        <v>909.3</v>
      </c>
      <c r="AG51" s="33">
        <v>909.3</v>
      </c>
      <c r="AH51" s="33">
        <v>909.3</v>
      </c>
      <c r="AI51" s="33">
        <v>909.3</v>
      </c>
      <c r="AJ51" s="33">
        <v>909.3</v>
      </c>
      <c r="AK51" s="32"/>
      <c r="AL51" s="34">
        <f>SUM(G51:AK51)</f>
      </c>
      <c r="AM51" s="35"/>
    </row>
    <row r="52" ht="13.5" customHeight="1" spans="2:39" x14ac:dyDescent="0.25">
      <c r="B52" s="51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40"/>
    </row>
    <row r="53" ht="13.5" customHeight="1" spans="2:39" x14ac:dyDescent="0.25">
      <c r="B53" s="20"/>
      <c r="C53" s="21"/>
      <c r="D53" s="21" t="s">
        <v>90</v>
      </c>
      <c r="E53" s="21"/>
      <c r="F53" s="21"/>
      <c r="G53" s="22">
        <f>SUM(G50:G51)</f>
      </c>
      <c r="H53" s="22">
        <f>SUM(H50:H51)</f>
      </c>
      <c r="I53" s="22">
        <f>SUM(I50:I51)</f>
      </c>
      <c r="J53" s="22">
        <f>SUM(J50:J51)</f>
      </c>
      <c r="K53" s="22">
        <f>SUM(K50:K51)</f>
      </c>
      <c r="L53" s="22">
        <f>SUM(L50:L51)</f>
      </c>
      <c r="M53" s="22">
        <f>SUM(M50:M51)</f>
      </c>
      <c r="N53" s="22">
        <f>SUM(N50:N51)</f>
      </c>
      <c r="O53" s="22">
        <f>SUM(O50:O51)</f>
      </c>
      <c r="P53" s="22">
        <f>SUM(P50:P51)</f>
      </c>
      <c r="Q53" s="22">
        <f>SUM(Q50:Q51)</f>
      </c>
      <c r="R53" s="22">
        <f>SUM(R50:R51)</f>
      </c>
      <c r="S53" s="22">
        <f>SUM(S50:S51)</f>
      </c>
      <c r="T53" s="22">
        <f>SUM(T50:T51)</f>
      </c>
      <c r="U53" s="22">
        <f>SUM(U50:U51)</f>
      </c>
      <c r="V53" s="22">
        <f>SUM(V50:V51)</f>
      </c>
      <c r="W53" s="22">
        <f>SUM(W50:W51)</f>
      </c>
      <c r="X53" s="22">
        <f>SUM(X50:X51)</f>
      </c>
      <c r="Y53" s="22">
        <f>SUM(Y50:Y51)</f>
      </c>
      <c r="Z53" s="22">
        <f>SUM(Z50:Z51)</f>
      </c>
      <c r="AA53" s="22">
        <f>SUM(AA50:AA51)</f>
      </c>
      <c r="AB53" s="22">
        <f>SUM(AB50:AB51)</f>
      </c>
      <c r="AC53" s="22">
        <f>SUM(AC50:AC51)</f>
      </c>
      <c r="AD53" s="22">
        <f>SUM(AD50:AD51)</f>
      </c>
      <c r="AE53" s="22">
        <f>SUM(AE50:AE51)</f>
      </c>
      <c r="AF53" s="22">
        <f>SUM(AF50:AF51)</f>
      </c>
      <c r="AG53" s="22">
        <f>SUM(AG50:AG51)</f>
      </c>
      <c r="AH53" s="22">
        <f>SUM(AH50:AH51)</f>
      </c>
      <c r="AI53" s="22">
        <f>SUM(AI50:AI51)</f>
      </c>
      <c r="AJ53" s="22">
        <f>SUM(AJ50:AJ51)</f>
      </c>
      <c r="AK53" s="22">
        <f>SUM(AK50:AK51)</f>
      </c>
      <c r="AL53" s="22">
        <f>SUM(AL50:AL51)</f>
      </c>
      <c r="AM53" s="23"/>
    </row>
    <row r="56" ht="12.75" customHeight="1" spans="2:39" x14ac:dyDescent="0.25">
      <c r="B56" s="11" t="s">
        <v>40</v>
      </c>
      <c r="C56" s="12"/>
      <c r="D56" s="12"/>
      <c r="E56" s="12"/>
      <c r="F56" s="12"/>
      <c r="G56" s="52" t="s">
        <v>7</v>
      </c>
      <c r="H56" s="52" t="s">
        <v>8</v>
      </c>
      <c r="I56" s="52" t="s">
        <v>9</v>
      </c>
      <c r="J56" s="52" t="s">
        <v>10</v>
      </c>
      <c r="K56" s="52" t="s">
        <v>11</v>
      </c>
      <c r="L56" s="52" t="s">
        <v>12</v>
      </c>
      <c r="M56" s="52" t="s">
        <v>13</v>
      </c>
      <c r="N56" s="52" t="s">
        <v>14</v>
      </c>
      <c r="O56" s="52" t="s">
        <v>15</v>
      </c>
      <c r="P56" s="52" t="s">
        <v>16</v>
      </c>
      <c r="Q56" s="52" t="s">
        <v>17</v>
      </c>
      <c r="R56" s="52" t="s">
        <v>18</v>
      </c>
      <c r="S56" s="52" t="s">
        <v>19</v>
      </c>
      <c r="T56" s="52" t="s">
        <v>20</v>
      </c>
      <c r="U56" s="52" t="s">
        <v>21</v>
      </c>
      <c r="V56" s="52" t="s">
        <v>22</v>
      </c>
      <c r="W56" s="52" t="s">
        <v>23</v>
      </c>
      <c r="X56" s="52" t="s">
        <v>24</v>
      </c>
      <c r="Y56" s="52" t="s">
        <v>25</v>
      </c>
      <c r="Z56" s="52" t="s">
        <v>26</v>
      </c>
      <c r="AA56" s="52" t="s">
        <v>27</v>
      </c>
      <c r="AB56" s="52" t="s">
        <v>28</v>
      </c>
      <c r="AC56" s="52" t="s">
        <v>29</v>
      </c>
      <c r="AD56" s="52" t="s">
        <v>30</v>
      </c>
      <c r="AE56" s="52" t="s">
        <v>31</v>
      </c>
      <c r="AF56" s="52" t="s">
        <v>32</v>
      </c>
      <c r="AG56" s="52" t="s">
        <v>33</v>
      </c>
      <c r="AH56" s="52" t="s">
        <v>34</v>
      </c>
      <c r="AI56" s="52" t="s">
        <v>35</v>
      </c>
      <c r="AJ56" s="52" t="s">
        <v>36</v>
      </c>
      <c r="AK56" s="52" t="s">
        <v>37</v>
      </c>
      <c r="AL56" s="52" t="s">
        <v>38</v>
      </c>
      <c r="AM56" s="15"/>
    </row>
    <row r="57" ht="12.75" customHeight="1" spans="2:39" x14ac:dyDescent="0.25">
      <c r="B57" s="16"/>
      <c r="C57" s="17"/>
      <c r="D57" s="17" t="s">
        <v>41</v>
      </c>
      <c r="E57" s="17"/>
      <c r="F57" s="17"/>
      <c r="G57" s="18">
        <f>G11</f>
      </c>
      <c r="H57" s="18">
        <f>H11</f>
      </c>
      <c r="I57" s="18">
        <f>I11</f>
      </c>
      <c r="J57" s="18">
        <f>J11</f>
      </c>
      <c r="K57" s="18">
        <f>K11</f>
      </c>
      <c r="L57" s="18">
        <f>L11</f>
      </c>
      <c r="M57" s="18">
        <f>M11</f>
      </c>
      <c r="N57" s="18">
        <f>N11</f>
      </c>
      <c r="O57" s="18">
        <f>O11</f>
      </c>
      <c r="P57" s="18">
        <f>P11</f>
      </c>
      <c r="Q57" s="18">
        <f>Q11</f>
      </c>
      <c r="R57" s="18">
        <f>R11</f>
      </c>
      <c r="S57" s="18">
        <f>S11</f>
      </c>
      <c r="T57" s="18">
        <f>T11</f>
      </c>
      <c r="U57" s="18">
        <f>U11</f>
      </c>
      <c r="V57" s="18">
        <f>V11</f>
      </c>
      <c r="W57" s="18">
        <f>W11</f>
      </c>
      <c r="X57" s="18">
        <f>X11</f>
      </c>
      <c r="Y57" s="18">
        <f>Y11</f>
      </c>
      <c r="Z57" s="18">
        <f>Z11</f>
      </c>
      <c r="AA57" s="18">
        <f>AA11</f>
      </c>
      <c r="AB57" s="18">
        <f>AB11</f>
      </c>
      <c r="AC57" s="18">
        <f>AC11</f>
      </c>
      <c r="AD57" s="18">
        <f>AD11</f>
      </c>
      <c r="AE57" s="18">
        <f>AE11</f>
      </c>
      <c r="AF57" s="18">
        <f>AF11</f>
      </c>
      <c r="AG57" s="18">
        <f>AG11</f>
      </c>
      <c r="AH57" s="18">
        <f>AH11</f>
      </c>
      <c r="AI57" s="18">
        <f>AI11</f>
      </c>
      <c r="AJ57" s="18">
        <f>AJ11</f>
      </c>
      <c r="AK57" s="18">
        <f>AK11</f>
      </c>
      <c r="AL57" s="18">
        <f>AL11</f>
      </c>
      <c r="AM57" s="19"/>
    </row>
    <row r="58" ht="12.75" customHeight="1" spans="2:39" x14ac:dyDescent="0.25">
      <c r="B58" s="16"/>
      <c r="C58" s="17"/>
      <c r="D58" s="17" t="s">
        <v>42</v>
      </c>
      <c r="E58" s="17"/>
      <c r="F58" s="17"/>
      <c r="G58" s="18">
        <f>G35</f>
      </c>
      <c r="H58" s="18">
        <f>H35</f>
      </c>
      <c r="I58" s="18">
        <f>I35</f>
      </c>
      <c r="J58" s="18">
        <f>J35</f>
      </c>
      <c r="K58" s="18">
        <f>K35</f>
      </c>
      <c r="L58" s="18">
        <f>L35</f>
      </c>
      <c r="M58" s="18">
        <f>M35</f>
      </c>
      <c r="N58" s="18">
        <f>N35</f>
      </c>
      <c r="O58" s="18">
        <f>O35</f>
      </c>
      <c r="P58" s="18">
        <f>P35</f>
      </c>
      <c r="Q58" s="18">
        <f>Q35</f>
      </c>
      <c r="R58" s="18">
        <f>R35</f>
      </c>
      <c r="S58" s="18">
        <f>S35</f>
      </c>
      <c r="T58" s="18">
        <f>T35</f>
      </c>
      <c r="U58" s="18">
        <f>U35</f>
      </c>
      <c r="V58" s="18">
        <f>V35</f>
      </c>
      <c r="W58" s="18">
        <f>W35</f>
      </c>
      <c r="X58" s="18">
        <f>X35</f>
      </c>
      <c r="Y58" s="18">
        <f>Y35</f>
      </c>
      <c r="Z58" s="18">
        <f>Z35</f>
      </c>
      <c r="AA58" s="18">
        <f>AA35</f>
      </c>
      <c r="AB58" s="18">
        <f>AB35</f>
      </c>
      <c r="AC58" s="18">
        <f>AC35</f>
      </c>
      <c r="AD58" s="18">
        <f>AD35</f>
      </c>
      <c r="AE58" s="18">
        <f>AE35</f>
      </c>
      <c r="AF58" s="18">
        <f>AF35</f>
      </c>
      <c r="AG58" s="18">
        <f>AG35</f>
      </c>
      <c r="AH58" s="18">
        <f>AH35</f>
      </c>
      <c r="AI58" s="18">
        <f>AI35</f>
      </c>
      <c r="AJ58" s="18">
        <f>AJ35</f>
      </c>
      <c r="AK58" s="18">
        <f>AK35</f>
      </c>
      <c r="AL58" s="18">
        <f>AL35</f>
      </c>
      <c r="AM58" s="19"/>
    </row>
    <row r="59" ht="12.75" customHeight="1" spans="2:39" x14ac:dyDescent="0.25">
      <c r="B59" s="16"/>
      <c r="C59" s="17"/>
      <c r="D59" s="17" t="s">
        <v>43</v>
      </c>
      <c r="E59" s="17"/>
      <c r="F59" s="17"/>
      <c r="G59" s="18">
        <f>G47</f>
      </c>
      <c r="H59" s="18">
        <f>H47</f>
      </c>
      <c r="I59" s="18">
        <f>I47</f>
      </c>
      <c r="J59" s="18">
        <f>J47</f>
      </c>
      <c r="K59" s="18">
        <f>K47</f>
      </c>
      <c r="L59" s="18">
        <f>L47</f>
      </c>
      <c r="M59" s="18">
        <f>M47</f>
      </c>
      <c r="N59" s="18">
        <f>N47</f>
      </c>
      <c r="O59" s="18">
        <f>O47</f>
      </c>
      <c r="P59" s="18">
        <f>P47</f>
      </c>
      <c r="Q59" s="18">
        <f>Q47</f>
      </c>
      <c r="R59" s="18">
        <f>R47</f>
      </c>
      <c r="S59" s="18">
        <f>S47</f>
      </c>
      <c r="T59" s="18">
        <f>T47</f>
      </c>
      <c r="U59" s="18">
        <f>U47</f>
      </c>
      <c r="V59" s="18">
        <f>V47</f>
      </c>
      <c r="W59" s="18">
        <f>W47</f>
      </c>
      <c r="X59" s="18">
        <f>X47</f>
      </c>
      <c r="Y59" s="18">
        <f>Y47</f>
      </c>
      <c r="Z59" s="18">
        <f>Z47</f>
      </c>
      <c r="AA59" s="18">
        <f>AA47</f>
      </c>
      <c r="AB59" s="18">
        <f>AB47</f>
      </c>
      <c r="AC59" s="18">
        <f>AC47</f>
      </c>
      <c r="AD59" s="18">
        <f>AD47</f>
      </c>
      <c r="AE59" s="18">
        <f>AE47</f>
      </c>
      <c r="AF59" s="18">
        <f>AF47</f>
      </c>
      <c r="AG59" s="18">
        <f>AG47</f>
      </c>
      <c r="AH59" s="18">
        <f>AH47</f>
      </c>
      <c r="AI59" s="18">
        <f>AI47</f>
      </c>
      <c r="AJ59" s="18">
        <f>AJ47</f>
      </c>
      <c r="AK59" s="18">
        <f>AK47</f>
      </c>
      <c r="AL59" s="18">
        <f>AL47</f>
      </c>
      <c r="AM59" s="19"/>
    </row>
    <row r="60" ht="12.75" customHeight="1" spans="2:39" x14ac:dyDescent="0.25">
      <c r="B60" s="16"/>
      <c r="C60" s="17"/>
      <c r="D60" s="17" t="s">
        <v>44</v>
      </c>
      <c r="E60" s="17"/>
      <c r="F60" s="17"/>
      <c r="G60" s="18">
        <f>G53</f>
      </c>
      <c r="H60" s="18">
        <f>H53</f>
      </c>
      <c r="I60" s="18">
        <f>I53</f>
      </c>
      <c r="J60" s="18">
        <f>J53</f>
      </c>
      <c r="K60" s="18">
        <f>K53</f>
      </c>
      <c r="L60" s="18">
        <f>L53</f>
      </c>
      <c r="M60" s="18">
        <f>M53</f>
      </c>
      <c r="N60" s="18">
        <f>N53</f>
      </c>
      <c r="O60" s="18">
        <f>O53</f>
      </c>
      <c r="P60" s="18">
        <f>P53</f>
      </c>
      <c r="Q60" s="18">
        <f>Q53</f>
      </c>
      <c r="R60" s="18">
        <f>R53</f>
      </c>
      <c r="S60" s="18">
        <f>S53</f>
      </c>
      <c r="T60" s="18">
        <f>T53</f>
      </c>
      <c r="U60" s="18">
        <f>U53</f>
      </c>
      <c r="V60" s="18">
        <f>V53</f>
      </c>
      <c r="W60" s="18">
        <f>W53</f>
      </c>
      <c r="X60" s="18">
        <f>X53</f>
      </c>
      <c r="Y60" s="18">
        <f>Y53</f>
      </c>
      <c r="Z60" s="18">
        <f>Z53</f>
      </c>
      <c r="AA60" s="18">
        <f>AA53</f>
      </c>
      <c r="AB60" s="18">
        <f>AB53</f>
      </c>
      <c r="AC60" s="18">
        <f>AC53</f>
      </c>
      <c r="AD60" s="18">
        <f>AD53</f>
      </c>
      <c r="AE60" s="18">
        <f>AE53</f>
      </c>
      <c r="AF60" s="18">
        <f>AF53</f>
      </c>
      <c r="AG60" s="18">
        <f>AG53</f>
      </c>
      <c r="AH60" s="18">
        <f>AH53</f>
      </c>
      <c r="AI60" s="18">
        <f>AI53</f>
      </c>
      <c r="AJ60" s="18">
        <f>AJ53</f>
      </c>
      <c r="AK60" s="18">
        <f>AK53</f>
      </c>
      <c r="AL60" s="18">
        <f>AL53</f>
      </c>
      <c r="AM60" s="19"/>
    </row>
    <row r="61" ht="12.75" customHeight="1" spans="2:39" x14ac:dyDescent="0.25">
      <c r="B61" s="20"/>
      <c r="C61" s="21"/>
      <c r="D61" s="21" t="s">
        <v>45</v>
      </c>
      <c r="E61" s="21"/>
      <c r="F61" s="21"/>
      <c r="G61" s="22">
        <f>G57+G58+G59+G60</f>
      </c>
      <c r="H61" s="22">
        <f>H57+H58+H59+H60</f>
      </c>
      <c r="I61" s="22">
        <f>I57+I58+I59+I60</f>
      </c>
      <c r="J61" s="22">
        <f>J57+J58+J59+J60</f>
      </c>
      <c r="K61" s="22">
        <f>K57+K58+K59+K60</f>
      </c>
      <c r="L61" s="22">
        <f>L57+L58+L59+L60</f>
      </c>
      <c r="M61" s="22">
        <f>M57+M58+M59+M60</f>
      </c>
      <c r="N61" s="22">
        <f>N57+N58+N59+N60</f>
      </c>
      <c r="O61" s="22">
        <f>O57+O58+O59+O60</f>
      </c>
      <c r="P61" s="22">
        <f>P57+P58+P59+P60</f>
      </c>
      <c r="Q61" s="22">
        <f>Q57+Q58+Q59+Q60</f>
      </c>
      <c r="R61" s="22">
        <f>R57+R58+R59+R60</f>
      </c>
      <c r="S61" s="22">
        <f>S57+S58+S59+S60</f>
      </c>
      <c r="T61" s="22">
        <f>T57+T58+T59+T60</f>
      </c>
      <c r="U61" s="22">
        <f>U57+U58+U59+U60</f>
      </c>
      <c r="V61" s="22">
        <f>V57+V58+V59+V60</f>
      </c>
      <c r="W61" s="22">
        <f>W57+W58+W59+W60</f>
      </c>
      <c r="X61" s="22">
        <f>X57+X58+X59+X60</f>
      </c>
      <c r="Y61" s="22">
        <f>Y57+Y58+Y59+Y60</f>
      </c>
      <c r="Z61" s="22">
        <f>Z57+Z58+Z59+Z60</f>
      </c>
      <c r="AA61" s="22">
        <f>AA57+AA58+AA59+AA60</f>
      </c>
      <c r="AB61" s="22">
        <f>AB57+AB58+AB59+AB60</f>
      </c>
      <c r="AC61" s="22">
        <f>AC57+AC58+AC59+AC60</f>
      </c>
      <c r="AD61" s="22">
        <f>AD57+AD58+AD59+AD60</f>
      </c>
      <c r="AE61" s="22">
        <f>AE57+AE58+AE59+AE60</f>
      </c>
      <c r="AF61" s="22">
        <f>AF57+AF58+AF59+AF60</f>
      </c>
      <c r="AG61" s="22">
        <f>AG57+AG58+AG59+AG60</f>
      </c>
      <c r="AH61" s="22">
        <f>AH57+AH58+AH59+AH60</f>
      </c>
      <c r="AI61" s="22">
        <f>AI57+AI58+AI59+AI60</f>
      </c>
      <c r="AJ61" s="22">
        <f>AJ57+AJ58+AJ59+AJ60</f>
      </c>
      <c r="AK61" s="22">
        <f>AK57+AK58+AK59+AK60</f>
      </c>
      <c r="AL61" s="22">
        <f>AL57+AL58+AL59+AL60</f>
      </c>
      <c r="AM61" s="23"/>
    </row>
    <row r="63" ht="12.75" customHeight="1" spans="2:39" x14ac:dyDescent="0.25">
      <c r="B63" s="11" t="s">
        <v>46</v>
      </c>
      <c r="C63" s="12"/>
      <c r="D63" s="12"/>
      <c r="E63" s="12"/>
      <c r="F63" s="12"/>
      <c r="G63" s="52" t="s">
        <v>7</v>
      </c>
      <c r="H63" s="52" t="s">
        <v>8</v>
      </c>
      <c r="I63" s="52" t="s">
        <v>9</v>
      </c>
      <c r="J63" s="52" t="s">
        <v>10</v>
      </c>
      <c r="K63" s="52" t="s">
        <v>11</v>
      </c>
      <c r="L63" s="52" t="s">
        <v>12</v>
      </c>
      <c r="M63" s="52" t="s">
        <v>13</v>
      </c>
      <c r="N63" s="52" t="s">
        <v>14</v>
      </c>
      <c r="O63" s="52" t="s">
        <v>15</v>
      </c>
      <c r="P63" s="52" t="s">
        <v>16</v>
      </c>
      <c r="Q63" s="52" t="s">
        <v>17</v>
      </c>
      <c r="R63" s="52" t="s">
        <v>18</v>
      </c>
      <c r="S63" s="52" t="s">
        <v>19</v>
      </c>
      <c r="T63" s="52" t="s">
        <v>20</v>
      </c>
      <c r="U63" s="52" t="s">
        <v>21</v>
      </c>
      <c r="V63" s="52" t="s">
        <v>22</v>
      </c>
      <c r="W63" s="52" t="s">
        <v>23</v>
      </c>
      <c r="X63" s="52" t="s">
        <v>24</v>
      </c>
      <c r="Y63" s="52" t="s">
        <v>25</v>
      </c>
      <c r="Z63" s="52" t="s">
        <v>26</v>
      </c>
      <c r="AA63" s="52" t="s">
        <v>27</v>
      </c>
      <c r="AB63" s="52" t="s">
        <v>28</v>
      </c>
      <c r="AC63" s="52" t="s">
        <v>29</v>
      </c>
      <c r="AD63" s="52" t="s">
        <v>30</v>
      </c>
      <c r="AE63" s="52" t="s">
        <v>31</v>
      </c>
      <c r="AF63" s="52" t="s">
        <v>32</v>
      </c>
      <c r="AG63" s="52" t="s">
        <v>33</v>
      </c>
      <c r="AH63" s="52" t="s">
        <v>34</v>
      </c>
      <c r="AI63" s="52" t="s">
        <v>35</v>
      </c>
      <c r="AJ63" s="52" t="s">
        <v>36</v>
      </c>
      <c r="AK63" s="52" t="s">
        <v>37</v>
      </c>
      <c r="AL63" s="52" t="s">
        <v>38</v>
      </c>
      <c r="AM63" s="15"/>
    </row>
    <row r="64" ht="12.75" customHeight="1" spans="2:39" x14ac:dyDescent="0.25">
      <c r="B64" s="16"/>
      <c r="C64" s="17"/>
      <c r="D64" s="17" t="s">
        <v>41</v>
      </c>
      <c r="E64" s="17"/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/>
    </row>
    <row r="65" ht="12.75" customHeight="1" spans="2:39" x14ac:dyDescent="0.25">
      <c r="B65" s="16"/>
      <c r="C65" s="17"/>
      <c r="D65" s="17" t="s">
        <v>42</v>
      </c>
      <c r="E65" s="17"/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9"/>
    </row>
    <row r="66" ht="12.75" customHeight="1" spans="2:39" x14ac:dyDescent="0.25">
      <c r="B66" s="16"/>
      <c r="C66" s="17"/>
      <c r="D66" s="17" t="s">
        <v>43</v>
      </c>
      <c r="E66" s="17"/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9"/>
    </row>
    <row r="67" ht="12.75" customHeight="1" spans="2:39" x14ac:dyDescent="0.25">
      <c r="B67" s="16"/>
      <c r="C67" s="17"/>
      <c r="D67" s="17" t="s">
        <v>44</v>
      </c>
      <c r="E67" s="17"/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9"/>
    </row>
    <row r="68" ht="12.75" customHeight="1" spans="2:39" x14ac:dyDescent="0.25">
      <c r="B68" s="20"/>
      <c r="C68" s="21"/>
      <c r="D68" s="21" t="s">
        <v>45</v>
      </c>
      <c r="E68" s="21"/>
      <c r="F68" s="21"/>
      <c r="G68" s="22">
        <f>G64+G65+G66+G67</f>
      </c>
      <c r="H68" s="22">
        <f>H64+H65+H66+H67</f>
      </c>
      <c r="I68" s="22">
        <f>I64+I65+I66+I67</f>
      </c>
      <c r="J68" s="22">
        <f>J64+J65+J66+J67</f>
      </c>
      <c r="K68" s="22">
        <f>K64+K65+K66+K67</f>
      </c>
      <c r="L68" s="22">
        <f>L64+L65+L66+L67</f>
      </c>
      <c r="M68" s="22">
        <f>M64+M65+M66+M67</f>
      </c>
      <c r="N68" s="22">
        <f>N64+N65+N66+N67</f>
      </c>
      <c r="O68" s="22">
        <f>O64+O65+O66+O67</f>
      </c>
      <c r="P68" s="22">
        <f>P64+P65+P66+P67</f>
      </c>
      <c r="Q68" s="22">
        <f>Q64+Q65+Q66+Q67</f>
      </c>
      <c r="R68" s="22">
        <f>R64+R65+R66+R67</f>
      </c>
      <c r="S68" s="22">
        <f>S64+S65+S66+S67</f>
      </c>
      <c r="T68" s="22">
        <f>T64+T65+T66+T67</f>
      </c>
      <c r="U68" s="22">
        <f>U64+U65+U66+U67</f>
      </c>
      <c r="V68" s="22">
        <f>V64+V65+V66+V67</f>
      </c>
      <c r="W68" s="22">
        <f>W64+W65+W66+W67</f>
      </c>
      <c r="X68" s="22">
        <f>X64+X65+X66+X67</f>
      </c>
      <c r="Y68" s="22">
        <f>Y64+Y65+Y66+Y67</f>
      </c>
      <c r="Z68" s="22">
        <f>Z64+Z65+Z66+Z67</f>
      </c>
      <c r="AA68" s="22">
        <f>AA64+AA65+AA66+AA67</f>
      </c>
      <c r="AB68" s="22">
        <f>AB64+AB65+AB66+AB67</f>
      </c>
      <c r="AC68" s="22">
        <f>AC64+AC65+AC66+AC67</f>
      </c>
      <c r="AD68" s="22">
        <f>AD64+AD65+AD66+AD67</f>
      </c>
      <c r="AE68" s="22">
        <f>AE64+AE65+AE66+AE67</f>
      </c>
      <c r="AF68" s="22">
        <f>AF64+AF65+AF66+AF67</f>
      </c>
      <c r="AG68" s="22">
        <f>AG64+AG65+AG66+AG67</f>
      </c>
      <c r="AH68" s="22">
        <f>AH64+AH65+AH66+AH67</f>
      </c>
      <c r="AI68" s="22">
        <f>AI64+AI65+AI66+AI67</f>
      </c>
      <c r="AJ68" s="22">
        <f>AJ64+AJ65+AJ66+AJ67</f>
      </c>
      <c r="AK68" s="22">
        <f>AK64+AK65+AK66+AK67</f>
      </c>
      <c r="AL68" s="22">
        <f>AL64+AL65+AL66+AL67</f>
      </c>
      <c r="AM68" s="23"/>
    </row>
    <row r="70" ht="12.75" customHeight="1" spans="2:39" x14ac:dyDescent="0.25">
      <c r="B70" s="11" t="s">
        <v>47</v>
      </c>
      <c r="C70" s="12"/>
      <c r="D70" s="12"/>
      <c r="E70" s="12"/>
      <c r="F70" s="12"/>
      <c r="G70" s="52" t="s">
        <v>7</v>
      </c>
      <c r="H70" s="52" t="s">
        <v>8</v>
      </c>
      <c r="I70" s="52" t="s">
        <v>9</v>
      </c>
      <c r="J70" s="52" t="s">
        <v>10</v>
      </c>
      <c r="K70" s="52" t="s">
        <v>11</v>
      </c>
      <c r="L70" s="52" t="s">
        <v>12</v>
      </c>
      <c r="M70" s="52" t="s">
        <v>13</v>
      </c>
      <c r="N70" s="52" t="s">
        <v>14</v>
      </c>
      <c r="O70" s="52" t="s">
        <v>15</v>
      </c>
      <c r="P70" s="52" t="s">
        <v>16</v>
      </c>
      <c r="Q70" s="52" t="s">
        <v>17</v>
      </c>
      <c r="R70" s="52" t="s">
        <v>18</v>
      </c>
      <c r="S70" s="52" t="s">
        <v>19</v>
      </c>
      <c r="T70" s="52" t="s">
        <v>20</v>
      </c>
      <c r="U70" s="52" t="s">
        <v>21</v>
      </c>
      <c r="V70" s="52" t="s">
        <v>22</v>
      </c>
      <c r="W70" s="52" t="s">
        <v>23</v>
      </c>
      <c r="X70" s="52" t="s">
        <v>24</v>
      </c>
      <c r="Y70" s="52" t="s">
        <v>25</v>
      </c>
      <c r="Z70" s="52" t="s">
        <v>26</v>
      </c>
      <c r="AA70" s="52" t="s">
        <v>27</v>
      </c>
      <c r="AB70" s="52" t="s">
        <v>28</v>
      </c>
      <c r="AC70" s="52" t="s">
        <v>29</v>
      </c>
      <c r="AD70" s="52" t="s">
        <v>30</v>
      </c>
      <c r="AE70" s="52" t="s">
        <v>31</v>
      </c>
      <c r="AF70" s="52" t="s">
        <v>32</v>
      </c>
      <c r="AG70" s="52" t="s">
        <v>33</v>
      </c>
      <c r="AH70" s="52" t="s">
        <v>34</v>
      </c>
      <c r="AI70" s="52" t="s">
        <v>35</v>
      </c>
      <c r="AJ70" s="52" t="s">
        <v>36</v>
      </c>
      <c r="AK70" s="52" t="s">
        <v>37</v>
      </c>
      <c r="AL70" s="52" t="s">
        <v>38</v>
      </c>
      <c r="AM70" s="15"/>
    </row>
    <row r="71" ht="12.75" customHeight="1" spans="2:39" x14ac:dyDescent="0.25">
      <c r="B71" s="16"/>
      <c r="C71" s="17"/>
      <c r="D71" s="17" t="s">
        <v>41</v>
      </c>
      <c r="E71" s="17"/>
      <c r="F71" s="17"/>
      <c r="G71" s="24">
        <f>G64-G57</f>
      </c>
      <c r="H71" s="24">
        <f>H64-H57</f>
      </c>
      <c r="I71" s="24">
        <f>I64-I57</f>
      </c>
      <c r="J71" s="24">
        <f>J64-J57</f>
      </c>
      <c r="K71" s="24">
        <f>K64-K57</f>
      </c>
      <c r="L71" s="24">
        <f>L64-L57</f>
      </c>
      <c r="M71" s="24">
        <f>M64-M57</f>
      </c>
      <c r="N71" s="24">
        <f>N64-N57</f>
      </c>
      <c r="O71" s="24">
        <f>O64-O57</f>
      </c>
      <c r="P71" s="24">
        <f>P64-P57</f>
      </c>
      <c r="Q71" s="24">
        <f>Q64-Q57</f>
      </c>
      <c r="R71" s="24">
        <f>R64-R57</f>
      </c>
      <c r="S71" s="24">
        <f>S64-S57</f>
      </c>
      <c r="T71" s="24">
        <f>T64-T57</f>
      </c>
      <c r="U71" s="24">
        <f>U64-U57</f>
      </c>
      <c r="V71" s="24">
        <f>V64-V57</f>
      </c>
      <c r="W71" s="24">
        <f>W64-W57</f>
      </c>
      <c r="X71" s="24">
        <f>X64-X57</f>
      </c>
      <c r="Y71" s="24">
        <f>Y64-Y57</f>
      </c>
      <c r="Z71" s="24">
        <f>Z64-Z57</f>
      </c>
      <c r="AA71" s="24">
        <f>AA64-AA57</f>
      </c>
      <c r="AB71" s="24">
        <f>AB64-AB57</f>
      </c>
      <c r="AC71" s="24">
        <f>AC64-AC57</f>
      </c>
      <c r="AD71" s="24">
        <f>AD64-AD57</f>
      </c>
      <c r="AE71" s="24">
        <f>AE64-AE57</f>
      </c>
      <c r="AF71" s="24">
        <f>AF64-AF57</f>
      </c>
      <c r="AG71" s="24">
        <f>AG64-AG57</f>
      </c>
      <c r="AH71" s="24">
        <f>AH64-AH57</f>
      </c>
      <c r="AI71" s="24">
        <f>AI64-AI57</f>
      </c>
      <c r="AJ71" s="24">
        <f>AJ64-AJ57</f>
      </c>
      <c r="AK71" s="24">
        <f>AK64-AK57</f>
      </c>
      <c r="AL71" s="24">
        <f>AL64-AL57</f>
      </c>
      <c r="AM71" s="19"/>
    </row>
    <row r="72" ht="12.75" customHeight="1" spans="2:39" x14ac:dyDescent="0.25">
      <c r="B72" s="16"/>
      <c r="C72" s="17"/>
      <c r="D72" s="17" t="s">
        <v>42</v>
      </c>
      <c r="E72" s="17"/>
      <c r="F72" s="17"/>
      <c r="G72" s="24">
        <f>G65-G58</f>
      </c>
      <c r="H72" s="24">
        <f>H65-H58</f>
      </c>
      <c r="I72" s="24">
        <f>I65-I58</f>
      </c>
      <c r="J72" s="24">
        <f>J65-J58</f>
      </c>
      <c r="K72" s="24">
        <f>K65-K58</f>
      </c>
      <c r="L72" s="24">
        <f>L65-L58</f>
      </c>
      <c r="M72" s="24">
        <f>M65-M58</f>
      </c>
      <c r="N72" s="24">
        <f>N65-N58</f>
      </c>
      <c r="O72" s="24">
        <f>O65-O58</f>
      </c>
      <c r="P72" s="24">
        <f>P65-P58</f>
      </c>
      <c r="Q72" s="24">
        <f>Q65-Q58</f>
      </c>
      <c r="R72" s="24">
        <f>R65-R58</f>
      </c>
      <c r="S72" s="24">
        <f>S65-S58</f>
      </c>
      <c r="T72" s="24">
        <f>T65-T58</f>
      </c>
      <c r="U72" s="24">
        <f>U65-U58</f>
      </c>
      <c r="V72" s="24">
        <f>V65-V58</f>
      </c>
      <c r="W72" s="24">
        <f>W65-W58</f>
      </c>
      <c r="X72" s="24">
        <f>X65-X58</f>
      </c>
      <c r="Y72" s="24">
        <f>Y65-Y58</f>
      </c>
      <c r="Z72" s="24">
        <f>Z65-Z58</f>
      </c>
      <c r="AA72" s="24">
        <f>AA65-AA58</f>
      </c>
      <c r="AB72" s="24">
        <f>AB65-AB58</f>
      </c>
      <c r="AC72" s="24">
        <f>AC65-AC58</f>
      </c>
      <c r="AD72" s="24">
        <f>AD65-AD58</f>
      </c>
      <c r="AE72" s="24">
        <f>AE65-AE58</f>
      </c>
      <c r="AF72" s="24">
        <f>AF65-AF58</f>
      </c>
      <c r="AG72" s="24">
        <f>AG65-AG58</f>
      </c>
      <c r="AH72" s="24">
        <f>AH65-AH58</f>
      </c>
      <c r="AI72" s="24">
        <f>AI65-AI58</f>
      </c>
      <c r="AJ72" s="24">
        <f>AJ65-AJ58</f>
      </c>
      <c r="AK72" s="24">
        <f>AK65-AK58</f>
      </c>
      <c r="AL72" s="24">
        <f>AL65-AL58</f>
      </c>
      <c r="AM72" s="19"/>
    </row>
    <row r="73" ht="12.75" customHeight="1" spans="2:39" x14ac:dyDescent="0.25">
      <c r="B73" s="16"/>
      <c r="C73" s="17"/>
      <c r="D73" s="17" t="s">
        <v>43</v>
      </c>
      <c r="E73" s="17"/>
      <c r="F73" s="17"/>
      <c r="G73" s="24">
        <f>G66-G59</f>
      </c>
      <c r="H73" s="24">
        <f>H66-H59</f>
      </c>
      <c r="I73" s="24">
        <f>I66-I59</f>
      </c>
      <c r="J73" s="24">
        <f>J66-J59</f>
      </c>
      <c r="K73" s="24">
        <f>K66-K59</f>
      </c>
      <c r="L73" s="24">
        <f>L66-L59</f>
      </c>
      <c r="M73" s="24">
        <f>M66-M59</f>
      </c>
      <c r="N73" s="24">
        <f>N66-N59</f>
      </c>
      <c r="O73" s="24">
        <f>O66-O59</f>
      </c>
      <c r="P73" s="24">
        <f>P66-P59</f>
      </c>
      <c r="Q73" s="24">
        <f>Q66-Q59</f>
      </c>
      <c r="R73" s="24">
        <f>R66-R59</f>
      </c>
      <c r="S73" s="24">
        <f>S66-S59</f>
      </c>
      <c r="T73" s="24">
        <f>T66-T59</f>
      </c>
      <c r="U73" s="24">
        <f>U66-U59</f>
      </c>
      <c r="V73" s="24">
        <f>V66-V59</f>
      </c>
      <c r="W73" s="24">
        <f>W66-W59</f>
      </c>
      <c r="X73" s="24">
        <f>X66-X59</f>
      </c>
      <c r="Y73" s="24">
        <f>Y66-Y59</f>
      </c>
      <c r="Z73" s="24">
        <f>Z66-Z59</f>
      </c>
      <c r="AA73" s="24">
        <f>AA66-AA59</f>
      </c>
      <c r="AB73" s="24">
        <f>AB66-AB59</f>
      </c>
      <c r="AC73" s="24">
        <f>AC66-AC59</f>
      </c>
      <c r="AD73" s="24">
        <f>AD66-AD59</f>
      </c>
      <c r="AE73" s="24">
        <f>AE66-AE59</f>
      </c>
      <c r="AF73" s="24">
        <f>AF66-AF59</f>
      </c>
      <c r="AG73" s="24">
        <f>AG66-AG59</f>
      </c>
      <c r="AH73" s="24">
        <f>AH66-AH59</f>
      </c>
      <c r="AI73" s="24">
        <f>AI66-AI59</f>
      </c>
      <c r="AJ73" s="24">
        <f>AJ66-AJ59</f>
      </c>
      <c r="AK73" s="24">
        <f>AK66-AK59</f>
      </c>
      <c r="AL73" s="24">
        <f>AL66-AL59</f>
      </c>
      <c r="AM73" s="19"/>
    </row>
    <row r="74" ht="12.75" customHeight="1" spans="2:39" x14ac:dyDescent="0.25">
      <c r="B74" s="16"/>
      <c r="C74" s="17"/>
      <c r="D74" s="17" t="s">
        <v>44</v>
      </c>
      <c r="E74" s="17"/>
      <c r="F74" s="17"/>
      <c r="G74" s="24">
        <f>G67-G60</f>
      </c>
      <c r="H74" s="24">
        <f>H67-H60</f>
      </c>
      <c r="I74" s="24">
        <f>I67-I60</f>
      </c>
      <c r="J74" s="24">
        <f>J67-J60</f>
      </c>
      <c r="K74" s="24">
        <f>K67-K60</f>
      </c>
      <c r="L74" s="24">
        <f>L67-L60</f>
      </c>
      <c r="M74" s="24">
        <f>M67-M60</f>
      </c>
      <c r="N74" s="24">
        <f>N67-N60</f>
      </c>
      <c r="O74" s="24">
        <f>O67-O60</f>
      </c>
      <c r="P74" s="24">
        <f>P67-P60</f>
      </c>
      <c r="Q74" s="24">
        <f>Q67-Q60</f>
      </c>
      <c r="R74" s="24">
        <f>R67-R60</f>
      </c>
      <c r="S74" s="24">
        <f>S67-S60</f>
      </c>
      <c r="T74" s="24">
        <f>T67-T60</f>
      </c>
      <c r="U74" s="24">
        <f>U67-U60</f>
      </c>
      <c r="V74" s="24">
        <f>V67-V60</f>
      </c>
      <c r="W74" s="24">
        <f>W67-W60</f>
      </c>
      <c r="X74" s="24">
        <f>X67-X60</f>
      </c>
      <c r="Y74" s="24">
        <f>Y67-Y60</f>
      </c>
      <c r="Z74" s="24">
        <f>Z67-Z60</f>
      </c>
      <c r="AA74" s="24">
        <f>AA67-AA60</f>
      </c>
      <c r="AB74" s="24">
        <f>AB67-AB60</f>
      </c>
      <c r="AC74" s="24">
        <f>AC67-AC60</f>
      </c>
      <c r="AD74" s="24">
        <f>AD67-AD60</f>
      </c>
      <c r="AE74" s="24">
        <f>AE67-AE60</f>
      </c>
      <c r="AF74" s="24">
        <f>AF67-AF60</f>
      </c>
      <c r="AG74" s="24">
        <f>AG67-AG60</f>
      </c>
      <c r="AH74" s="24">
        <f>AH67-AH60</f>
      </c>
      <c r="AI74" s="24">
        <f>AI67-AI60</f>
      </c>
      <c r="AJ74" s="24">
        <f>AJ67-AJ60</f>
      </c>
      <c r="AK74" s="24">
        <f>AK67-AK60</f>
      </c>
      <c r="AL74" s="24">
        <f>AL67-AL60</f>
      </c>
      <c r="AM74" s="19"/>
    </row>
    <row r="75" ht="12.75" customHeight="1" spans="2:39" x14ac:dyDescent="0.25">
      <c r="B75" s="20"/>
      <c r="C75" s="21"/>
      <c r="D75" s="21" t="s">
        <v>45</v>
      </c>
      <c r="E75" s="21"/>
      <c r="F75" s="21"/>
      <c r="G75" s="25">
        <f>G71+G72+G73+G74</f>
      </c>
      <c r="H75" s="25">
        <f>H71+H72+H73+H74</f>
      </c>
      <c r="I75" s="25">
        <f>I71+I72+I73+I74</f>
      </c>
      <c r="J75" s="25">
        <f>J71+J72+J73+J74</f>
      </c>
      <c r="K75" s="25">
        <f>K71+K72+K73+K74</f>
      </c>
      <c r="L75" s="25">
        <f>L71+L72+L73+L74</f>
      </c>
      <c r="M75" s="25">
        <f>M71+M72+M73+M74</f>
      </c>
      <c r="N75" s="25">
        <f>N71+N72+N73+N74</f>
      </c>
      <c r="O75" s="25">
        <f>O71+O72+O73+O74</f>
      </c>
      <c r="P75" s="25">
        <f>P71+P72+P73+P74</f>
      </c>
      <c r="Q75" s="25">
        <f>Q71+Q72+Q73+Q74</f>
      </c>
      <c r="R75" s="25">
        <f>R71+R72+R73+R74</f>
      </c>
      <c r="S75" s="25">
        <f>S71+S72+S73+S74</f>
      </c>
      <c r="T75" s="25">
        <f>T71+T72+T73+T74</f>
      </c>
      <c r="U75" s="25">
        <f>U71+U72+U73+U74</f>
      </c>
      <c r="V75" s="25">
        <f>V71+V72+V73+V74</f>
      </c>
      <c r="W75" s="25">
        <f>W71+W72+W73+W74</f>
      </c>
      <c r="X75" s="25">
        <f>X71+X72+X73+X74</f>
      </c>
      <c r="Y75" s="25">
        <f>Y71+Y72+Y73+Y74</f>
      </c>
      <c r="Z75" s="25">
        <f>Z71+Z72+Z73+Z74</f>
      </c>
      <c r="AA75" s="25">
        <f>AA71+AA72+AA73+AA74</f>
      </c>
      <c r="AB75" s="25">
        <f>AB71+AB72+AB73+AB74</f>
      </c>
      <c r="AC75" s="25">
        <f>AC71+AC72+AC73+AC74</f>
      </c>
      <c r="AD75" s="25">
        <f>AD71+AD72+AD73+AD74</f>
      </c>
      <c r="AE75" s="25">
        <f>AE71+AE72+AE73+AE74</f>
      </c>
      <c r="AF75" s="25">
        <f>AF71+AF72+AF73+AF74</f>
      </c>
      <c r="AG75" s="25">
        <f>AG71+AG72+AG73+AG74</f>
      </c>
      <c r="AH75" s="25">
        <f>AH71+AH72+AH73+AH74</f>
      </c>
      <c r="AI75" s="25">
        <f>AI71+AI72+AI73+AI74</f>
      </c>
      <c r="AJ75" s="25">
        <f>AJ71+AJ72+AJ73+AJ74</f>
      </c>
      <c r="AK75" s="25">
        <f>AK71+AK72+AK73+AK74</f>
      </c>
      <c r="AL75" s="25">
        <f>AL71+AL72+AL73+AL74</f>
      </c>
      <c r="AM7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1706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1707</v>
      </c>
      <c r="E13" s="32"/>
      <c r="F13" s="32"/>
      <c r="G13" s="32"/>
      <c r="H13" s="33">
        <v>33.24</v>
      </c>
      <c r="I13" s="33">
        <v>33.24</v>
      </c>
      <c r="J13" s="33">
        <v>33.24</v>
      </c>
      <c r="K13" s="33">
        <v>33.25</v>
      </c>
      <c r="L13" s="33">
        <v>33.25</v>
      </c>
      <c r="M13" s="33">
        <v>33.25</v>
      </c>
      <c r="N13" s="33">
        <v>33.25</v>
      </c>
      <c r="O13" s="33">
        <v>33.26</v>
      </c>
      <c r="P13" s="33">
        <v>33.26</v>
      </c>
      <c r="Q13" s="33">
        <v>33.25</v>
      </c>
      <c r="R13" s="33">
        <v>33.25</v>
      </c>
      <c r="S13" s="33">
        <v>33.26</v>
      </c>
      <c r="T13" s="33">
        <v>33.24</v>
      </c>
      <c r="U13" s="33">
        <v>33.25</v>
      </c>
      <c r="V13" s="33">
        <v>33.25</v>
      </c>
      <c r="W13" s="33">
        <v>33.25</v>
      </c>
      <c r="X13" s="33">
        <v>33.24</v>
      </c>
      <c r="Y13" s="33">
        <v>33.24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1708</v>
      </c>
      <c r="E14" s="32"/>
      <c r="F14" s="32"/>
      <c r="G14" s="32"/>
      <c r="H14" s="33">
        <v>329.81</v>
      </c>
      <c r="I14" s="33">
        <v>329.92</v>
      </c>
      <c r="J14" s="33">
        <v>318.61</v>
      </c>
      <c r="K14" s="33">
        <v>335.18</v>
      </c>
      <c r="L14" s="33">
        <v>400.11</v>
      </c>
      <c r="M14" s="33">
        <v>393.25</v>
      </c>
      <c r="N14" s="33">
        <v>410.26</v>
      </c>
      <c r="O14" s="33">
        <v>418.38</v>
      </c>
      <c r="P14" s="33">
        <v>407.29</v>
      </c>
      <c r="Q14" s="33">
        <v>354.76</v>
      </c>
      <c r="R14" s="33">
        <v>369.32</v>
      </c>
      <c r="S14" s="33">
        <v>288.96</v>
      </c>
      <c r="T14" s="33">
        <v>266.35</v>
      </c>
      <c r="U14" s="33">
        <v>280.49</v>
      </c>
      <c r="V14" s="33">
        <v>198.23</v>
      </c>
      <c r="W14" s="33">
        <v>107.67</v>
      </c>
      <c r="X14" s="33">
        <v>131.86</v>
      </c>
      <c r="Y14" s="33">
        <v>149.01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1709</v>
      </c>
      <c r="E15" s="32"/>
      <c r="F15" s="32"/>
      <c r="G15" s="32"/>
      <c r="H15" s="33">
        <v>789.9</v>
      </c>
      <c r="I15" s="33">
        <v>918.69</v>
      </c>
      <c r="J15" s="33">
        <v>690.48</v>
      </c>
      <c r="K15" s="33">
        <v>719.02</v>
      </c>
      <c r="L15" s="33">
        <v>960.66</v>
      </c>
      <c r="M15" s="33">
        <v>710.5</v>
      </c>
      <c r="N15" s="33">
        <v>664.09</v>
      </c>
      <c r="O15" s="33">
        <v>717.24</v>
      </c>
      <c r="P15" s="33">
        <v>826.08</v>
      </c>
      <c r="Q15" s="33">
        <v>748.04</v>
      </c>
      <c r="R15" s="33">
        <v>833.27</v>
      </c>
      <c r="S15" s="33">
        <v>793.94</v>
      </c>
      <c r="T15" s="33">
        <v>971.69</v>
      </c>
      <c r="U15" s="33">
        <v>673.72</v>
      </c>
      <c r="V15" s="33">
        <v>1014.72</v>
      </c>
      <c r="W15" s="33">
        <v>1072.57</v>
      </c>
      <c r="X15" s="33">
        <v>1048.06</v>
      </c>
      <c r="Y15" s="33">
        <v>1030.18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1710</v>
      </c>
      <c r="E16" s="32"/>
      <c r="F16" s="32"/>
      <c r="G16" s="32"/>
      <c r="H16" s="33">
        <v>1549.34</v>
      </c>
      <c r="I16" s="33">
        <v>1496.97</v>
      </c>
      <c r="J16" s="33">
        <v>1367.44</v>
      </c>
      <c r="K16" s="33">
        <v>1348.57</v>
      </c>
      <c r="L16" s="33">
        <v>1409.8</v>
      </c>
      <c r="M16" s="33">
        <v>1251.61</v>
      </c>
      <c r="N16" s="33">
        <v>1298.23</v>
      </c>
      <c r="O16" s="33">
        <v>1492.64</v>
      </c>
      <c r="P16" s="33">
        <v>1439.52</v>
      </c>
      <c r="Q16" s="33">
        <v>1206.45</v>
      </c>
      <c r="R16" s="33">
        <v>1492.4</v>
      </c>
      <c r="S16" s="33">
        <v>1383.42</v>
      </c>
      <c r="T16" s="33">
        <v>1467.31</v>
      </c>
      <c r="U16" s="33">
        <v>1414.54</v>
      </c>
      <c r="V16" s="33">
        <v>1641.1</v>
      </c>
      <c r="W16" s="33">
        <v>1728.57</v>
      </c>
      <c r="X16" s="33">
        <v>1962.04</v>
      </c>
      <c r="Y16" s="33">
        <v>1857.04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1711</v>
      </c>
      <c r="E17" s="32"/>
      <c r="F17" s="32"/>
      <c r="G17" s="32"/>
      <c r="H17" s="33">
        <v>753.25</v>
      </c>
      <c r="I17" s="33">
        <v>781.14</v>
      </c>
      <c r="J17" s="33">
        <v>538.12</v>
      </c>
      <c r="K17" s="33">
        <v>601.68</v>
      </c>
      <c r="L17" s="33">
        <v>775.1</v>
      </c>
      <c r="M17" s="33">
        <v>791.73</v>
      </c>
      <c r="N17" s="33">
        <v>809.75</v>
      </c>
      <c r="O17" s="33">
        <v>900.09</v>
      </c>
      <c r="P17" s="33">
        <v>813.97</v>
      </c>
      <c r="Q17" s="33">
        <v>717.69</v>
      </c>
      <c r="R17" s="33">
        <v>694.31</v>
      </c>
      <c r="S17" s="33">
        <v>764.76</v>
      </c>
      <c r="T17" s="33">
        <v>897.18</v>
      </c>
      <c r="U17" s="33">
        <v>851.24</v>
      </c>
      <c r="V17" s="33">
        <v>781.75</v>
      </c>
      <c r="W17" s="33">
        <v>810.72</v>
      </c>
      <c r="X17" s="33">
        <v>921.24</v>
      </c>
      <c r="Y17" s="33">
        <v>1013.37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1712</v>
      </c>
      <c r="E18" s="32"/>
      <c r="F18" s="32"/>
      <c r="G18" s="32"/>
      <c r="H18" s="32"/>
      <c r="I18" s="33">
        <v>1097.69</v>
      </c>
      <c r="J18" s="33">
        <v>1094.31</v>
      </c>
      <c r="K18" s="33">
        <v>1094.18</v>
      </c>
      <c r="L18" s="33">
        <v>1090.98</v>
      </c>
      <c r="M18" s="33">
        <v>1090.98</v>
      </c>
      <c r="N18" s="33">
        <v>1074</v>
      </c>
      <c r="O18" s="33">
        <v>1074</v>
      </c>
      <c r="P18" s="33">
        <v>1074</v>
      </c>
      <c r="Q18" s="33">
        <v>1074.13</v>
      </c>
      <c r="R18" s="33">
        <v>1074.13</v>
      </c>
      <c r="S18" s="33">
        <v>1070.92</v>
      </c>
      <c r="T18" s="33">
        <v>1070.92</v>
      </c>
      <c r="U18" s="33">
        <v>1043.94</v>
      </c>
      <c r="V18" s="33">
        <v>1043.94</v>
      </c>
      <c r="W18" s="33">
        <v>1110.28</v>
      </c>
      <c r="X18" s="33">
        <v>1110.28</v>
      </c>
      <c r="Y18" s="33">
        <v>1110.28</v>
      </c>
      <c r="Z18" s="33">
        <v>1110.28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1713</v>
      </c>
      <c r="E19" s="32"/>
      <c r="F19" s="32"/>
      <c r="G19" s="32"/>
      <c r="H19" s="33">
        <v>258.58</v>
      </c>
      <c r="I19" s="33">
        <v>261.91</v>
      </c>
      <c r="J19" s="33">
        <v>389.62</v>
      </c>
      <c r="K19" s="33">
        <v>309.87</v>
      </c>
      <c r="L19" s="33">
        <v>348.83</v>
      </c>
      <c r="M19" s="33">
        <v>270.4</v>
      </c>
      <c r="N19" s="33">
        <v>472.04</v>
      </c>
      <c r="O19" s="33">
        <v>195.68</v>
      </c>
      <c r="P19" s="33">
        <v>229.55</v>
      </c>
      <c r="Q19" s="33">
        <v>209.89</v>
      </c>
      <c r="R19" s="33">
        <v>259.35</v>
      </c>
      <c r="S19" s="33">
        <v>245.24</v>
      </c>
      <c r="T19" s="33">
        <v>339.94</v>
      </c>
      <c r="U19" s="33">
        <v>154.67</v>
      </c>
      <c r="V19" s="33">
        <v>176.56</v>
      </c>
      <c r="W19" s="33">
        <v>208.94</v>
      </c>
      <c r="X19" s="33">
        <v>326.55</v>
      </c>
      <c r="Y19" s="33">
        <v>318.01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1714</v>
      </c>
      <c r="E20" s="32"/>
      <c r="F20" s="32"/>
      <c r="G20" s="32"/>
      <c r="H20" s="33">
        <v>91.42</v>
      </c>
      <c r="I20" s="33">
        <v>91.93</v>
      </c>
      <c r="J20" s="33">
        <v>100.25</v>
      </c>
      <c r="K20" s="33">
        <v>120.16</v>
      </c>
      <c r="L20" s="33">
        <v>152.66</v>
      </c>
      <c r="M20" s="33">
        <v>199.53</v>
      </c>
      <c r="N20" s="33">
        <v>195.73</v>
      </c>
      <c r="O20" s="33">
        <v>204.03</v>
      </c>
      <c r="P20" s="33">
        <v>126.58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1715</v>
      </c>
      <c r="E21" s="32"/>
      <c r="F21" s="32"/>
      <c r="G21" s="32"/>
      <c r="H21" s="32"/>
      <c r="I21" s="36">
        <f>262.06+236.30</f>
        <v>498.36</v>
      </c>
      <c r="J21" s="33">
        <v>207.48</v>
      </c>
      <c r="K21" s="33">
        <v>182.01</v>
      </c>
      <c r="L21" s="32"/>
      <c r="M21" s="36">
        <f>235.16+234.05</f>
        <v>469.21000000000004</v>
      </c>
      <c r="N21" s="32"/>
      <c r="O21" s="36">
        <f>249.41+235.19</f>
        <v>484.6</v>
      </c>
      <c r="P21" s="33">
        <v>118.36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1716</v>
      </c>
      <c r="E22" s="32"/>
      <c r="F22" s="32"/>
      <c r="G22" s="32"/>
      <c r="H22" s="33">
        <v>30.79</v>
      </c>
      <c r="I22" s="33">
        <v>30.79</v>
      </c>
      <c r="J22" s="33">
        <v>30.79</v>
      </c>
      <c r="K22" s="33">
        <v>30.8</v>
      </c>
      <c r="L22" s="33">
        <v>23.61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1717</v>
      </c>
      <c r="E23" s="32"/>
      <c r="F23" s="32"/>
      <c r="G23" s="32"/>
      <c r="H23" s="33">
        <v>191.31</v>
      </c>
      <c r="I23" s="33">
        <v>183.86</v>
      </c>
      <c r="J23" s="33">
        <v>124.46</v>
      </c>
      <c r="K23" s="33">
        <v>26.51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1718</v>
      </c>
      <c r="E24" s="32"/>
      <c r="F24" s="32"/>
      <c r="G24" s="32"/>
      <c r="H24" s="33">
        <v>135.72</v>
      </c>
      <c r="I24" s="33">
        <v>143.04</v>
      </c>
      <c r="J24" s="33">
        <v>96.63</v>
      </c>
      <c r="K24" s="33">
        <v>86.91</v>
      </c>
      <c r="L24" s="33">
        <v>104.74</v>
      </c>
      <c r="M24" s="33">
        <v>135.73</v>
      </c>
      <c r="N24" s="33">
        <v>140.38</v>
      </c>
      <c r="O24" s="33">
        <v>100.66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1719</v>
      </c>
      <c r="E25" s="32"/>
      <c r="F25" s="32"/>
      <c r="G25" s="32"/>
      <c r="H25" s="32"/>
      <c r="I25" s="33">
        <v>22.58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1720</v>
      </c>
      <c r="E26" s="32"/>
      <c r="F26" s="32"/>
      <c r="G26" s="32"/>
      <c r="H26" s="36">
        <f>30.79+7.19</f>
        <v>37.98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1721</v>
      </c>
      <c r="E27" s="32"/>
      <c r="F27" s="32"/>
      <c r="G27" s="32"/>
      <c r="H27" s="33">
        <v>121.54</v>
      </c>
      <c r="I27" s="33">
        <v>145.51</v>
      </c>
      <c r="J27" s="33">
        <v>103.09</v>
      </c>
      <c r="K27" s="33">
        <v>87.63</v>
      </c>
      <c r="L27" s="33">
        <v>108.94</v>
      </c>
      <c r="M27" s="33">
        <v>135.78</v>
      </c>
      <c r="N27" s="33">
        <v>131.36</v>
      </c>
      <c r="O27" s="33">
        <v>136.87</v>
      </c>
      <c r="P27" s="33">
        <v>144.49</v>
      </c>
      <c r="Q27" s="33">
        <v>125.54</v>
      </c>
      <c r="R27" s="33">
        <v>93.51</v>
      </c>
      <c r="S27" s="33">
        <v>54.93</v>
      </c>
      <c r="T27" s="33">
        <v>87.82</v>
      </c>
      <c r="U27" s="33">
        <v>94.53</v>
      </c>
      <c r="V27" s="33">
        <v>33.74</v>
      </c>
      <c r="W27" s="33">
        <v>33.61</v>
      </c>
      <c r="X27" s="33">
        <v>45.79</v>
      </c>
      <c r="Y27" s="33">
        <v>73.57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1722</v>
      </c>
      <c r="E28" s="32"/>
      <c r="F28" s="32"/>
      <c r="G28" s="32"/>
      <c r="H28" s="33">
        <v>30.79</v>
      </c>
      <c r="I28" s="33">
        <v>30.79</v>
      </c>
      <c r="J28" s="33">
        <v>30.79</v>
      </c>
      <c r="K28" s="33">
        <v>30.79</v>
      </c>
      <c r="L28" s="33">
        <v>30.8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1723</v>
      </c>
      <c r="E29" s="32"/>
      <c r="F29" s="32"/>
      <c r="G29" s="32"/>
      <c r="H29" s="33">
        <v>30.79</v>
      </c>
      <c r="I29" s="33">
        <v>30.79</v>
      </c>
      <c r="J29" s="33">
        <v>30.79</v>
      </c>
      <c r="K29" s="33">
        <v>30.79</v>
      </c>
      <c r="L29" s="33">
        <v>31.5</v>
      </c>
      <c r="M29" s="33">
        <v>50.09</v>
      </c>
      <c r="N29" s="36">
        <f>45.48+35.29</f>
        <v>80.77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1724</v>
      </c>
      <c r="E30" s="32"/>
      <c r="F30" s="32"/>
      <c r="G30" s="32"/>
      <c r="H30" s="33">
        <v>30.79</v>
      </c>
      <c r="I30" s="33">
        <v>30.79</v>
      </c>
      <c r="J30" s="33">
        <v>30.79</v>
      </c>
      <c r="K30" s="33">
        <v>30.8</v>
      </c>
      <c r="L30" s="33">
        <v>41.68</v>
      </c>
      <c r="M30" s="33">
        <v>65</v>
      </c>
      <c r="N30" s="33">
        <v>70.8</v>
      </c>
      <c r="O30" s="33">
        <v>69.39</v>
      </c>
      <c r="P30" s="33">
        <v>56.78</v>
      </c>
      <c r="Q30" s="33">
        <v>27.07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1725</v>
      </c>
      <c r="E31" s="32"/>
      <c r="F31" s="32"/>
      <c r="G31" s="32"/>
      <c r="H31" s="36">
        <f>0.00+88.79</f>
        <v>88.79</v>
      </c>
      <c r="I31" s="36">
        <f>30.79+0.00</f>
        <v>30.79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1726</v>
      </c>
      <c r="E32" s="32"/>
      <c r="F32" s="32"/>
      <c r="G32" s="32"/>
      <c r="H32" s="33">
        <v>88.79</v>
      </c>
      <c r="I32" s="33">
        <v>30.79</v>
      </c>
      <c r="J32" s="33">
        <v>30.79</v>
      </c>
      <c r="K32" s="33">
        <v>44.48</v>
      </c>
      <c r="L32" s="33">
        <v>111.82</v>
      </c>
      <c r="M32" s="33">
        <v>200.91</v>
      </c>
      <c r="N32" s="33">
        <v>212.54</v>
      </c>
      <c r="O32" s="33">
        <v>123.28</v>
      </c>
      <c r="P32" s="33">
        <v>51.53</v>
      </c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1727</v>
      </c>
      <c r="E33" s="32"/>
      <c r="F33" s="32"/>
      <c r="G33" s="32"/>
      <c r="H33" s="33">
        <v>88.79</v>
      </c>
      <c r="I33" s="33">
        <v>32.41</v>
      </c>
      <c r="J33" s="33">
        <v>30.79</v>
      </c>
      <c r="K33" s="33">
        <v>30.8</v>
      </c>
      <c r="L33" s="33">
        <v>57.14</v>
      </c>
      <c r="M33" s="33">
        <v>66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1728</v>
      </c>
      <c r="E34" s="32"/>
      <c r="F34" s="32"/>
      <c r="G34" s="32"/>
      <c r="H34" s="33">
        <v>73.39</v>
      </c>
      <c r="I34" s="33">
        <v>30.79</v>
      </c>
      <c r="J34" s="33">
        <v>30.79</v>
      </c>
      <c r="K34" s="33">
        <v>30.79</v>
      </c>
      <c r="L34" s="33">
        <v>30.8</v>
      </c>
      <c r="M34" s="33">
        <v>62.59</v>
      </c>
      <c r="N34" s="36">
        <f>63.02+15.79</f>
        <v>78.81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1729</v>
      </c>
      <c r="E35" s="32"/>
      <c r="F35" s="32"/>
      <c r="G35" s="32"/>
      <c r="H35" s="32"/>
      <c r="I35" s="33">
        <v>91.87</v>
      </c>
      <c r="J35" s="33">
        <v>33.77</v>
      </c>
      <c r="K35" s="33">
        <v>65.09</v>
      </c>
      <c r="L35" s="33">
        <v>70.26</v>
      </c>
      <c r="M35" s="33">
        <v>88.69</v>
      </c>
      <c r="N35" s="33">
        <v>86.42</v>
      </c>
      <c r="O35" s="33">
        <v>34.24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1730</v>
      </c>
      <c r="E36" s="32"/>
      <c r="F36" s="32"/>
      <c r="G36" s="32"/>
      <c r="H36" s="32"/>
      <c r="I36" s="33">
        <v>72.37</v>
      </c>
      <c r="J36" s="33">
        <v>30.79</v>
      </c>
      <c r="K36" s="36">
        <f>30.79+21.21</f>
        <v>52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1731</v>
      </c>
      <c r="E37" s="32"/>
      <c r="F37" s="32"/>
      <c r="G37" s="32"/>
      <c r="H37" s="32"/>
      <c r="I37" s="32"/>
      <c r="J37" s="32"/>
      <c r="K37" s="33">
        <v>42.79</v>
      </c>
      <c r="L37" s="33">
        <v>30.8</v>
      </c>
      <c r="M37" s="33">
        <v>82.49</v>
      </c>
      <c r="N37" s="36">
        <f>83.39+5.84</f>
        <v>89.23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1732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3">
        <v>71.5</v>
      </c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1733</v>
      </c>
      <c r="E39" s="32"/>
      <c r="F39" s="32"/>
      <c r="G39" s="32"/>
      <c r="H39" s="32"/>
      <c r="I39" s="32"/>
      <c r="J39" s="32"/>
      <c r="K39" s="32"/>
      <c r="L39" s="32"/>
      <c r="M39" s="33">
        <v>82.64</v>
      </c>
      <c r="N39" s="33">
        <v>30.8</v>
      </c>
      <c r="O39" s="33">
        <v>30.8</v>
      </c>
      <c r="P39" s="33">
        <v>88.91</v>
      </c>
      <c r="Q39" s="33">
        <v>91.68</v>
      </c>
      <c r="R39" s="33">
        <v>69.49</v>
      </c>
      <c r="S39" s="33">
        <v>59.31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1734</v>
      </c>
      <c r="E40" s="32"/>
      <c r="F40" s="32"/>
      <c r="G40" s="32"/>
      <c r="H40" s="32"/>
      <c r="I40" s="32"/>
      <c r="J40" s="32"/>
      <c r="K40" s="32"/>
      <c r="L40" s="32"/>
      <c r="M40" s="33">
        <v>69.55</v>
      </c>
      <c r="N40" s="33">
        <v>83.39</v>
      </c>
      <c r="O40" s="33">
        <v>29.72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1735</v>
      </c>
      <c r="E41" s="32"/>
      <c r="F41" s="32"/>
      <c r="G41" s="32"/>
      <c r="H41" s="32"/>
      <c r="I41" s="32"/>
      <c r="J41" s="32"/>
      <c r="K41" s="32"/>
      <c r="L41" s="32"/>
      <c r="M41" s="33">
        <v>152.59</v>
      </c>
      <c r="N41" s="33">
        <v>30.8</v>
      </c>
      <c r="O41" s="33">
        <v>37.7</v>
      </c>
      <c r="P41" s="33">
        <v>133.24</v>
      </c>
      <c r="Q41" s="33">
        <v>36.67</v>
      </c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1736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>
        <v>176.82</v>
      </c>
      <c r="P42" s="33">
        <v>30.8</v>
      </c>
      <c r="Q42" s="33">
        <v>34.3</v>
      </c>
      <c r="R42" s="33">
        <v>57.62</v>
      </c>
      <c r="S42" s="33">
        <v>58.89</v>
      </c>
      <c r="T42" s="33">
        <v>64.34</v>
      </c>
      <c r="U42" s="33">
        <v>103.5</v>
      </c>
      <c r="V42" s="33">
        <v>30.8</v>
      </c>
      <c r="W42" s="33">
        <v>33.38</v>
      </c>
      <c r="X42" s="33">
        <v>93.23</v>
      </c>
      <c r="Y42" s="33">
        <v>106.73</v>
      </c>
      <c r="Z42" s="33">
        <v>129.94</v>
      </c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1737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3">
        <v>130.38</v>
      </c>
      <c r="P43" s="33">
        <v>32.87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1738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3">
        <v>108.05</v>
      </c>
      <c r="P44" s="33">
        <v>76.03</v>
      </c>
      <c r="Q44" s="33">
        <v>71.19</v>
      </c>
      <c r="R44" s="33">
        <v>49.84</v>
      </c>
      <c r="S44" s="33">
        <v>36.54</v>
      </c>
      <c r="T44" s="33">
        <v>30.8</v>
      </c>
      <c r="U44" s="33">
        <v>105.49</v>
      </c>
      <c r="V44" s="33">
        <v>37.97</v>
      </c>
      <c r="W44" s="33">
        <v>30.8</v>
      </c>
      <c r="X44" s="33">
        <v>54.09</v>
      </c>
      <c r="Y44" s="33">
        <v>75.14</v>
      </c>
      <c r="Z44" s="33">
        <v>67.92</v>
      </c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1739</v>
      </c>
      <c r="E45" s="32"/>
      <c r="F45" s="32"/>
      <c r="G45" s="32"/>
      <c r="H45" s="32"/>
      <c r="I45" s="32"/>
      <c r="J45" s="32"/>
      <c r="K45" s="32"/>
      <c r="L45" s="32"/>
      <c r="M45" s="32"/>
      <c r="N45" s="33">
        <v>95.66</v>
      </c>
      <c r="O45" s="33">
        <v>138.55</v>
      </c>
      <c r="P45" s="33">
        <v>105.14</v>
      </c>
      <c r="Q45" s="33">
        <v>84.63</v>
      </c>
      <c r="R45" s="33">
        <v>63.27</v>
      </c>
      <c r="S45" s="33">
        <v>55.34</v>
      </c>
      <c r="T45" s="33">
        <v>47.31</v>
      </c>
      <c r="U45" s="33">
        <v>91.87</v>
      </c>
      <c r="V45" s="33">
        <v>50.96</v>
      </c>
      <c r="W45" s="33">
        <v>65.46</v>
      </c>
      <c r="X45" s="33">
        <v>96.04</v>
      </c>
      <c r="Y45" s="33">
        <v>126.46</v>
      </c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1740</v>
      </c>
      <c r="E46" s="32"/>
      <c r="F46" s="32"/>
      <c r="G46" s="32"/>
      <c r="H46" s="32"/>
      <c r="I46" s="32"/>
      <c r="J46" s="32"/>
      <c r="K46" s="32"/>
      <c r="L46" s="32"/>
      <c r="M46" s="32"/>
      <c r="N46" s="33">
        <v>113.63</v>
      </c>
      <c r="O46" s="33">
        <v>76.76</v>
      </c>
      <c r="P46" s="33">
        <v>109.49</v>
      </c>
      <c r="Q46" s="33">
        <v>68.93</v>
      </c>
      <c r="R46" s="33">
        <v>44.77</v>
      </c>
      <c r="S46" s="33">
        <v>34.13</v>
      </c>
      <c r="T46" s="33">
        <v>48.32</v>
      </c>
      <c r="U46" s="33">
        <v>132.74</v>
      </c>
      <c r="V46" s="33">
        <v>9.5</v>
      </c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1741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3">
        <v>95.12</v>
      </c>
      <c r="Q47" s="33">
        <v>55.78</v>
      </c>
      <c r="R47" s="33">
        <v>38.95</v>
      </c>
      <c r="S47" s="33">
        <v>85.83</v>
      </c>
      <c r="T47" s="33">
        <v>110.87</v>
      </c>
      <c r="U47" s="33">
        <v>93.7</v>
      </c>
      <c r="V47" s="33">
        <v>43.07</v>
      </c>
      <c r="W47" s="33">
        <v>42.9</v>
      </c>
      <c r="X47" s="33">
        <v>53.78</v>
      </c>
      <c r="Y47" s="33">
        <v>82.05</v>
      </c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1742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3">
        <v>71.34</v>
      </c>
      <c r="Q48" s="33">
        <v>36.97</v>
      </c>
      <c r="R48" s="33">
        <v>73.17</v>
      </c>
      <c r="S48" s="33">
        <v>49.84</v>
      </c>
      <c r="T48" s="33">
        <v>30.8</v>
      </c>
      <c r="U48" s="33">
        <v>164.87</v>
      </c>
      <c r="V48" s="33">
        <v>39.79</v>
      </c>
      <c r="W48" s="36">
        <f>54.27+29.65</f>
        <v>83.92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1743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3">
        <v>71.34</v>
      </c>
      <c r="Q49" s="33">
        <v>61.28</v>
      </c>
      <c r="R49" s="33">
        <v>47.58</v>
      </c>
      <c r="S49" s="33">
        <v>41.65</v>
      </c>
      <c r="T49" s="33">
        <v>39.01</v>
      </c>
      <c r="U49" s="33">
        <v>52.56</v>
      </c>
      <c r="V49" s="33">
        <v>31.71</v>
      </c>
      <c r="W49" s="33">
        <v>31.08</v>
      </c>
      <c r="X49" s="36">
        <f>51.78+25.67</f>
        <v>77.45</v>
      </c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1744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3">
        <v>106.28</v>
      </c>
      <c r="R50" s="33">
        <v>47.72</v>
      </c>
      <c r="S50" s="33">
        <v>40.82</v>
      </c>
      <c r="T50" s="33">
        <v>30.8</v>
      </c>
      <c r="U50" s="33">
        <v>54.57</v>
      </c>
      <c r="V50" s="33">
        <v>30.8</v>
      </c>
      <c r="W50" s="33">
        <v>30.8</v>
      </c>
      <c r="X50" s="33">
        <v>34.19</v>
      </c>
      <c r="Y50" s="33">
        <v>59.19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1745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3">
        <v>88.8</v>
      </c>
      <c r="T51" s="33">
        <v>30.8</v>
      </c>
      <c r="U51" s="33">
        <v>98.54</v>
      </c>
      <c r="V51" s="33">
        <v>106.48</v>
      </c>
      <c r="W51" s="33">
        <v>108.54</v>
      </c>
      <c r="X51" s="33">
        <v>175.48</v>
      </c>
      <c r="Y51" s="33">
        <v>195.46</v>
      </c>
      <c r="Z51" s="33">
        <v>201.5</v>
      </c>
      <c r="AA51" s="32"/>
      <c r="AB51" s="32"/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1746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3">
        <v>88.8</v>
      </c>
      <c r="T52" s="33">
        <v>35.04</v>
      </c>
      <c r="U52" s="33">
        <v>121.37</v>
      </c>
      <c r="V52" s="33">
        <v>30.8</v>
      </c>
      <c r="W52" s="33">
        <v>30.8</v>
      </c>
      <c r="X52" s="33">
        <v>48.5</v>
      </c>
      <c r="Y52" s="33">
        <v>80.08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1747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3">
        <v>88.8</v>
      </c>
      <c r="Y53" s="33">
        <v>64.78</v>
      </c>
      <c r="Z53" s="33">
        <v>67.59</v>
      </c>
      <c r="AA53" s="32"/>
      <c r="AB53" s="32"/>
      <c r="AC53" s="32"/>
      <c r="AD53" s="32"/>
      <c r="AE53" s="32"/>
      <c r="AF53" s="32"/>
      <c r="AG53" s="32"/>
      <c r="AH53" s="32"/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1748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3">
        <v>104.04</v>
      </c>
      <c r="Z54" s="33">
        <v>25.49</v>
      </c>
      <c r="AA54" s="32"/>
      <c r="AB54" s="32"/>
      <c r="AC54" s="32"/>
      <c r="AD54" s="32"/>
      <c r="AE54" s="32"/>
      <c r="AF54" s="32"/>
      <c r="AG54" s="32"/>
      <c r="AH54" s="32"/>
      <c r="AI54" s="32"/>
      <c r="AJ54" s="34">
        <f>SUM(E54:AI54)</f>
      </c>
      <c r="AK54" s="35"/>
    </row>
    <row r="55" ht="12.75" customHeight="1" spans="2:37" x14ac:dyDescent="0.25">
      <c r="B55" s="37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40"/>
    </row>
    <row r="56" ht="12.75" customHeight="1" spans="2:37" x14ac:dyDescent="0.25">
      <c r="B56" s="20" t="s">
        <v>85</v>
      </c>
      <c r="C56" s="21"/>
      <c r="D56" s="21"/>
      <c r="E56" s="22">
        <f>SUM(E13:E54)</f>
      </c>
      <c r="F56" s="22">
        <f>SUM(F13:F54)</f>
      </c>
      <c r="G56" s="22">
        <f>SUM(G13:G54)</f>
      </c>
      <c r="H56" s="22">
        <f>SUM(H13:H54)</f>
      </c>
      <c r="I56" s="22">
        <f>SUM(I13:I54)</f>
      </c>
      <c r="J56" s="22">
        <f>SUM(J13:J54)</f>
      </c>
      <c r="K56" s="22">
        <f>SUM(K13:K54)</f>
      </c>
      <c r="L56" s="22">
        <f>SUM(L13:L54)</f>
      </c>
      <c r="M56" s="22">
        <f>SUM(M13:M54)</f>
      </c>
      <c r="N56" s="22">
        <f>SUM(N13:N54)</f>
      </c>
      <c r="O56" s="22">
        <f>SUM(O13:O54)</f>
      </c>
      <c r="P56" s="22">
        <f>SUM(P13:P54)</f>
      </c>
      <c r="Q56" s="22">
        <f>SUM(Q13:Q54)</f>
      </c>
      <c r="R56" s="22">
        <f>SUM(R13:R54)</f>
      </c>
      <c r="S56" s="22">
        <f>SUM(S13:S54)</f>
      </c>
      <c r="T56" s="22">
        <f>SUM(T13:T54)</f>
      </c>
      <c r="U56" s="22">
        <f>SUM(U13:U54)</f>
      </c>
      <c r="V56" s="22">
        <f>SUM(V13:V54)</f>
      </c>
      <c r="W56" s="22">
        <f>SUM(W13:W54)</f>
      </c>
      <c r="X56" s="22">
        <f>SUM(X13:X54)</f>
      </c>
      <c r="Y56" s="22">
        <f>SUM(Y13:Y54)</f>
      </c>
      <c r="Z56" s="22">
        <f>SUM(Z13:Z54)</f>
      </c>
      <c r="AA56" s="22">
        <f>SUM(AA13:AA54)</f>
      </c>
      <c r="AB56" s="22">
        <f>SUM(AB13:AB54)</f>
      </c>
      <c r="AC56" s="22">
        <f>SUM(AC13:AC54)</f>
      </c>
      <c r="AD56" s="22">
        <f>SUM(AD13:AD54)</f>
      </c>
      <c r="AE56" s="22">
        <f>SUM(AE13:AE54)</f>
      </c>
      <c r="AF56" s="22">
        <f>SUM(AF13:AF54)</f>
      </c>
      <c r="AG56" s="22">
        <f>SUM(AG13:AG54)</f>
      </c>
      <c r="AH56" s="22">
        <f>SUM(AH13:AH54)</f>
      </c>
      <c r="AI56" s="22">
        <f>SUM(AI13:AI54)</f>
      </c>
      <c r="AJ56" s="22">
        <f>SUM(AJ13:AJ54)</f>
      </c>
      <c r="AK56" s="23"/>
    </row>
    <row r="58" ht="12.75" customHeight="1" spans="2:37" x14ac:dyDescent="0.25">
      <c r="B58" s="26" t="s">
        <v>43</v>
      </c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9"/>
    </row>
    <row r="59" ht="12.75" customHeight="1" spans="2:37" x14ac:dyDescent="0.25">
      <c r="B59" s="37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40"/>
    </row>
    <row r="60" ht="12.75" customHeight="1" spans="2:37" x14ac:dyDescent="0.25">
      <c r="B60" s="20" t="s">
        <v>89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3"/>
    </row>
    <row r="62" ht="12.75" customHeight="1" spans="2:37" x14ac:dyDescent="0.25">
      <c r="B62" s="26" t="s">
        <v>44</v>
      </c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9"/>
    </row>
    <row r="63" ht="12.75" customHeight="1" spans="2:37" x14ac:dyDescent="0.25">
      <c r="B63" s="37"/>
      <c r="C63" s="3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40"/>
    </row>
    <row r="64" ht="12.75" customHeight="1" spans="2:37" x14ac:dyDescent="0.25">
      <c r="B64" s="20" t="s">
        <v>90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3"/>
    </row>
    <row r="67" ht="12.75" customHeight="1" spans="2:37" x14ac:dyDescent="0.25">
      <c r="B67" s="11" t="s">
        <v>40</v>
      </c>
      <c r="C67" s="12"/>
      <c r="D67" s="13"/>
      <c r="E67" s="14" t="s">
        <v>7</v>
      </c>
      <c r="F67" s="14" t="s">
        <v>8</v>
      </c>
      <c r="G67" s="14" t="s">
        <v>9</v>
      </c>
      <c r="H67" s="14" t="s">
        <v>10</v>
      </c>
      <c r="I67" s="14" t="s">
        <v>11</v>
      </c>
      <c r="J67" s="14" t="s">
        <v>12</v>
      </c>
      <c r="K67" s="14" t="s">
        <v>13</v>
      </c>
      <c r="L67" s="14" t="s">
        <v>14</v>
      </c>
      <c r="M67" s="14" t="s">
        <v>15</v>
      </c>
      <c r="N67" s="14" t="s">
        <v>16</v>
      </c>
      <c r="O67" s="14" t="s">
        <v>17</v>
      </c>
      <c r="P67" s="14" t="s">
        <v>18</v>
      </c>
      <c r="Q67" s="14" t="s">
        <v>19</v>
      </c>
      <c r="R67" s="14" t="s">
        <v>20</v>
      </c>
      <c r="S67" s="14" t="s">
        <v>21</v>
      </c>
      <c r="T67" s="14" t="s">
        <v>22</v>
      </c>
      <c r="U67" s="14" t="s">
        <v>23</v>
      </c>
      <c r="V67" s="14" t="s">
        <v>24</v>
      </c>
      <c r="W67" s="14" t="s">
        <v>25</v>
      </c>
      <c r="X67" s="14" t="s">
        <v>26</v>
      </c>
      <c r="Y67" s="14" t="s">
        <v>27</v>
      </c>
      <c r="Z67" s="14" t="s">
        <v>28</v>
      </c>
      <c r="AA67" s="14" t="s">
        <v>29</v>
      </c>
      <c r="AB67" s="14" t="s">
        <v>30</v>
      </c>
      <c r="AC67" s="14" t="s">
        <v>31</v>
      </c>
      <c r="AD67" s="14" t="s">
        <v>32</v>
      </c>
      <c r="AE67" s="14" t="s">
        <v>33</v>
      </c>
      <c r="AF67" s="14" t="s">
        <v>34</v>
      </c>
      <c r="AG67" s="14" t="s">
        <v>35</v>
      </c>
      <c r="AH67" s="14" t="s">
        <v>36</v>
      </c>
      <c r="AI67" s="14" t="s">
        <v>37</v>
      </c>
      <c r="AJ67" s="14" t="s">
        <v>38</v>
      </c>
      <c r="AK67" s="15"/>
    </row>
    <row r="68" ht="12.75" customHeight="1" spans="2:37" x14ac:dyDescent="0.25">
      <c r="B68" s="16" t="s">
        <v>41</v>
      </c>
      <c r="C68" s="17"/>
      <c r="D68" s="17"/>
      <c r="E68" s="18">
        <f>E10</f>
      </c>
      <c r="F68" s="18">
        <f>F10</f>
      </c>
      <c r="G68" s="18">
        <f>G10</f>
      </c>
      <c r="H68" s="18">
        <f>H10</f>
      </c>
      <c r="I68" s="18">
        <f>I10</f>
      </c>
      <c r="J68" s="18">
        <f>J10</f>
      </c>
      <c r="K68" s="18">
        <f>K10</f>
      </c>
      <c r="L68" s="18">
        <f>L10</f>
      </c>
      <c r="M68" s="18">
        <f>M10</f>
      </c>
      <c r="N68" s="18">
        <f>N10</f>
      </c>
      <c r="O68" s="18">
        <f>O10</f>
      </c>
      <c r="P68" s="18">
        <f>P10</f>
      </c>
      <c r="Q68" s="18">
        <f>Q10</f>
      </c>
      <c r="R68" s="18">
        <f>R10</f>
      </c>
      <c r="S68" s="18">
        <f>S10</f>
      </c>
      <c r="T68" s="18">
        <f>T10</f>
      </c>
      <c r="U68" s="18">
        <f>U10</f>
      </c>
      <c r="V68" s="18">
        <f>V10</f>
      </c>
      <c r="W68" s="18">
        <f>W10</f>
      </c>
      <c r="X68" s="18">
        <f>X10</f>
      </c>
      <c r="Y68" s="18">
        <f>Y10</f>
      </c>
      <c r="Z68" s="18">
        <f>Z10</f>
      </c>
      <c r="AA68" s="18">
        <f>AA10</f>
      </c>
      <c r="AB68" s="18">
        <f>AB10</f>
      </c>
      <c r="AC68" s="18">
        <f>AC10</f>
      </c>
      <c r="AD68" s="18">
        <f>AD10</f>
      </c>
      <c r="AE68" s="18">
        <f>AE10</f>
      </c>
      <c r="AF68" s="18">
        <f>AF10</f>
      </c>
      <c r="AG68" s="18">
        <f>AG10</f>
      </c>
      <c r="AH68" s="18">
        <f>AH10</f>
      </c>
      <c r="AI68" s="18">
        <f>AI10</f>
      </c>
      <c r="AJ68" s="18">
        <f>AJ10</f>
      </c>
      <c r="AK68" s="19"/>
    </row>
    <row r="69" ht="12.75" customHeight="1" spans="2:37" x14ac:dyDescent="0.25">
      <c r="B69" s="16" t="s">
        <v>42</v>
      </c>
      <c r="C69" s="17"/>
      <c r="D69" s="17"/>
      <c r="E69" s="18">
        <f>E56</f>
      </c>
      <c r="F69" s="18">
        <f>F56</f>
      </c>
      <c r="G69" s="18">
        <f>G56</f>
      </c>
      <c r="H69" s="18">
        <f>H56</f>
      </c>
      <c r="I69" s="18">
        <f>I56</f>
      </c>
      <c r="J69" s="18">
        <f>J56</f>
      </c>
      <c r="K69" s="18">
        <f>K56</f>
      </c>
      <c r="L69" s="18">
        <f>L56</f>
      </c>
      <c r="M69" s="18">
        <f>M56</f>
      </c>
      <c r="N69" s="18">
        <f>N56</f>
      </c>
      <c r="O69" s="18">
        <f>O56</f>
      </c>
      <c r="P69" s="18">
        <f>P56</f>
      </c>
      <c r="Q69" s="18">
        <f>Q56</f>
      </c>
      <c r="R69" s="18">
        <f>R56</f>
      </c>
      <c r="S69" s="18">
        <f>S56</f>
      </c>
      <c r="T69" s="18">
        <f>T56</f>
      </c>
      <c r="U69" s="18">
        <f>U56</f>
      </c>
      <c r="V69" s="18">
        <f>V56</f>
      </c>
      <c r="W69" s="18">
        <f>W56</f>
      </c>
      <c r="X69" s="18">
        <f>X56</f>
      </c>
      <c r="Y69" s="18">
        <f>Y56</f>
      </c>
      <c r="Z69" s="18">
        <f>Z56</f>
      </c>
      <c r="AA69" s="18">
        <f>AA56</f>
      </c>
      <c r="AB69" s="18">
        <f>AB56</f>
      </c>
      <c r="AC69" s="18">
        <f>AC56</f>
      </c>
      <c r="AD69" s="18">
        <f>AD56</f>
      </c>
      <c r="AE69" s="18">
        <f>AE56</f>
      </c>
      <c r="AF69" s="18">
        <f>AF56</f>
      </c>
      <c r="AG69" s="18">
        <f>AG56</f>
      </c>
      <c r="AH69" s="18">
        <f>AH56</f>
      </c>
      <c r="AI69" s="18">
        <f>AI56</f>
      </c>
      <c r="AJ69" s="18">
        <f>AJ56</f>
      </c>
      <c r="AK69" s="19"/>
    </row>
    <row r="70" ht="12.75" customHeight="1" spans="2:37" x14ac:dyDescent="0.25">
      <c r="B70" s="16" t="s">
        <v>43</v>
      </c>
      <c r="C70" s="17"/>
      <c r="D70" s="17"/>
      <c r="E70" s="18">
        <f>E60</f>
      </c>
      <c r="F70" s="18">
        <f>F60</f>
      </c>
      <c r="G70" s="18">
        <f>G60</f>
      </c>
      <c r="H70" s="18">
        <f>H60</f>
      </c>
      <c r="I70" s="18">
        <f>I60</f>
      </c>
      <c r="J70" s="18">
        <f>J60</f>
      </c>
      <c r="K70" s="18">
        <f>K60</f>
      </c>
      <c r="L70" s="18">
        <f>L60</f>
      </c>
      <c r="M70" s="18">
        <f>M60</f>
      </c>
      <c r="N70" s="18">
        <f>N60</f>
      </c>
      <c r="O70" s="18">
        <f>O60</f>
      </c>
      <c r="P70" s="18">
        <f>P60</f>
      </c>
      <c r="Q70" s="18">
        <f>Q60</f>
      </c>
      <c r="R70" s="18">
        <f>R60</f>
      </c>
      <c r="S70" s="18">
        <f>S60</f>
      </c>
      <c r="T70" s="18">
        <f>T60</f>
      </c>
      <c r="U70" s="18">
        <f>U60</f>
      </c>
      <c r="V70" s="18">
        <f>V60</f>
      </c>
      <c r="W70" s="18">
        <f>W60</f>
      </c>
      <c r="X70" s="18">
        <f>X60</f>
      </c>
      <c r="Y70" s="18">
        <f>Y60</f>
      </c>
      <c r="Z70" s="18">
        <f>Z60</f>
      </c>
      <c r="AA70" s="18">
        <f>AA60</f>
      </c>
      <c r="AB70" s="18">
        <f>AB60</f>
      </c>
      <c r="AC70" s="18">
        <f>AC60</f>
      </c>
      <c r="AD70" s="18">
        <f>AD60</f>
      </c>
      <c r="AE70" s="18">
        <f>AE60</f>
      </c>
      <c r="AF70" s="18">
        <f>AF60</f>
      </c>
      <c r="AG70" s="18">
        <f>AG60</f>
      </c>
      <c r="AH70" s="18">
        <f>AH60</f>
      </c>
      <c r="AI70" s="18">
        <f>AI60</f>
      </c>
      <c r="AJ70" s="18">
        <f>AJ60</f>
      </c>
      <c r="AK70" s="19"/>
    </row>
    <row r="71" ht="12.75" customHeight="1" spans="2:37" x14ac:dyDescent="0.25">
      <c r="B71" s="16" t="s">
        <v>44</v>
      </c>
      <c r="C71" s="17"/>
      <c r="D71" s="17"/>
      <c r="E71" s="18">
        <f>E64</f>
      </c>
      <c r="F71" s="18">
        <f>F64</f>
      </c>
      <c r="G71" s="18">
        <f>G64</f>
      </c>
      <c r="H71" s="18">
        <f>H64</f>
      </c>
      <c r="I71" s="18">
        <f>I64</f>
      </c>
      <c r="J71" s="18">
        <f>J64</f>
      </c>
      <c r="K71" s="18">
        <f>K64</f>
      </c>
      <c r="L71" s="18">
        <f>L64</f>
      </c>
      <c r="M71" s="18">
        <f>M64</f>
      </c>
      <c r="N71" s="18">
        <f>N64</f>
      </c>
      <c r="O71" s="18">
        <f>O64</f>
      </c>
      <c r="P71" s="18">
        <f>P64</f>
      </c>
      <c r="Q71" s="18">
        <f>Q64</f>
      </c>
      <c r="R71" s="18">
        <f>R64</f>
      </c>
      <c r="S71" s="18">
        <f>S64</f>
      </c>
      <c r="T71" s="18">
        <f>T64</f>
      </c>
      <c r="U71" s="18">
        <f>U64</f>
      </c>
      <c r="V71" s="18">
        <f>V64</f>
      </c>
      <c r="W71" s="18">
        <f>W64</f>
      </c>
      <c r="X71" s="18">
        <f>X64</f>
      </c>
      <c r="Y71" s="18">
        <f>Y64</f>
      </c>
      <c r="Z71" s="18">
        <f>Z64</f>
      </c>
      <c r="AA71" s="18">
        <f>AA64</f>
      </c>
      <c r="AB71" s="18">
        <f>AB64</f>
      </c>
      <c r="AC71" s="18">
        <f>AC64</f>
      </c>
      <c r="AD71" s="18">
        <f>AD64</f>
      </c>
      <c r="AE71" s="18">
        <f>AE64</f>
      </c>
      <c r="AF71" s="18">
        <f>AF64</f>
      </c>
      <c r="AG71" s="18">
        <f>AG64</f>
      </c>
      <c r="AH71" s="18">
        <f>AH64</f>
      </c>
      <c r="AI71" s="18">
        <f>AI64</f>
      </c>
      <c r="AJ71" s="18">
        <f>AJ64</f>
      </c>
      <c r="AK71" s="19"/>
    </row>
    <row r="72" ht="12.75" customHeight="1" spans="2:37" x14ac:dyDescent="0.25">
      <c r="B72" s="20" t="s">
        <v>45</v>
      </c>
      <c r="C72" s="21"/>
      <c r="D72" s="21"/>
      <c r="E72" s="22">
        <f>E68+E69+E70+E71</f>
      </c>
      <c r="F72" s="22">
        <f>F68+F69+F70+F71</f>
      </c>
      <c r="G72" s="22">
        <f>G68+G69+G70+G71</f>
      </c>
      <c r="H72" s="22">
        <f>H68+H69+H70+H71</f>
      </c>
      <c r="I72" s="22">
        <f>I68+I69+I70+I71</f>
      </c>
      <c r="J72" s="22">
        <f>J68+J69+J70+J71</f>
      </c>
      <c r="K72" s="22">
        <f>K68+K69+K70+K71</f>
      </c>
      <c r="L72" s="22">
        <f>L68+L69+L70+L71</f>
      </c>
      <c r="M72" s="22">
        <f>M68+M69+M70+M71</f>
      </c>
      <c r="N72" s="22">
        <f>N68+N69+N70+N71</f>
      </c>
      <c r="O72" s="22">
        <f>O68+O69+O70+O71</f>
      </c>
      <c r="P72" s="22">
        <f>P68+P69+P70+P71</f>
      </c>
      <c r="Q72" s="22">
        <f>Q68+Q69+Q70+Q71</f>
      </c>
      <c r="R72" s="22">
        <f>R68+R69+R70+R71</f>
      </c>
      <c r="S72" s="22">
        <f>S68+S69+S70+S71</f>
      </c>
      <c r="T72" s="22">
        <f>T68+T69+T70+T71</f>
      </c>
      <c r="U72" s="22">
        <f>U68+U69+U70+U71</f>
      </c>
      <c r="V72" s="22">
        <f>V68+V69+V70+V71</f>
      </c>
      <c r="W72" s="22">
        <f>W68+W69+W70+W71</f>
      </c>
      <c r="X72" s="22">
        <f>X68+X69+X70+X71</f>
      </c>
      <c r="Y72" s="22">
        <f>Y68+Y69+Y70+Y71</f>
      </c>
      <c r="Z72" s="22">
        <f>Z68+Z69+Z70+Z71</f>
      </c>
      <c r="AA72" s="22">
        <f>AA68+AA69+AA70+AA71</f>
      </c>
      <c r="AB72" s="22">
        <f>AB68+AB69+AB70+AB71</f>
      </c>
      <c r="AC72" s="22">
        <f>AC68+AC69+AC70+AC71</f>
      </c>
      <c r="AD72" s="22">
        <f>AD68+AD69+AD70+AD71</f>
      </c>
      <c r="AE72" s="22">
        <f>AE68+AE69+AE70+AE71</f>
      </c>
      <c r="AF72" s="22">
        <f>AF68+AF69+AF70+AF71</f>
      </c>
      <c r="AG72" s="22">
        <f>AG68+AG69+AG70+AG71</f>
      </c>
      <c r="AH72" s="22">
        <f>AH68+AH69+AH70+AH71</f>
      </c>
      <c r="AI72" s="22">
        <f>AI68+AI69+AI70+AI71</f>
      </c>
      <c r="AJ72" s="22">
        <f>AJ68+AJ69+AJ70+AJ71</f>
      </c>
      <c r="AK72" s="23"/>
    </row>
    <row r="74" ht="12.75" customHeight="1" spans="2:37" x14ac:dyDescent="0.25">
      <c r="B74" s="11" t="s">
        <v>46</v>
      </c>
      <c r="C74" s="12"/>
      <c r="D74" s="13"/>
      <c r="E74" s="14" t="s">
        <v>7</v>
      </c>
      <c r="F74" s="14" t="s">
        <v>8</v>
      </c>
      <c r="G74" s="14" t="s">
        <v>9</v>
      </c>
      <c r="H74" s="14" t="s">
        <v>10</v>
      </c>
      <c r="I74" s="14" t="s">
        <v>11</v>
      </c>
      <c r="J74" s="14" t="s">
        <v>12</v>
      </c>
      <c r="K74" s="14" t="s">
        <v>13</v>
      </c>
      <c r="L74" s="14" t="s">
        <v>14</v>
      </c>
      <c r="M74" s="14" t="s">
        <v>15</v>
      </c>
      <c r="N74" s="14" t="s">
        <v>16</v>
      </c>
      <c r="O74" s="14" t="s">
        <v>17</v>
      </c>
      <c r="P74" s="14" t="s">
        <v>18</v>
      </c>
      <c r="Q74" s="14" t="s">
        <v>19</v>
      </c>
      <c r="R74" s="14" t="s">
        <v>20</v>
      </c>
      <c r="S74" s="14" t="s">
        <v>21</v>
      </c>
      <c r="T74" s="14" t="s">
        <v>22</v>
      </c>
      <c r="U74" s="14" t="s">
        <v>23</v>
      </c>
      <c r="V74" s="14" t="s">
        <v>24</v>
      </c>
      <c r="W74" s="14" t="s">
        <v>25</v>
      </c>
      <c r="X74" s="14" t="s">
        <v>26</v>
      </c>
      <c r="Y74" s="14" t="s">
        <v>27</v>
      </c>
      <c r="Z74" s="14" t="s">
        <v>28</v>
      </c>
      <c r="AA74" s="14" t="s">
        <v>29</v>
      </c>
      <c r="AB74" s="14" t="s">
        <v>30</v>
      </c>
      <c r="AC74" s="14" t="s">
        <v>31</v>
      </c>
      <c r="AD74" s="14" t="s">
        <v>32</v>
      </c>
      <c r="AE74" s="14" t="s">
        <v>33</v>
      </c>
      <c r="AF74" s="14" t="s">
        <v>34</v>
      </c>
      <c r="AG74" s="14" t="s">
        <v>35</v>
      </c>
      <c r="AH74" s="14" t="s">
        <v>36</v>
      </c>
      <c r="AI74" s="14" t="s">
        <v>37</v>
      </c>
      <c r="AJ74" s="14" t="s">
        <v>38</v>
      </c>
      <c r="AK74" s="15"/>
    </row>
    <row r="75" ht="12.75" customHeight="1" spans="2:37" x14ac:dyDescent="0.25">
      <c r="B75" s="16" t="s">
        <v>41</v>
      </c>
      <c r="C75" s="17"/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9"/>
    </row>
    <row r="76" ht="12.75" customHeight="1" spans="2:37" x14ac:dyDescent="0.25">
      <c r="B76" s="16" t="s">
        <v>42</v>
      </c>
      <c r="C76" s="17"/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 ht="12.75" customHeight="1" spans="2:37" x14ac:dyDescent="0.25">
      <c r="B77" s="16" t="s">
        <v>43</v>
      </c>
      <c r="C77" s="17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 ht="12.75" customHeight="1" spans="2:37" x14ac:dyDescent="0.25">
      <c r="B78" s="16" t="s">
        <v>44</v>
      </c>
      <c r="C78" s="17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9"/>
    </row>
    <row r="79" ht="12.75" customHeight="1" spans="2:37" x14ac:dyDescent="0.25">
      <c r="B79" s="20" t="s">
        <v>45</v>
      </c>
      <c r="C79" s="21"/>
      <c r="D79" s="21"/>
      <c r="E79" s="22">
        <f>E75+E76+E77+E78</f>
      </c>
      <c r="F79" s="22">
        <f>F75+F76+F77+F78</f>
      </c>
      <c r="G79" s="22">
        <f>G75+G76+G77+G78</f>
      </c>
      <c r="H79" s="22">
        <f>H75+H76+H77+H78</f>
      </c>
      <c r="I79" s="22">
        <f>I75+I76+I77+I78</f>
      </c>
      <c r="J79" s="22">
        <f>J75+J76+J77+J78</f>
      </c>
      <c r="K79" s="22">
        <f>K75+K76+K77+K78</f>
      </c>
      <c r="L79" s="22">
        <f>L75+L76+L77+L78</f>
      </c>
      <c r="M79" s="22">
        <f>M75+M76+M77+M78</f>
      </c>
      <c r="N79" s="22">
        <f>N75+N76+N77+N78</f>
      </c>
      <c r="O79" s="22">
        <f>O75+O76+O77+O78</f>
      </c>
      <c r="P79" s="22">
        <f>P75+P76+P77+P78</f>
      </c>
      <c r="Q79" s="22">
        <f>Q75+Q76+Q77+Q78</f>
      </c>
      <c r="R79" s="22">
        <f>R75+R76+R77+R78</f>
      </c>
      <c r="S79" s="22">
        <f>S75+S76+S77+S78</f>
      </c>
      <c r="T79" s="22">
        <f>T75+T76+T77+T78</f>
      </c>
      <c r="U79" s="22">
        <f>U75+U76+U77+U78</f>
      </c>
      <c r="V79" s="22">
        <f>V75+V76+V77+V78</f>
      </c>
      <c r="W79" s="22">
        <f>W75+W76+W77+W78</f>
      </c>
      <c r="X79" s="22">
        <f>X75+X76+X77+X78</f>
      </c>
      <c r="Y79" s="22">
        <f>Y75+Y76+Y77+Y78</f>
      </c>
      <c r="Z79" s="22">
        <f>Z75+Z76+Z77+Z78</f>
      </c>
      <c r="AA79" s="22">
        <f>AA75+AA76+AA77+AA78</f>
      </c>
      <c r="AB79" s="22">
        <f>AB75+AB76+AB77+AB78</f>
      </c>
      <c r="AC79" s="22">
        <f>AC75+AC76+AC77+AC78</f>
      </c>
      <c r="AD79" s="22">
        <f>AD75+AD76+AD77+AD78</f>
      </c>
      <c r="AE79" s="22">
        <f>AE75+AE76+AE77+AE78</f>
      </c>
      <c r="AF79" s="22">
        <f>AF75+AF76+AF77+AF78</f>
      </c>
      <c r="AG79" s="22">
        <f>AG75+AG76+AG77+AG78</f>
      </c>
      <c r="AH79" s="22">
        <f>AH75+AH76+AH77+AH78</f>
      </c>
      <c r="AI79" s="22">
        <f>AI75+AI76+AI77+AI78</f>
      </c>
      <c r="AJ79" s="22">
        <f>AJ75+AJ76+AJ77+AJ78</f>
      </c>
      <c r="AK79" s="23"/>
    </row>
    <row r="81" ht="12.75" customHeight="1" spans="2:37" x14ac:dyDescent="0.25">
      <c r="B81" s="11" t="s">
        <v>47</v>
      </c>
      <c r="C81" s="12"/>
      <c r="D81" s="13"/>
      <c r="E81" s="14" t="s">
        <v>7</v>
      </c>
      <c r="F81" s="14" t="s">
        <v>8</v>
      </c>
      <c r="G81" s="14" t="s">
        <v>9</v>
      </c>
      <c r="H81" s="14" t="s">
        <v>10</v>
      </c>
      <c r="I81" s="14" t="s">
        <v>11</v>
      </c>
      <c r="J81" s="14" t="s">
        <v>12</v>
      </c>
      <c r="K81" s="14" t="s">
        <v>13</v>
      </c>
      <c r="L81" s="14" t="s">
        <v>14</v>
      </c>
      <c r="M81" s="14" t="s">
        <v>15</v>
      </c>
      <c r="N81" s="14" t="s">
        <v>16</v>
      </c>
      <c r="O81" s="14" t="s">
        <v>17</v>
      </c>
      <c r="P81" s="14" t="s">
        <v>18</v>
      </c>
      <c r="Q81" s="14" t="s">
        <v>19</v>
      </c>
      <c r="R81" s="14" t="s">
        <v>20</v>
      </c>
      <c r="S81" s="14" t="s">
        <v>21</v>
      </c>
      <c r="T81" s="14" t="s">
        <v>22</v>
      </c>
      <c r="U81" s="14" t="s">
        <v>23</v>
      </c>
      <c r="V81" s="14" t="s">
        <v>24</v>
      </c>
      <c r="W81" s="14" t="s">
        <v>25</v>
      </c>
      <c r="X81" s="14" t="s">
        <v>26</v>
      </c>
      <c r="Y81" s="14" t="s">
        <v>27</v>
      </c>
      <c r="Z81" s="14" t="s">
        <v>28</v>
      </c>
      <c r="AA81" s="14" t="s">
        <v>29</v>
      </c>
      <c r="AB81" s="14" t="s">
        <v>30</v>
      </c>
      <c r="AC81" s="14" t="s">
        <v>31</v>
      </c>
      <c r="AD81" s="14" t="s">
        <v>32</v>
      </c>
      <c r="AE81" s="14" t="s">
        <v>33</v>
      </c>
      <c r="AF81" s="14" t="s">
        <v>34</v>
      </c>
      <c r="AG81" s="14" t="s">
        <v>35</v>
      </c>
      <c r="AH81" s="14" t="s">
        <v>36</v>
      </c>
      <c r="AI81" s="14" t="s">
        <v>37</v>
      </c>
      <c r="AJ81" s="14" t="s">
        <v>38</v>
      </c>
      <c r="AK81" s="15"/>
    </row>
    <row r="82" ht="12.75" customHeight="1" spans="2:37" x14ac:dyDescent="0.25">
      <c r="B82" s="16" t="s">
        <v>41</v>
      </c>
      <c r="C82" s="17"/>
      <c r="D82" s="17"/>
      <c r="E82" s="24">
        <f>E75-E68</f>
      </c>
      <c r="F82" s="24">
        <f>F75-F68</f>
      </c>
      <c r="G82" s="24">
        <f>G75-G68</f>
      </c>
      <c r="H82" s="24">
        <f>H75-H68</f>
      </c>
      <c r="I82" s="24">
        <f>I75-I68</f>
      </c>
      <c r="J82" s="24">
        <f>J75-J68</f>
      </c>
      <c r="K82" s="24">
        <f>K75-K68</f>
      </c>
      <c r="L82" s="24">
        <f>L75-L68</f>
      </c>
      <c r="M82" s="24">
        <f>M75-M68</f>
      </c>
      <c r="N82" s="24">
        <f>N75-N68</f>
      </c>
      <c r="O82" s="24">
        <f>O75-O68</f>
      </c>
      <c r="P82" s="24">
        <f>P75-P68</f>
      </c>
      <c r="Q82" s="24">
        <f>Q75-Q68</f>
      </c>
      <c r="R82" s="24">
        <f>R75-R68</f>
      </c>
      <c r="S82" s="24">
        <f>S75-S68</f>
      </c>
      <c r="T82" s="24">
        <f>T75-T68</f>
      </c>
      <c r="U82" s="24">
        <f>U75-U68</f>
      </c>
      <c r="V82" s="24">
        <f>V75-V68</f>
      </c>
      <c r="W82" s="24">
        <f>W75-W68</f>
      </c>
      <c r="X82" s="24">
        <f>X75-X68</f>
      </c>
      <c r="Y82" s="24">
        <f>Y75-Y68</f>
      </c>
      <c r="Z82" s="24">
        <f>Z75-Z68</f>
      </c>
      <c r="AA82" s="24">
        <f>AA75-AA68</f>
      </c>
      <c r="AB82" s="24">
        <f>AB75-AB68</f>
      </c>
      <c r="AC82" s="24">
        <f>AC75-AC68</f>
      </c>
      <c r="AD82" s="24">
        <f>AD75-AD68</f>
      </c>
      <c r="AE82" s="24">
        <f>AE75-AE68</f>
      </c>
      <c r="AF82" s="24">
        <f>AF75-AF68</f>
      </c>
      <c r="AG82" s="24">
        <f>AG75-AG68</f>
      </c>
      <c r="AH82" s="24">
        <f>AH75-AH68</f>
      </c>
      <c r="AI82" s="24">
        <f>AI75-AI68</f>
      </c>
      <c r="AJ82" s="24">
        <f>AJ75-AJ68</f>
      </c>
      <c r="AK82" s="19"/>
    </row>
    <row r="83" ht="12.75" customHeight="1" spans="2:37" x14ac:dyDescent="0.25">
      <c r="B83" s="16" t="s">
        <v>42</v>
      </c>
      <c r="C83" s="17"/>
      <c r="D83" s="17"/>
      <c r="E83" s="24">
        <f>E76-E69</f>
      </c>
      <c r="F83" s="24">
        <f>F76-F69</f>
      </c>
      <c r="G83" s="24">
        <f>G76-G69</f>
      </c>
      <c r="H83" s="24">
        <f>H76-H69</f>
      </c>
      <c r="I83" s="24">
        <f>I76-I69</f>
      </c>
      <c r="J83" s="24">
        <f>J76-J69</f>
      </c>
      <c r="K83" s="24">
        <f>K76-K69</f>
      </c>
      <c r="L83" s="24">
        <f>L76-L69</f>
      </c>
      <c r="M83" s="24">
        <f>M76-M69</f>
      </c>
      <c r="N83" s="24">
        <f>N76-N69</f>
      </c>
      <c r="O83" s="24">
        <f>O76-O69</f>
      </c>
      <c r="P83" s="24">
        <f>P76-P69</f>
      </c>
      <c r="Q83" s="24">
        <f>Q76-Q69</f>
      </c>
      <c r="R83" s="24">
        <f>R76-R69</f>
      </c>
      <c r="S83" s="24">
        <f>S76-S69</f>
      </c>
      <c r="T83" s="24">
        <f>T76-T69</f>
      </c>
      <c r="U83" s="24">
        <f>U76-U69</f>
      </c>
      <c r="V83" s="24">
        <f>V76-V69</f>
      </c>
      <c r="W83" s="24">
        <f>W76-W69</f>
      </c>
      <c r="X83" s="24">
        <f>X76-X69</f>
      </c>
      <c r="Y83" s="24">
        <f>Y76-Y69</f>
      </c>
      <c r="Z83" s="24">
        <f>Z76-Z69</f>
      </c>
      <c r="AA83" s="24">
        <f>AA76-AA69</f>
      </c>
      <c r="AB83" s="24">
        <f>AB76-AB69</f>
      </c>
      <c r="AC83" s="24">
        <f>AC76-AC69</f>
      </c>
      <c r="AD83" s="24">
        <f>AD76-AD69</f>
      </c>
      <c r="AE83" s="24">
        <f>AE76-AE69</f>
      </c>
      <c r="AF83" s="24">
        <f>AF76-AF69</f>
      </c>
      <c r="AG83" s="24">
        <f>AG76-AG69</f>
      </c>
      <c r="AH83" s="24">
        <f>AH76-AH69</f>
      </c>
      <c r="AI83" s="24">
        <f>AI76-AI69</f>
      </c>
      <c r="AJ83" s="24">
        <f>AJ76-AJ69</f>
      </c>
      <c r="AK83" s="19"/>
    </row>
    <row r="84" ht="12.75" customHeight="1" spans="2:37" x14ac:dyDescent="0.25">
      <c r="B84" s="16" t="s">
        <v>43</v>
      </c>
      <c r="C84" s="17"/>
      <c r="D84" s="17"/>
      <c r="E84" s="24">
        <f>E77-E70</f>
      </c>
      <c r="F84" s="24">
        <f>F77-F70</f>
      </c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19"/>
    </row>
    <row r="85" ht="12.75" customHeight="1" spans="2:37" x14ac:dyDescent="0.25">
      <c r="B85" s="16" t="s">
        <v>44</v>
      </c>
      <c r="C85" s="17"/>
      <c r="D85" s="17"/>
      <c r="E85" s="24">
        <f>E78-E71</f>
      </c>
      <c r="F85" s="24">
        <f>F78-F71</f>
      </c>
      <c r="G85" s="24">
        <f>G78-G71</f>
      </c>
      <c r="H85" s="24">
        <f>H78-H71</f>
      </c>
      <c r="I85" s="24">
        <f>I78-I71</f>
      </c>
      <c r="J85" s="24">
        <f>J78-J71</f>
      </c>
      <c r="K85" s="24">
        <f>K78-K71</f>
      </c>
      <c r="L85" s="24">
        <f>L78-L71</f>
      </c>
      <c r="M85" s="24">
        <f>M78-M71</f>
      </c>
      <c r="N85" s="24">
        <f>N78-N71</f>
      </c>
      <c r="O85" s="24">
        <f>O78-O71</f>
      </c>
      <c r="P85" s="24">
        <f>P78-P71</f>
      </c>
      <c r="Q85" s="24">
        <f>Q78-Q71</f>
      </c>
      <c r="R85" s="24">
        <f>R78-R71</f>
      </c>
      <c r="S85" s="24">
        <f>S78-S71</f>
      </c>
      <c r="T85" s="24">
        <f>T78-T71</f>
      </c>
      <c r="U85" s="24">
        <f>U78-U71</f>
      </c>
      <c r="V85" s="24">
        <f>V78-V71</f>
      </c>
      <c r="W85" s="24">
        <f>W78-W71</f>
      </c>
      <c r="X85" s="24">
        <f>X78-X71</f>
      </c>
      <c r="Y85" s="24">
        <f>Y78-Y71</f>
      </c>
      <c r="Z85" s="24">
        <f>Z78-Z71</f>
      </c>
      <c r="AA85" s="24">
        <f>AA78-AA71</f>
      </c>
      <c r="AB85" s="24">
        <f>AB78-AB71</f>
      </c>
      <c r="AC85" s="24">
        <f>AC78-AC71</f>
      </c>
      <c r="AD85" s="24">
        <f>AD78-AD71</f>
      </c>
      <c r="AE85" s="24">
        <f>AE78-AE71</f>
      </c>
      <c r="AF85" s="24">
        <f>AF78-AF71</f>
      </c>
      <c r="AG85" s="24">
        <f>AG78-AG71</f>
      </c>
      <c r="AH85" s="24">
        <f>AH78-AH71</f>
      </c>
      <c r="AI85" s="24">
        <f>AI78-AI71</f>
      </c>
      <c r="AJ85" s="24">
        <f>AJ78-AJ71</f>
      </c>
      <c r="AK85" s="19"/>
    </row>
    <row r="86" ht="12.75" customHeight="1" spans="2:37" x14ac:dyDescent="0.25">
      <c r="B86" s="20" t="s">
        <v>45</v>
      </c>
      <c r="C86" s="21"/>
      <c r="D86" s="21"/>
      <c r="E86" s="25">
        <f>E82+E83+E84+E85</f>
      </c>
      <c r="F86" s="25">
        <f>F82+F83+F84+F85</f>
      </c>
      <c r="G86" s="25">
        <f>G82+G83+G84+G85</f>
      </c>
      <c r="H86" s="25">
        <f>H82+H83+H84+H85</f>
      </c>
      <c r="I86" s="25">
        <f>I82+I83+I84+I85</f>
      </c>
      <c r="J86" s="25">
        <f>J82+J83+J84+J85</f>
      </c>
      <c r="K86" s="25">
        <f>K82+K83+K84+K85</f>
      </c>
      <c r="L86" s="25">
        <f>L82+L83+L84+L85</f>
      </c>
      <c r="M86" s="25">
        <f>M82+M83+M84+M85</f>
      </c>
      <c r="N86" s="25">
        <f>N82+N83+N84+N85</f>
      </c>
      <c r="O86" s="25">
        <f>O82+O83+O84+O85</f>
      </c>
      <c r="P86" s="25">
        <f>P82+P83+P84+P85</f>
      </c>
      <c r="Q86" s="25">
        <f>Q82+Q83+Q84+Q85</f>
      </c>
      <c r="R86" s="25">
        <f>R82+R83+R84+R85</f>
      </c>
      <c r="S86" s="25">
        <f>S82+S83+S84+S85</f>
      </c>
      <c r="T86" s="25">
        <f>T82+T83+T84+T85</f>
      </c>
      <c r="U86" s="25">
        <f>U82+U83+U84+U85</f>
      </c>
      <c r="V86" s="25">
        <f>V82+V83+V84+V85</f>
      </c>
      <c r="W86" s="25">
        <f>W82+W83+W84+W85</f>
      </c>
      <c r="X86" s="25">
        <f>X82+X83+X84+X85</f>
      </c>
      <c r="Y86" s="25">
        <f>Y82+Y83+Y84+Y85</f>
      </c>
      <c r="Z86" s="25">
        <f>Z82+Z83+Z84+Z85</f>
      </c>
      <c r="AA86" s="25">
        <f>AA82+AA83+AA84+AA85</f>
      </c>
      <c r="AB86" s="25">
        <f>AB82+AB83+AB84+AB85</f>
      </c>
      <c r="AC86" s="25">
        <f>AC82+AC83+AC84+AC85</f>
      </c>
      <c r="AD86" s="25">
        <f>AD82+AD83+AD84+AD85</f>
      </c>
      <c r="AE86" s="25">
        <f>AE82+AE83+AE84+AE85</f>
      </c>
      <c r="AF86" s="25">
        <f>AF82+AF83+AF84+AF85</f>
      </c>
      <c r="AG86" s="25">
        <f>AG82+AG83+AG84+AG85</f>
      </c>
      <c r="AH86" s="25">
        <f>AH82+AH83+AH84+AH85</f>
      </c>
      <c r="AI86" s="25">
        <f>AI82+AI83+AI84+AI85</f>
      </c>
      <c r="AJ86" s="25">
        <f>AJ82+AJ83+AJ84+AJ85</f>
      </c>
      <c r="AK86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1706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1749</v>
      </c>
      <c r="K8" s="44" t="s">
        <v>1750</v>
      </c>
      <c r="L8" s="44" t="s">
        <v>1751</v>
      </c>
      <c r="M8" s="44" t="s">
        <v>1752</v>
      </c>
      <c r="N8" s="44" t="s">
        <v>1753</v>
      </c>
      <c r="O8" s="44" t="s">
        <v>1754</v>
      </c>
      <c r="P8" s="44" t="s">
        <v>1755</v>
      </c>
      <c r="Q8" s="44" t="s">
        <v>1756</v>
      </c>
      <c r="R8" s="44" t="s">
        <v>1757</v>
      </c>
      <c r="S8" s="44" t="s">
        <v>1758</v>
      </c>
      <c r="T8" s="44" t="s">
        <v>1759</v>
      </c>
      <c r="U8" s="44" t="s">
        <v>1760</v>
      </c>
      <c r="V8" s="44" t="s">
        <v>1761</v>
      </c>
      <c r="W8" s="44" t="s">
        <v>1762</v>
      </c>
      <c r="X8" s="44" t="s">
        <v>1763</v>
      </c>
      <c r="Y8" s="44" t="s">
        <v>1764</v>
      </c>
      <c r="Z8" s="44" t="s">
        <v>1765</v>
      </c>
      <c r="AA8" s="44" t="s">
        <v>1766</v>
      </c>
      <c r="AB8" s="44" t="s">
        <v>1767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1706</v>
      </c>
      <c r="D14" s="50" t="s">
        <v>42</v>
      </c>
      <c r="E14" s="32" t="s">
        <v>3</v>
      </c>
      <c r="F14" s="32" t="s">
        <v>1707</v>
      </c>
      <c r="G14" s="32"/>
      <c r="H14" s="32"/>
      <c r="I14" s="32"/>
      <c r="J14" s="33">
        <v>33.24</v>
      </c>
      <c r="K14" s="33">
        <v>33.24</v>
      </c>
      <c r="L14" s="33">
        <v>33.24</v>
      </c>
      <c r="M14" s="33">
        <v>33.25</v>
      </c>
      <c r="N14" s="33">
        <v>33.25</v>
      </c>
      <c r="O14" s="33">
        <v>33.25</v>
      </c>
      <c r="P14" s="33">
        <v>33.25</v>
      </c>
      <c r="Q14" s="33">
        <v>33.26</v>
      </c>
      <c r="R14" s="33">
        <v>33.26</v>
      </c>
      <c r="S14" s="33">
        <v>33.25</v>
      </c>
      <c r="T14" s="33">
        <v>33.25</v>
      </c>
      <c r="U14" s="33">
        <v>33.26</v>
      </c>
      <c r="V14" s="33">
        <v>33.24</v>
      </c>
      <c r="W14" s="33">
        <v>33.25</v>
      </c>
      <c r="X14" s="33">
        <v>33.25</v>
      </c>
      <c r="Y14" s="33">
        <v>33.25</v>
      </c>
      <c r="Z14" s="33">
        <v>33.24</v>
      </c>
      <c r="AA14" s="33">
        <v>33.24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1706</v>
      </c>
      <c r="D15" s="50" t="s">
        <v>42</v>
      </c>
      <c r="E15" s="32" t="s">
        <v>3</v>
      </c>
      <c r="F15" s="32" t="s">
        <v>1708</v>
      </c>
      <c r="G15" s="32"/>
      <c r="H15" s="32"/>
      <c r="I15" s="32"/>
      <c r="J15" s="33">
        <v>329.81</v>
      </c>
      <c r="K15" s="33">
        <v>329.92</v>
      </c>
      <c r="L15" s="33">
        <v>318.61</v>
      </c>
      <c r="M15" s="33">
        <v>335.18</v>
      </c>
      <c r="N15" s="33">
        <v>400.11</v>
      </c>
      <c r="O15" s="33">
        <v>393.25</v>
      </c>
      <c r="P15" s="33">
        <v>410.26</v>
      </c>
      <c r="Q15" s="33">
        <v>418.38</v>
      </c>
      <c r="R15" s="33">
        <v>407.29</v>
      </c>
      <c r="S15" s="33">
        <v>354.76</v>
      </c>
      <c r="T15" s="33">
        <v>369.32</v>
      </c>
      <c r="U15" s="33">
        <v>288.96</v>
      </c>
      <c r="V15" s="33">
        <v>266.35</v>
      </c>
      <c r="W15" s="33">
        <v>280.49</v>
      </c>
      <c r="X15" s="33">
        <v>198.23</v>
      </c>
      <c r="Y15" s="33">
        <v>107.67</v>
      </c>
      <c r="Z15" s="33">
        <v>131.86</v>
      </c>
      <c r="AA15" s="33">
        <v>149.01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1706</v>
      </c>
      <c r="D16" s="50" t="s">
        <v>42</v>
      </c>
      <c r="E16" s="32" t="s">
        <v>3</v>
      </c>
      <c r="F16" s="32" t="s">
        <v>1709</v>
      </c>
      <c r="G16" s="32"/>
      <c r="H16" s="32"/>
      <c r="I16" s="32"/>
      <c r="J16" s="33">
        <v>789.9</v>
      </c>
      <c r="K16" s="33">
        <v>918.69</v>
      </c>
      <c r="L16" s="33">
        <v>690.48</v>
      </c>
      <c r="M16" s="33">
        <v>719.02</v>
      </c>
      <c r="N16" s="33">
        <v>960.66</v>
      </c>
      <c r="O16" s="33">
        <v>710.5</v>
      </c>
      <c r="P16" s="33">
        <v>664.09</v>
      </c>
      <c r="Q16" s="33">
        <v>717.24</v>
      </c>
      <c r="R16" s="33">
        <v>826.08</v>
      </c>
      <c r="S16" s="33">
        <v>748.04</v>
      </c>
      <c r="T16" s="33">
        <v>833.27</v>
      </c>
      <c r="U16" s="33">
        <v>793.94</v>
      </c>
      <c r="V16" s="33">
        <v>971.69</v>
      </c>
      <c r="W16" s="33">
        <v>673.72</v>
      </c>
      <c r="X16" s="33">
        <v>1014.72</v>
      </c>
      <c r="Y16" s="33">
        <v>1072.57</v>
      </c>
      <c r="Z16" s="33">
        <v>1048.06</v>
      </c>
      <c r="AA16" s="33">
        <v>1030.18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1706</v>
      </c>
      <c r="D17" s="50" t="s">
        <v>42</v>
      </c>
      <c r="E17" s="32" t="s">
        <v>3</v>
      </c>
      <c r="F17" s="32" t="s">
        <v>1710</v>
      </c>
      <c r="G17" s="32"/>
      <c r="H17" s="32"/>
      <c r="I17" s="32"/>
      <c r="J17" s="33">
        <v>1549.34</v>
      </c>
      <c r="K17" s="33">
        <v>1496.97</v>
      </c>
      <c r="L17" s="33">
        <v>1367.44</v>
      </c>
      <c r="M17" s="33">
        <v>1348.57</v>
      </c>
      <c r="N17" s="33">
        <v>1409.8</v>
      </c>
      <c r="O17" s="33">
        <v>1251.61</v>
      </c>
      <c r="P17" s="33">
        <v>1298.23</v>
      </c>
      <c r="Q17" s="33">
        <v>1492.64</v>
      </c>
      <c r="R17" s="33">
        <v>1439.52</v>
      </c>
      <c r="S17" s="33">
        <v>1206.45</v>
      </c>
      <c r="T17" s="33">
        <v>1492.4</v>
      </c>
      <c r="U17" s="33">
        <v>1383.42</v>
      </c>
      <c r="V17" s="33">
        <v>1467.31</v>
      </c>
      <c r="W17" s="33">
        <v>1414.54</v>
      </c>
      <c r="X17" s="33">
        <v>1641.1</v>
      </c>
      <c r="Y17" s="33">
        <v>1728.57</v>
      </c>
      <c r="Z17" s="33">
        <v>1962.04</v>
      </c>
      <c r="AA17" s="33">
        <v>1857.04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1706</v>
      </c>
      <c r="D18" s="50" t="s">
        <v>42</v>
      </c>
      <c r="E18" s="32" t="s">
        <v>3</v>
      </c>
      <c r="F18" s="32" t="s">
        <v>1711</v>
      </c>
      <c r="G18" s="32"/>
      <c r="H18" s="32"/>
      <c r="I18" s="32"/>
      <c r="J18" s="33">
        <v>753.25</v>
      </c>
      <c r="K18" s="33">
        <v>781.14</v>
      </c>
      <c r="L18" s="33">
        <v>538.12</v>
      </c>
      <c r="M18" s="33">
        <v>601.68</v>
      </c>
      <c r="N18" s="33">
        <v>775.1</v>
      </c>
      <c r="O18" s="33">
        <v>791.73</v>
      </c>
      <c r="P18" s="33">
        <v>809.75</v>
      </c>
      <c r="Q18" s="33">
        <v>900.09</v>
      </c>
      <c r="R18" s="33">
        <v>813.97</v>
      </c>
      <c r="S18" s="33">
        <v>717.69</v>
      </c>
      <c r="T18" s="33">
        <v>694.31</v>
      </c>
      <c r="U18" s="33">
        <v>764.76</v>
      </c>
      <c r="V18" s="33">
        <v>897.18</v>
      </c>
      <c r="W18" s="33">
        <v>851.24</v>
      </c>
      <c r="X18" s="33">
        <v>781.75</v>
      </c>
      <c r="Y18" s="33">
        <v>810.72</v>
      </c>
      <c r="Z18" s="33">
        <v>921.24</v>
      </c>
      <c r="AA18" s="33">
        <v>1013.37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1706</v>
      </c>
      <c r="D19" s="50" t="s">
        <v>42</v>
      </c>
      <c r="E19" s="32" t="s">
        <v>3</v>
      </c>
      <c r="F19" s="32" t="s">
        <v>1712</v>
      </c>
      <c r="G19" s="32"/>
      <c r="H19" s="32"/>
      <c r="I19" s="32"/>
      <c r="J19" s="32"/>
      <c r="K19" s="33">
        <v>1097.69</v>
      </c>
      <c r="L19" s="33">
        <v>1094.31</v>
      </c>
      <c r="M19" s="33">
        <v>1094.18</v>
      </c>
      <c r="N19" s="33">
        <v>1090.98</v>
      </c>
      <c r="O19" s="33">
        <v>1090.98</v>
      </c>
      <c r="P19" s="33">
        <v>1074</v>
      </c>
      <c r="Q19" s="33">
        <v>1074</v>
      </c>
      <c r="R19" s="33">
        <v>1074</v>
      </c>
      <c r="S19" s="33">
        <v>1074.13</v>
      </c>
      <c r="T19" s="33">
        <v>1074.13</v>
      </c>
      <c r="U19" s="33">
        <v>1070.92</v>
      </c>
      <c r="V19" s="33">
        <v>1070.92</v>
      </c>
      <c r="W19" s="33">
        <v>1043.94</v>
      </c>
      <c r="X19" s="33">
        <v>1043.94</v>
      </c>
      <c r="Y19" s="33">
        <v>1110.28</v>
      </c>
      <c r="Z19" s="33">
        <v>1110.28</v>
      </c>
      <c r="AA19" s="33">
        <v>1110.28</v>
      </c>
      <c r="AB19" s="33">
        <v>1110.28</v>
      </c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1706</v>
      </c>
      <c r="D20" s="50" t="s">
        <v>42</v>
      </c>
      <c r="E20" s="32" t="s">
        <v>3</v>
      </c>
      <c r="F20" s="32" t="s">
        <v>1713</v>
      </c>
      <c r="G20" s="32"/>
      <c r="H20" s="32"/>
      <c r="I20" s="32"/>
      <c r="J20" s="33">
        <v>258.58</v>
      </c>
      <c r="K20" s="33">
        <v>261.91</v>
      </c>
      <c r="L20" s="33">
        <v>389.62</v>
      </c>
      <c r="M20" s="33">
        <v>309.87</v>
      </c>
      <c r="N20" s="33">
        <v>348.83</v>
      </c>
      <c r="O20" s="33">
        <v>270.4</v>
      </c>
      <c r="P20" s="33">
        <v>472.04</v>
      </c>
      <c r="Q20" s="33">
        <v>195.68</v>
      </c>
      <c r="R20" s="33">
        <v>229.55</v>
      </c>
      <c r="S20" s="33">
        <v>209.89</v>
      </c>
      <c r="T20" s="33">
        <v>259.35</v>
      </c>
      <c r="U20" s="33">
        <v>245.24</v>
      </c>
      <c r="V20" s="33">
        <v>339.94</v>
      </c>
      <c r="W20" s="33">
        <v>154.67</v>
      </c>
      <c r="X20" s="33">
        <v>176.56</v>
      </c>
      <c r="Y20" s="33">
        <v>208.94</v>
      </c>
      <c r="Z20" s="33">
        <v>326.55</v>
      </c>
      <c r="AA20" s="33">
        <v>318.01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1706</v>
      </c>
      <c r="D21" s="50" t="s">
        <v>42</v>
      </c>
      <c r="E21" s="32" t="s">
        <v>3</v>
      </c>
      <c r="F21" s="32" t="s">
        <v>1714</v>
      </c>
      <c r="G21" s="32"/>
      <c r="H21" s="32"/>
      <c r="I21" s="32"/>
      <c r="J21" s="33">
        <v>91.42</v>
      </c>
      <c r="K21" s="33">
        <v>91.93</v>
      </c>
      <c r="L21" s="33">
        <v>100.25</v>
      </c>
      <c r="M21" s="33">
        <v>120.16</v>
      </c>
      <c r="N21" s="33">
        <v>152.66</v>
      </c>
      <c r="O21" s="33">
        <v>199.53</v>
      </c>
      <c r="P21" s="33">
        <v>195.73</v>
      </c>
      <c r="Q21" s="33">
        <v>204.03</v>
      </c>
      <c r="R21" s="33">
        <v>126.58</v>
      </c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1706</v>
      </c>
      <c r="D22" s="50" t="s">
        <v>42</v>
      </c>
      <c r="E22" s="32" t="s">
        <v>3</v>
      </c>
      <c r="F22" s="32" t="s">
        <v>1715</v>
      </c>
      <c r="G22" s="32"/>
      <c r="H22" s="32"/>
      <c r="I22" s="32"/>
      <c r="J22" s="32"/>
      <c r="K22" s="33">
        <f>262.06+236.30</f>
        <v>498.36</v>
      </c>
      <c r="L22" s="33">
        <v>207.48</v>
      </c>
      <c r="M22" s="33">
        <v>182.01</v>
      </c>
      <c r="N22" s="32"/>
      <c r="O22" s="33">
        <f>235.16+234.05</f>
        <v>469.21000000000004</v>
      </c>
      <c r="P22" s="32"/>
      <c r="Q22" s="33">
        <f>249.41+235.19</f>
        <v>484.6</v>
      </c>
      <c r="R22" s="33">
        <v>118.36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1706</v>
      </c>
      <c r="D23" s="50" t="s">
        <v>42</v>
      </c>
      <c r="E23" s="32" t="s">
        <v>3</v>
      </c>
      <c r="F23" s="32" t="s">
        <v>1716</v>
      </c>
      <c r="G23" s="32"/>
      <c r="H23" s="32"/>
      <c r="I23" s="32"/>
      <c r="J23" s="33">
        <v>30.79</v>
      </c>
      <c r="K23" s="33">
        <v>30.79</v>
      </c>
      <c r="L23" s="33">
        <v>30.79</v>
      </c>
      <c r="M23" s="33">
        <v>30.8</v>
      </c>
      <c r="N23" s="33">
        <v>23.61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1706</v>
      </c>
      <c r="D24" s="50" t="s">
        <v>42</v>
      </c>
      <c r="E24" s="32" t="s">
        <v>3</v>
      </c>
      <c r="F24" s="32" t="s">
        <v>1717</v>
      </c>
      <c r="G24" s="32"/>
      <c r="H24" s="32"/>
      <c r="I24" s="32"/>
      <c r="J24" s="33">
        <v>191.31</v>
      </c>
      <c r="K24" s="33">
        <v>183.86</v>
      </c>
      <c r="L24" s="33">
        <v>124.46</v>
      </c>
      <c r="M24" s="33">
        <v>26.51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1706</v>
      </c>
      <c r="D25" s="50" t="s">
        <v>42</v>
      </c>
      <c r="E25" s="32" t="s">
        <v>3</v>
      </c>
      <c r="F25" s="32" t="s">
        <v>1718</v>
      </c>
      <c r="G25" s="32"/>
      <c r="H25" s="32"/>
      <c r="I25" s="32"/>
      <c r="J25" s="33">
        <v>135.72</v>
      </c>
      <c r="K25" s="33">
        <v>143.04</v>
      </c>
      <c r="L25" s="33">
        <v>96.63</v>
      </c>
      <c r="M25" s="33">
        <v>86.91</v>
      </c>
      <c r="N25" s="33">
        <v>104.74</v>
      </c>
      <c r="O25" s="33">
        <v>135.73</v>
      </c>
      <c r="P25" s="33">
        <v>140.38</v>
      </c>
      <c r="Q25" s="33">
        <v>100.66</v>
      </c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1706</v>
      </c>
      <c r="D26" s="50" t="s">
        <v>42</v>
      </c>
      <c r="E26" s="32" t="s">
        <v>3</v>
      </c>
      <c r="F26" s="32" t="s">
        <v>1719</v>
      </c>
      <c r="G26" s="32"/>
      <c r="H26" s="32"/>
      <c r="I26" s="32"/>
      <c r="J26" s="32"/>
      <c r="K26" s="33">
        <v>22.58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1706</v>
      </c>
      <c r="D27" s="50" t="s">
        <v>42</v>
      </c>
      <c r="E27" s="32" t="s">
        <v>3</v>
      </c>
      <c r="F27" s="32" t="s">
        <v>1720</v>
      </c>
      <c r="G27" s="32"/>
      <c r="H27" s="32"/>
      <c r="I27" s="32"/>
      <c r="J27" s="33">
        <f>30.79+7.19</f>
        <v>37.98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1706</v>
      </c>
      <c r="D28" s="50" t="s">
        <v>42</v>
      </c>
      <c r="E28" s="32" t="s">
        <v>3</v>
      </c>
      <c r="F28" s="32" t="s">
        <v>1721</v>
      </c>
      <c r="G28" s="32"/>
      <c r="H28" s="32"/>
      <c r="I28" s="32"/>
      <c r="J28" s="33">
        <v>121.54</v>
      </c>
      <c r="K28" s="33">
        <v>145.51</v>
      </c>
      <c r="L28" s="33">
        <v>103.09</v>
      </c>
      <c r="M28" s="33">
        <v>87.63</v>
      </c>
      <c r="N28" s="33">
        <v>108.94</v>
      </c>
      <c r="O28" s="33">
        <v>135.78</v>
      </c>
      <c r="P28" s="33">
        <v>131.36</v>
      </c>
      <c r="Q28" s="33">
        <v>136.87</v>
      </c>
      <c r="R28" s="33">
        <v>144.49</v>
      </c>
      <c r="S28" s="33">
        <v>125.54</v>
      </c>
      <c r="T28" s="33">
        <v>93.51</v>
      </c>
      <c r="U28" s="33">
        <v>54.93</v>
      </c>
      <c r="V28" s="33">
        <v>87.82</v>
      </c>
      <c r="W28" s="33">
        <v>94.53</v>
      </c>
      <c r="X28" s="33">
        <v>33.74</v>
      </c>
      <c r="Y28" s="33">
        <v>33.61</v>
      </c>
      <c r="Z28" s="33">
        <v>45.79</v>
      </c>
      <c r="AA28" s="33">
        <v>73.57</v>
      </c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1706</v>
      </c>
      <c r="D29" s="50" t="s">
        <v>42</v>
      </c>
      <c r="E29" s="32" t="s">
        <v>3</v>
      </c>
      <c r="F29" s="32" t="s">
        <v>1722</v>
      </c>
      <c r="G29" s="32"/>
      <c r="H29" s="32"/>
      <c r="I29" s="32"/>
      <c r="J29" s="33">
        <v>30.79</v>
      </c>
      <c r="K29" s="33">
        <v>30.79</v>
      </c>
      <c r="L29" s="33">
        <v>30.79</v>
      </c>
      <c r="M29" s="33">
        <v>30.79</v>
      </c>
      <c r="N29" s="33">
        <v>30.8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1706</v>
      </c>
      <c r="D30" s="50" t="s">
        <v>42</v>
      </c>
      <c r="E30" s="32" t="s">
        <v>3</v>
      </c>
      <c r="F30" s="32" t="s">
        <v>1723</v>
      </c>
      <c r="G30" s="32"/>
      <c r="H30" s="32"/>
      <c r="I30" s="32"/>
      <c r="J30" s="33">
        <v>30.79</v>
      </c>
      <c r="K30" s="33">
        <v>30.79</v>
      </c>
      <c r="L30" s="33">
        <v>30.79</v>
      </c>
      <c r="M30" s="33">
        <v>30.79</v>
      </c>
      <c r="N30" s="33">
        <v>31.5</v>
      </c>
      <c r="O30" s="33">
        <v>50.09</v>
      </c>
      <c r="P30" s="33">
        <f>45.48+35.29</f>
        <v>80.77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1706</v>
      </c>
      <c r="D31" s="50" t="s">
        <v>42</v>
      </c>
      <c r="E31" s="32" t="s">
        <v>3</v>
      </c>
      <c r="F31" s="32" t="s">
        <v>1724</v>
      </c>
      <c r="G31" s="32"/>
      <c r="H31" s="32"/>
      <c r="I31" s="32"/>
      <c r="J31" s="33">
        <v>30.79</v>
      </c>
      <c r="K31" s="33">
        <v>30.79</v>
      </c>
      <c r="L31" s="33">
        <v>30.79</v>
      </c>
      <c r="M31" s="33">
        <v>30.8</v>
      </c>
      <c r="N31" s="33">
        <v>41.68</v>
      </c>
      <c r="O31" s="33">
        <v>65</v>
      </c>
      <c r="P31" s="33">
        <v>70.8</v>
      </c>
      <c r="Q31" s="33">
        <v>69.39</v>
      </c>
      <c r="R31" s="33">
        <v>56.78</v>
      </c>
      <c r="S31" s="33">
        <v>27.07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1706</v>
      </c>
      <c r="D32" s="50" t="s">
        <v>42</v>
      </c>
      <c r="E32" s="32" t="s">
        <v>3</v>
      </c>
      <c r="F32" s="32" t="s">
        <v>1725</v>
      </c>
      <c r="G32" s="32"/>
      <c r="H32" s="32"/>
      <c r="I32" s="32"/>
      <c r="J32" s="33">
        <f>0.00+88.79</f>
        <v>88.79</v>
      </c>
      <c r="K32" s="33">
        <f>30.79+0.00</f>
        <v>30.79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1706</v>
      </c>
      <c r="D33" s="50" t="s">
        <v>42</v>
      </c>
      <c r="E33" s="32" t="s">
        <v>3</v>
      </c>
      <c r="F33" s="32" t="s">
        <v>1726</v>
      </c>
      <c r="G33" s="32"/>
      <c r="H33" s="32"/>
      <c r="I33" s="32"/>
      <c r="J33" s="33">
        <v>88.79</v>
      </c>
      <c r="K33" s="33">
        <v>30.79</v>
      </c>
      <c r="L33" s="33">
        <v>30.79</v>
      </c>
      <c r="M33" s="33">
        <v>44.48</v>
      </c>
      <c r="N33" s="33">
        <v>111.82</v>
      </c>
      <c r="O33" s="33">
        <v>200.91</v>
      </c>
      <c r="P33" s="33">
        <v>212.54</v>
      </c>
      <c r="Q33" s="33">
        <v>123.28</v>
      </c>
      <c r="R33" s="33">
        <v>51.53</v>
      </c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1706</v>
      </c>
      <c r="D34" s="50" t="s">
        <v>42</v>
      </c>
      <c r="E34" s="32" t="s">
        <v>3</v>
      </c>
      <c r="F34" s="32" t="s">
        <v>1727</v>
      </c>
      <c r="G34" s="32"/>
      <c r="H34" s="32"/>
      <c r="I34" s="32"/>
      <c r="J34" s="33">
        <v>88.79</v>
      </c>
      <c r="K34" s="33">
        <v>32.41</v>
      </c>
      <c r="L34" s="33">
        <v>30.79</v>
      </c>
      <c r="M34" s="33">
        <v>30.8</v>
      </c>
      <c r="N34" s="33">
        <v>57.14</v>
      </c>
      <c r="O34" s="33">
        <v>66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1706</v>
      </c>
      <c r="D35" s="50" t="s">
        <v>42</v>
      </c>
      <c r="E35" s="32" t="s">
        <v>3</v>
      </c>
      <c r="F35" s="32" t="s">
        <v>1728</v>
      </c>
      <c r="G35" s="32"/>
      <c r="H35" s="32"/>
      <c r="I35" s="32"/>
      <c r="J35" s="33">
        <v>73.39</v>
      </c>
      <c r="K35" s="33">
        <v>30.79</v>
      </c>
      <c r="L35" s="33">
        <v>30.79</v>
      </c>
      <c r="M35" s="33">
        <v>30.79</v>
      </c>
      <c r="N35" s="33">
        <v>30.8</v>
      </c>
      <c r="O35" s="33">
        <v>62.59</v>
      </c>
      <c r="P35" s="33">
        <f>63.02+15.79</f>
        <v>78.81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1706</v>
      </c>
      <c r="D36" s="50" t="s">
        <v>42</v>
      </c>
      <c r="E36" s="32" t="s">
        <v>3</v>
      </c>
      <c r="F36" s="32" t="s">
        <v>1729</v>
      </c>
      <c r="G36" s="32"/>
      <c r="H36" s="32"/>
      <c r="I36" s="32"/>
      <c r="J36" s="32"/>
      <c r="K36" s="33">
        <v>91.87</v>
      </c>
      <c r="L36" s="33">
        <v>33.77</v>
      </c>
      <c r="M36" s="33">
        <v>65.09</v>
      </c>
      <c r="N36" s="33">
        <v>70.26</v>
      </c>
      <c r="O36" s="33">
        <v>88.69</v>
      </c>
      <c r="P36" s="33">
        <v>86.42</v>
      </c>
      <c r="Q36" s="33">
        <v>34.24</v>
      </c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1706</v>
      </c>
      <c r="D37" s="50" t="s">
        <v>42</v>
      </c>
      <c r="E37" s="32" t="s">
        <v>3</v>
      </c>
      <c r="F37" s="32" t="s">
        <v>1730</v>
      </c>
      <c r="G37" s="32"/>
      <c r="H37" s="32"/>
      <c r="I37" s="32"/>
      <c r="J37" s="32"/>
      <c r="K37" s="33">
        <v>72.37</v>
      </c>
      <c r="L37" s="33">
        <v>30.79</v>
      </c>
      <c r="M37" s="33">
        <f>30.79+21.21</f>
        <v>52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1706</v>
      </c>
      <c r="D38" s="50" t="s">
        <v>42</v>
      </c>
      <c r="E38" s="32" t="s">
        <v>3</v>
      </c>
      <c r="F38" s="32" t="s">
        <v>1731</v>
      </c>
      <c r="G38" s="32"/>
      <c r="H38" s="32"/>
      <c r="I38" s="32"/>
      <c r="J38" s="32"/>
      <c r="K38" s="32"/>
      <c r="L38" s="32"/>
      <c r="M38" s="33">
        <v>42.79</v>
      </c>
      <c r="N38" s="33">
        <v>30.8</v>
      </c>
      <c r="O38" s="33">
        <v>82.49</v>
      </c>
      <c r="P38" s="33">
        <f>83.39+5.84</f>
        <v>89.23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1706</v>
      </c>
      <c r="D39" s="50" t="s">
        <v>42</v>
      </c>
      <c r="E39" s="32" t="s">
        <v>3</v>
      </c>
      <c r="F39" s="32" t="s">
        <v>1732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3">
        <v>71.5</v>
      </c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1706</v>
      </c>
      <c r="D40" s="50" t="s">
        <v>42</v>
      </c>
      <c r="E40" s="32" t="s">
        <v>3</v>
      </c>
      <c r="F40" s="32" t="s">
        <v>1733</v>
      </c>
      <c r="G40" s="32"/>
      <c r="H40" s="32"/>
      <c r="I40" s="32"/>
      <c r="J40" s="32"/>
      <c r="K40" s="32"/>
      <c r="L40" s="32"/>
      <c r="M40" s="32"/>
      <c r="N40" s="32"/>
      <c r="O40" s="33">
        <v>82.64</v>
      </c>
      <c r="P40" s="33">
        <v>30.8</v>
      </c>
      <c r="Q40" s="33">
        <v>30.8</v>
      </c>
      <c r="R40" s="33">
        <v>88.91</v>
      </c>
      <c r="S40" s="33">
        <v>91.68</v>
      </c>
      <c r="T40" s="33">
        <v>69.49</v>
      </c>
      <c r="U40" s="33">
        <v>59.31</v>
      </c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1706</v>
      </c>
      <c r="D41" s="50" t="s">
        <v>42</v>
      </c>
      <c r="E41" s="32" t="s">
        <v>3</v>
      </c>
      <c r="F41" s="32" t="s">
        <v>1734</v>
      </c>
      <c r="G41" s="32"/>
      <c r="H41" s="32"/>
      <c r="I41" s="32"/>
      <c r="J41" s="32"/>
      <c r="K41" s="32"/>
      <c r="L41" s="32"/>
      <c r="M41" s="32"/>
      <c r="N41" s="32"/>
      <c r="O41" s="33">
        <v>69.55</v>
      </c>
      <c r="P41" s="33">
        <v>83.39</v>
      </c>
      <c r="Q41" s="33">
        <v>29.72</v>
      </c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1706</v>
      </c>
      <c r="D42" s="50" t="s">
        <v>42</v>
      </c>
      <c r="E42" s="32" t="s">
        <v>3</v>
      </c>
      <c r="F42" s="32" t="s">
        <v>1735</v>
      </c>
      <c r="G42" s="32"/>
      <c r="H42" s="32"/>
      <c r="I42" s="32"/>
      <c r="J42" s="32"/>
      <c r="K42" s="32"/>
      <c r="L42" s="32"/>
      <c r="M42" s="32"/>
      <c r="N42" s="32"/>
      <c r="O42" s="33">
        <v>152.59</v>
      </c>
      <c r="P42" s="33">
        <v>30.8</v>
      </c>
      <c r="Q42" s="33">
        <v>37.7</v>
      </c>
      <c r="R42" s="33">
        <v>133.24</v>
      </c>
      <c r="S42" s="33">
        <v>36.67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1706</v>
      </c>
      <c r="D43" s="50" t="s">
        <v>42</v>
      </c>
      <c r="E43" s="32" t="s">
        <v>3</v>
      </c>
      <c r="F43" s="32" t="s">
        <v>1736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3">
        <v>176.82</v>
      </c>
      <c r="R43" s="33">
        <v>30.8</v>
      </c>
      <c r="S43" s="33">
        <v>34.3</v>
      </c>
      <c r="T43" s="33">
        <v>57.62</v>
      </c>
      <c r="U43" s="33">
        <v>58.89</v>
      </c>
      <c r="V43" s="33">
        <v>64.34</v>
      </c>
      <c r="W43" s="33">
        <v>103.5</v>
      </c>
      <c r="X43" s="33">
        <v>30.8</v>
      </c>
      <c r="Y43" s="33">
        <v>33.38</v>
      </c>
      <c r="Z43" s="33">
        <v>93.23</v>
      </c>
      <c r="AA43" s="33">
        <v>106.73</v>
      </c>
      <c r="AB43" s="33">
        <v>129.94</v>
      </c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1706</v>
      </c>
      <c r="D44" s="50" t="s">
        <v>42</v>
      </c>
      <c r="E44" s="32" t="s">
        <v>3</v>
      </c>
      <c r="F44" s="32" t="s">
        <v>1737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3">
        <v>130.38</v>
      </c>
      <c r="R44" s="33">
        <v>32.87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1706</v>
      </c>
      <c r="D45" s="50" t="s">
        <v>42</v>
      </c>
      <c r="E45" s="32" t="s">
        <v>3</v>
      </c>
      <c r="F45" s="32" t="s">
        <v>1738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3">
        <v>108.05</v>
      </c>
      <c r="R45" s="33">
        <v>76.03</v>
      </c>
      <c r="S45" s="33">
        <v>71.19</v>
      </c>
      <c r="T45" s="33">
        <v>49.84</v>
      </c>
      <c r="U45" s="33">
        <v>36.54</v>
      </c>
      <c r="V45" s="33">
        <v>30.8</v>
      </c>
      <c r="W45" s="33">
        <v>105.49</v>
      </c>
      <c r="X45" s="33">
        <v>37.97</v>
      </c>
      <c r="Y45" s="33">
        <v>30.8</v>
      </c>
      <c r="Z45" s="33">
        <v>54.09</v>
      </c>
      <c r="AA45" s="33">
        <v>75.14</v>
      </c>
      <c r="AB45" s="33">
        <v>67.92</v>
      </c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1706</v>
      </c>
      <c r="D46" s="50" t="s">
        <v>42</v>
      </c>
      <c r="E46" s="32" t="s">
        <v>3</v>
      </c>
      <c r="F46" s="32" t="s">
        <v>1739</v>
      </c>
      <c r="G46" s="32"/>
      <c r="H46" s="32"/>
      <c r="I46" s="32"/>
      <c r="J46" s="32"/>
      <c r="K46" s="32"/>
      <c r="L46" s="32"/>
      <c r="M46" s="32"/>
      <c r="N46" s="32"/>
      <c r="O46" s="32"/>
      <c r="P46" s="33">
        <v>95.66</v>
      </c>
      <c r="Q46" s="33">
        <v>138.55</v>
      </c>
      <c r="R46" s="33">
        <v>105.14</v>
      </c>
      <c r="S46" s="33">
        <v>84.63</v>
      </c>
      <c r="T46" s="33">
        <v>63.27</v>
      </c>
      <c r="U46" s="33">
        <v>55.34</v>
      </c>
      <c r="V46" s="33">
        <v>47.31</v>
      </c>
      <c r="W46" s="33">
        <v>91.87</v>
      </c>
      <c r="X46" s="33">
        <v>50.96</v>
      </c>
      <c r="Y46" s="33">
        <v>65.46</v>
      </c>
      <c r="Z46" s="33">
        <v>96.04</v>
      </c>
      <c r="AA46" s="33">
        <v>126.46</v>
      </c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1706</v>
      </c>
      <c r="D47" s="50" t="s">
        <v>42</v>
      </c>
      <c r="E47" s="32" t="s">
        <v>3</v>
      </c>
      <c r="F47" s="32" t="s">
        <v>1740</v>
      </c>
      <c r="G47" s="32"/>
      <c r="H47" s="32"/>
      <c r="I47" s="32"/>
      <c r="J47" s="32"/>
      <c r="K47" s="32"/>
      <c r="L47" s="32"/>
      <c r="M47" s="32"/>
      <c r="N47" s="32"/>
      <c r="O47" s="32"/>
      <c r="P47" s="33">
        <v>113.63</v>
      </c>
      <c r="Q47" s="33">
        <v>76.76</v>
      </c>
      <c r="R47" s="33">
        <v>109.49</v>
      </c>
      <c r="S47" s="33">
        <v>68.93</v>
      </c>
      <c r="T47" s="33">
        <v>44.77</v>
      </c>
      <c r="U47" s="33">
        <v>34.13</v>
      </c>
      <c r="V47" s="33">
        <v>48.32</v>
      </c>
      <c r="W47" s="33">
        <v>132.74</v>
      </c>
      <c r="X47" s="33">
        <v>9.5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1706</v>
      </c>
      <c r="D48" s="50" t="s">
        <v>42</v>
      </c>
      <c r="E48" s="32" t="s">
        <v>3</v>
      </c>
      <c r="F48" s="32" t="s">
        <v>1741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3">
        <v>95.12</v>
      </c>
      <c r="S48" s="33">
        <v>55.78</v>
      </c>
      <c r="T48" s="33">
        <v>38.95</v>
      </c>
      <c r="U48" s="33">
        <v>85.83</v>
      </c>
      <c r="V48" s="33">
        <v>110.87</v>
      </c>
      <c r="W48" s="33">
        <v>93.7</v>
      </c>
      <c r="X48" s="33">
        <v>43.07</v>
      </c>
      <c r="Y48" s="33">
        <v>42.9</v>
      </c>
      <c r="Z48" s="33">
        <v>53.78</v>
      </c>
      <c r="AA48" s="33">
        <v>82.05</v>
      </c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1706</v>
      </c>
      <c r="D49" s="50" t="s">
        <v>42</v>
      </c>
      <c r="E49" s="32" t="s">
        <v>3</v>
      </c>
      <c r="F49" s="32" t="s">
        <v>1742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3">
        <v>71.34</v>
      </c>
      <c r="S49" s="33">
        <v>36.97</v>
      </c>
      <c r="T49" s="33">
        <v>73.17</v>
      </c>
      <c r="U49" s="33">
        <v>49.84</v>
      </c>
      <c r="V49" s="33">
        <v>30.8</v>
      </c>
      <c r="W49" s="33">
        <v>164.87</v>
      </c>
      <c r="X49" s="33">
        <v>39.79</v>
      </c>
      <c r="Y49" s="33">
        <f>54.27+29.65</f>
        <v>83.92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1706</v>
      </c>
      <c r="D50" s="50" t="s">
        <v>42</v>
      </c>
      <c r="E50" s="32" t="s">
        <v>3</v>
      </c>
      <c r="F50" s="32" t="s">
        <v>1743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3">
        <v>71.34</v>
      </c>
      <c r="S50" s="33">
        <v>61.28</v>
      </c>
      <c r="T50" s="33">
        <v>47.58</v>
      </c>
      <c r="U50" s="33">
        <v>41.65</v>
      </c>
      <c r="V50" s="33">
        <v>39.01</v>
      </c>
      <c r="W50" s="33">
        <v>52.56</v>
      </c>
      <c r="X50" s="33">
        <v>31.71</v>
      </c>
      <c r="Y50" s="33">
        <v>31.08</v>
      </c>
      <c r="Z50" s="33">
        <f>51.78+25.67</f>
        <v>77.45</v>
      </c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1706</v>
      </c>
      <c r="D51" s="50" t="s">
        <v>42</v>
      </c>
      <c r="E51" s="32" t="s">
        <v>3</v>
      </c>
      <c r="F51" s="32" t="s">
        <v>1744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3">
        <v>106.28</v>
      </c>
      <c r="T51" s="33">
        <v>47.72</v>
      </c>
      <c r="U51" s="33">
        <v>40.82</v>
      </c>
      <c r="V51" s="33">
        <v>30.8</v>
      </c>
      <c r="W51" s="33">
        <v>54.57</v>
      </c>
      <c r="X51" s="33">
        <v>30.8</v>
      </c>
      <c r="Y51" s="33">
        <v>30.8</v>
      </c>
      <c r="Z51" s="33">
        <v>34.19</v>
      </c>
      <c r="AA51" s="33">
        <v>59.19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1706</v>
      </c>
      <c r="D52" s="50" t="s">
        <v>42</v>
      </c>
      <c r="E52" s="32" t="s">
        <v>3</v>
      </c>
      <c r="F52" s="32" t="s">
        <v>1745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>
        <v>88.8</v>
      </c>
      <c r="V52" s="33">
        <v>30.8</v>
      </c>
      <c r="W52" s="33">
        <v>98.54</v>
      </c>
      <c r="X52" s="33">
        <v>106.48</v>
      </c>
      <c r="Y52" s="33">
        <v>108.54</v>
      </c>
      <c r="Z52" s="33">
        <v>175.48</v>
      </c>
      <c r="AA52" s="33">
        <v>195.46</v>
      </c>
      <c r="AB52" s="33">
        <v>201.5</v>
      </c>
      <c r="AC52" s="32"/>
      <c r="AD52" s="32"/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1706</v>
      </c>
      <c r="D53" s="50" t="s">
        <v>42</v>
      </c>
      <c r="E53" s="32" t="s">
        <v>3</v>
      </c>
      <c r="F53" s="32" t="s">
        <v>1746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>
        <v>88.8</v>
      </c>
      <c r="V53" s="33">
        <v>35.04</v>
      </c>
      <c r="W53" s="33">
        <v>121.37</v>
      </c>
      <c r="X53" s="33">
        <v>30.8</v>
      </c>
      <c r="Y53" s="33">
        <v>30.8</v>
      </c>
      <c r="Z53" s="33">
        <v>48.5</v>
      </c>
      <c r="AA53" s="33">
        <v>80.08</v>
      </c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1706</v>
      </c>
      <c r="D54" s="50" t="s">
        <v>42</v>
      </c>
      <c r="E54" s="32" t="s">
        <v>3</v>
      </c>
      <c r="F54" s="32" t="s">
        <v>1747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3">
        <v>88.8</v>
      </c>
      <c r="AA54" s="33">
        <v>64.78</v>
      </c>
      <c r="AB54" s="33">
        <v>67.59</v>
      </c>
      <c r="AC54" s="32"/>
      <c r="AD54" s="32"/>
      <c r="AE54" s="32"/>
      <c r="AF54" s="32"/>
      <c r="AG54" s="32"/>
      <c r="AH54" s="32"/>
      <c r="AI54" s="32"/>
      <c r="AJ54" s="32"/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1706</v>
      </c>
      <c r="D55" s="50" t="s">
        <v>42</v>
      </c>
      <c r="E55" s="32" t="s">
        <v>3</v>
      </c>
      <c r="F55" s="32" t="s">
        <v>1748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3">
        <v>104.04</v>
      </c>
      <c r="AB55" s="33">
        <v>25.49</v>
      </c>
      <c r="AC55" s="32"/>
      <c r="AD55" s="32"/>
      <c r="AE55" s="32"/>
      <c r="AF55" s="32"/>
      <c r="AG55" s="32"/>
      <c r="AH55" s="32"/>
      <c r="AI55" s="32"/>
      <c r="AJ55" s="32"/>
      <c r="AK55" s="32"/>
      <c r="AL55" s="34">
        <f>SUM(G55:AK55)</f>
      </c>
      <c r="AM55" s="35"/>
    </row>
    <row r="56" ht="13.5" customHeight="1" spans="2:39" x14ac:dyDescent="0.25">
      <c r="B56" s="51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40"/>
    </row>
    <row r="57" ht="13.5" customHeight="1" spans="2:39" x14ac:dyDescent="0.25">
      <c r="B57" s="20"/>
      <c r="C57" s="21"/>
      <c r="D57" s="21" t="s">
        <v>85</v>
      </c>
      <c r="E57" s="21"/>
      <c r="F57" s="21"/>
      <c r="G57" s="22">
        <f>SUM(G14:G55)</f>
      </c>
      <c r="H57" s="22">
        <f>SUM(H14:H55)</f>
      </c>
      <c r="I57" s="22">
        <f>SUM(I14:I55)</f>
      </c>
      <c r="J57" s="22">
        <f>SUM(J14:J55)</f>
      </c>
      <c r="K57" s="22">
        <f>SUM(K14:K55)</f>
      </c>
      <c r="L57" s="22">
        <f>SUM(L14:L55)</f>
      </c>
      <c r="M57" s="22">
        <f>SUM(M14:M55)</f>
      </c>
      <c r="N57" s="22">
        <f>SUM(N14:N55)</f>
      </c>
      <c r="O57" s="22">
        <f>SUM(O14:O55)</f>
      </c>
      <c r="P57" s="22">
        <f>SUM(P14:P55)</f>
      </c>
      <c r="Q57" s="22">
        <f>SUM(Q14:Q55)</f>
      </c>
      <c r="R57" s="22">
        <f>SUM(R14:R55)</f>
      </c>
      <c r="S57" s="22">
        <f>SUM(S14:S55)</f>
      </c>
      <c r="T57" s="22">
        <f>SUM(T14:T55)</f>
      </c>
      <c r="U57" s="22">
        <f>SUM(U14:U55)</f>
      </c>
      <c r="V57" s="22">
        <f>SUM(V14:V55)</f>
      </c>
      <c r="W57" s="22">
        <f>SUM(W14:W55)</f>
      </c>
      <c r="X57" s="22">
        <f>SUM(X14:X55)</f>
      </c>
      <c r="Y57" s="22">
        <f>SUM(Y14:Y55)</f>
      </c>
      <c r="Z57" s="22">
        <f>SUM(Z14:Z55)</f>
      </c>
      <c r="AA57" s="22">
        <f>SUM(AA14:AA55)</f>
      </c>
      <c r="AB57" s="22">
        <f>SUM(AB14:AB55)</f>
      </c>
      <c r="AC57" s="22">
        <f>SUM(AC14:AC55)</f>
      </c>
      <c r="AD57" s="22">
        <f>SUM(AD14:AD55)</f>
      </c>
      <c r="AE57" s="22">
        <f>SUM(AE14:AE55)</f>
      </c>
      <c r="AF57" s="22">
        <f>SUM(AF14:AF55)</f>
      </c>
      <c r="AG57" s="22">
        <f>SUM(AG14:AG55)</f>
      </c>
      <c r="AH57" s="22">
        <f>SUM(AH14:AH55)</f>
      </c>
      <c r="AI57" s="22">
        <f>SUM(AI14:AI55)</f>
      </c>
      <c r="AJ57" s="22">
        <f>SUM(AJ14:AJ55)</f>
      </c>
      <c r="AK57" s="22">
        <f>SUM(AK14:AK55)</f>
      </c>
      <c r="AL57" s="22">
        <f>SUM(AL14:AL55)</f>
      </c>
      <c r="AM57" s="23"/>
    </row>
    <row r="59" ht="13.5" customHeight="1" spans="2:39" x14ac:dyDescent="0.25">
      <c r="B59" s="46"/>
      <c r="C59" s="28"/>
      <c r="D59" s="47" t="s">
        <v>43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9"/>
    </row>
    <row r="60" ht="13.5" customHeight="1" spans="2:39" x14ac:dyDescent="0.25">
      <c r="B60" s="51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40"/>
    </row>
    <row r="61" ht="13.5" customHeight="1" spans="2:39" x14ac:dyDescent="0.25">
      <c r="B61" s="20"/>
      <c r="C61" s="21"/>
      <c r="D61" s="21" t="s">
        <v>89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3"/>
    </row>
    <row r="63" ht="13.5" customHeight="1" spans="2:39" x14ac:dyDescent="0.25">
      <c r="B63" s="46"/>
      <c r="C63" s="28"/>
      <c r="D63" s="47" t="s">
        <v>44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9"/>
    </row>
    <row r="64" ht="13.5" customHeight="1" spans="2:39" x14ac:dyDescent="0.25">
      <c r="B64" s="51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40"/>
    </row>
    <row r="65" ht="13.5" customHeight="1" spans="2:39" x14ac:dyDescent="0.25">
      <c r="B65" s="20"/>
      <c r="C65" s="21"/>
      <c r="D65" s="21" t="s">
        <v>90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3"/>
    </row>
    <row r="68" ht="12.75" customHeight="1" spans="2:39" x14ac:dyDescent="0.25">
      <c r="B68" s="11" t="s">
        <v>40</v>
      </c>
      <c r="C68" s="12"/>
      <c r="D68" s="12"/>
      <c r="E68" s="12"/>
      <c r="F68" s="12"/>
      <c r="G68" s="52" t="s">
        <v>7</v>
      </c>
      <c r="H68" s="52" t="s">
        <v>8</v>
      </c>
      <c r="I68" s="52" t="s">
        <v>9</v>
      </c>
      <c r="J68" s="52" t="s">
        <v>10</v>
      </c>
      <c r="K68" s="52" t="s">
        <v>11</v>
      </c>
      <c r="L68" s="52" t="s">
        <v>12</v>
      </c>
      <c r="M68" s="52" t="s">
        <v>13</v>
      </c>
      <c r="N68" s="52" t="s">
        <v>14</v>
      </c>
      <c r="O68" s="52" t="s">
        <v>15</v>
      </c>
      <c r="P68" s="52" t="s">
        <v>16</v>
      </c>
      <c r="Q68" s="52" t="s">
        <v>17</v>
      </c>
      <c r="R68" s="52" t="s">
        <v>18</v>
      </c>
      <c r="S68" s="52" t="s">
        <v>19</v>
      </c>
      <c r="T68" s="52" t="s">
        <v>20</v>
      </c>
      <c r="U68" s="52" t="s">
        <v>21</v>
      </c>
      <c r="V68" s="52" t="s">
        <v>22</v>
      </c>
      <c r="W68" s="52" t="s">
        <v>23</v>
      </c>
      <c r="X68" s="52" t="s">
        <v>24</v>
      </c>
      <c r="Y68" s="52" t="s">
        <v>25</v>
      </c>
      <c r="Z68" s="52" t="s">
        <v>26</v>
      </c>
      <c r="AA68" s="52" t="s">
        <v>27</v>
      </c>
      <c r="AB68" s="52" t="s">
        <v>28</v>
      </c>
      <c r="AC68" s="52" t="s">
        <v>29</v>
      </c>
      <c r="AD68" s="52" t="s">
        <v>30</v>
      </c>
      <c r="AE68" s="52" t="s">
        <v>31</v>
      </c>
      <c r="AF68" s="52" t="s">
        <v>32</v>
      </c>
      <c r="AG68" s="52" t="s">
        <v>33</v>
      </c>
      <c r="AH68" s="52" t="s">
        <v>34</v>
      </c>
      <c r="AI68" s="52" t="s">
        <v>35</v>
      </c>
      <c r="AJ68" s="52" t="s">
        <v>36</v>
      </c>
      <c r="AK68" s="52" t="s">
        <v>37</v>
      </c>
      <c r="AL68" s="52" t="s">
        <v>38</v>
      </c>
      <c r="AM68" s="15"/>
    </row>
    <row r="69" ht="12.75" customHeight="1" spans="2:39" x14ac:dyDescent="0.25">
      <c r="B69" s="16"/>
      <c r="C69" s="17"/>
      <c r="D69" s="17" t="s">
        <v>41</v>
      </c>
      <c r="E69" s="17"/>
      <c r="F69" s="17"/>
      <c r="G69" s="18">
        <f>G11</f>
      </c>
      <c r="H69" s="18">
        <f>H11</f>
      </c>
      <c r="I69" s="18">
        <f>I11</f>
      </c>
      <c r="J69" s="18">
        <f>J11</f>
      </c>
      <c r="K69" s="18">
        <f>K11</f>
      </c>
      <c r="L69" s="18">
        <f>L11</f>
      </c>
      <c r="M69" s="18">
        <f>M11</f>
      </c>
      <c r="N69" s="18">
        <f>N11</f>
      </c>
      <c r="O69" s="18">
        <f>O11</f>
      </c>
      <c r="P69" s="18">
        <f>P11</f>
      </c>
      <c r="Q69" s="18">
        <f>Q11</f>
      </c>
      <c r="R69" s="18">
        <f>R11</f>
      </c>
      <c r="S69" s="18">
        <f>S11</f>
      </c>
      <c r="T69" s="18">
        <f>T11</f>
      </c>
      <c r="U69" s="18">
        <f>U11</f>
      </c>
      <c r="V69" s="18">
        <f>V11</f>
      </c>
      <c r="W69" s="18">
        <f>W11</f>
      </c>
      <c r="X69" s="18">
        <f>X11</f>
      </c>
      <c r="Y69" s="18">
        <f>Y11</f>
      </c>
      <c r="Z69" s="18">
        <f>Z11</f>
      </c>
      <c r="AA69" s="18">
        <f>AA11</f>
      </c>
      <c r="AB69" s="18">
        <f>AB11</f>
      </c>
      <c r="AC69" s="18">
        <f>AC11</f>
      </c>
      <c r="AD69" s="18">
        <f>AD11</f>
      </c>
      <c r="AE69" s="18">
        <f>AE11</f>
      </c>
      <c r="AF69" s="18">
        <f>AF11</f>
      </c>
      <c r="AG69" s="18">
        <f>AG11</f>
      </c>
      <c r="AH69" s="18">
        <f>AH11</f>
      </c>
      <c r="AI69" s="18">
        <f>AI11</f>
      </c>
      <c r="AJ69" s="18">
        <f>AJ11</f>
      </c>
      <c r="AK69" s="18">
        <f>AK11</f>
      </c>
      <c r="AL69" s="18">
        <f>AL11</f>
      </c>
      <c r="AM69" s="19"/>
    </row>
    <row r="70" ht="12.75" customHeight="1" spans="2:39" x14ac:dyDescent="0.25">
      <c r="B70" s="16"/>
      <c r="C70" s="17"/>
      <c r="D70" s="17" t="s">
        <v>42</v>
      </c>
      <c r="E70" s="17"/>
      <c r="F70" s="17"/>
      <c r="G70" s="18">
        <f>G57</f>
      </c>
      <c r="H70" s="18">
        <f>H57</f>
      </c>
      <c r="I70" s="18">
        <f>I57</f>
      </c>
      <c r="J70" s="18">
        <f>J57</f>
      </c>
      <c r="K70" s="18">
        <f>K57</f>
      </c>
      <c r="L70" s="18">
        <f>L57</f>
      </c>
      <c r="M70" s="18">
        <f>M57</f>
      </c>
      <c r="N70" s="18">
        <f>N57</f>
      </c>
      <c r="O70" s="18">
        <f>O57</f>
      </c>
      <c r="P70" s="18">
        <f>P57</f>
      </c>
      <c r="Q70" s="18">
        <f>Q57</f>
      </c>
      <c r="R70" s="18">
        <f>R57</f>
      </c>
      <c r="S70" s="18">
        <f>S57</f>
      </c>
      <c r="T70" s="18">
        <f>T57</f>
      </c>
      <c r="U70" s="18">
        <f>U57</f>
      </c>
      <c r="V70" s="18">
        <f>V57</f>
      </c>
      <c r="W70" s="18">
        <f>W57</f>
      </c>
      <c r="X70" s="18">
        <f>X57</f>
      </c>
      <c r="Y70" s="18">
        <f>Y57</f>
      </c>
      <c r="Z70" s="18">
        <f>Z57</f>
      </c>
      <c r="AA70" s="18">
        <f>AA57</f>
      </c>
      <c r="AB70" s="18">
        <f>AB57</f>
      </c>
      <c r="AC70" s="18">
        <f>AC57</f>
      </c>
      <c r="AD70" s="18">
        <f>AD57</f>
      </c>
      <c r="AE70" s="18">
        <f>AE57</f>
      </c>
      <c r="AF70" s="18">
        <f>AF57</f>
      </c>
      <c r="AG70" s="18">
        <f>AG57</f>
      </c>
      <c r="AH70" s="18">
        <f>AH57</f>
      </c>
      <c r="AI70" s="18">
        <f>AI57</f>
      </c>
      <c r="AJ70" s="18">
        <f>AJ57</f>
      </c>
      <c r="AK70" s="18">
        <f>AK57</f>
      </c>
      <c r="AL70" s="18">
        <f>AL57</f>
      </c>
      <c r="AM70" s="19"/>
    </row>
    <row r="71" ht="12.75" customHeight="1" spans="2:39" x14ac:dyDescent="0.25">
      <c r="B71" s="16"/>
      <c r="C71" s="17"/>
      <c r="D71" s="17" t="s">
        <v>43</v>
      </c>
      <c r="E71" s="17"/>
      <c r="F71" s="17"/>
      <c r="G71" s="18">
        <f>G61</f>
      </c>
      <c r="H71" s="18">
        <f>H61</f>
      </c>
      <c r="I71" s="18">
        <f>I61</f>
      </c>
      <c r="J71" s="18">
        <f>J61</f>
      </c>
      <c r="K71" s="18">
        <f>K61</f>
      </c>
      <c r="L71" s="18">
        <f>L61</f>
      </c>
      <c r="M71" s="18">
        <f>M61</f>
      </c>
      <c r="N71" s="18">
        <f>N61</f>
      </c>
      <c r="O71" s="18">
        <f>O61</f>
      </c>
      <c r="P71" s="18">
        <f>P61</f>
      </c>
      <c r="Q71" s="18">
        <f>Q61</f>
      </c>
      <c r="R71" s="18">
        <f>R61</f>
      </c>
      <c r="S71" s="18">
        <f>S61</f>
      </c>
      <c r="T71" s="18">
        <f>T61</f>
      </c>
      <c r="U71" s="18">
        <f>U61</f>
      </c>
      <c r="V71" s="18">
        <f>V61</f>
      </c>
      <c r="W71" s="18">
        <f>W61</f>
      </c>
      <c r="X71" s="18">
        <f>X61</f>
      </c>
      <c r="Y71" s="18">
        <f>Y61</f>
      </c>
      <c r="Z71" s="18">
        <f>Z61</f>
      </c>
      <c r="AA71" s="18">
        <f>AA61</f>
      </c>
      <c r="AB71" s="18">
        <f>AB61</f>
      </c>
      <c r="AC71" s="18">
        <f>AC61</f>
      </c>
      <c r="AD71" s="18">
        <f>AD61</f>
      </c>
      <c r="AE71" s="18">
        <f>AE61</f>
      </c>
      <c r="AF71" s="18">
        <f>AF61</f>
      </c>
      <c r="AG71" s="18">
        <f>AG61</f>
      </c>
      <c r="AH71" s="18">
        <f>AH61</f>
      </c>
      <c r="AI71" s="18">
        <f>AI61</f>
      </c>
      <c r="AJ71" s="18">
        <f>AJ61</f>
      </c>
      <c r="AK71" s="18">
        <f>AK61</f>
      </c>
      <c r="AL71" s="18">
        <f>AL61</f>
      </c>
      <c r="AM71" s="19"/>
    </row>
    <row r="72" ht="12.75" customHeight="1" spans="2:39" x14ac:dyDescent="0.25">
      <c r="B72" s="16"/>
      <c r="C72" s="17"/>
      <c r="D72" s="17" t="s">
        <v>44</v>
      </c>
      <c r="E72" s="17"/>
      <c r="F72" s="17"/>
      <c r="G72" s="18">
        <f>G65</f>
      </c>
      <c r="H72" s="18">
        <f>H65</f>
      </c>
      <c r="I72" s="18">
        <f>I65</f>
      </c>
      <c r="J72" s="18">
        <f>J65</f>
      </c>
      <c r="K72" s="18">
        <f>K65</f>
      </c>
      <c r="L72" s="18">
        <f>L65</f>
      </c>
      <c r="M72" s="18">
        <f>M65</f>
      </c>
      <c r="N72" s="18">
        <f>N65</f>
      </c>
      <c r="O72" s="18">
        <f>O65</f>
      </c>
      <c r="P72" s="18">
        <f>P65</f>
      </c>
      <c r="Q72" s="18">
        <f>Q65</f>
      </c>
      <c r="R72" s="18">
        <f>R65</f>
      </c>
      <c r="S72" s="18">
        <f>S65</f>
      </c>
      <c r="T72" s="18">
        <f>T65</f>
      </c>
      <c r="U72" s="18">
        <f>U65</f>
      </c>
      <c r="V72" s="18">
        <f>V65</f>
      </c>
      <c r="W72" s="18">
        <f>W65</f>
      </c>
      <c r="X72" s="18">
        <f>X65</f>
      </c>
      <c r="Y72" s="18">
        <f>Y65</f>
      </c>
      <c r="Z72" s="18">
        <f>Z65</f>
      </c>
      <c r="AA72" s="18">
        <f>AA65</f>
      </c>
      <c r="AB72" s="18">
        <f>AB65</f>
      </c>
      <c r="AC72" s="18">
        <f>AC65</f>
      </c>
      <c r="AD72" s="18">
        <f>AD65</f>
      </c>
      <c r="AE72" s="18">
        <f>AE65</f>
      </c>
      <c r="AF72" s="18">
        <f>AF65</f>
      </c>
      <c r="AG72" s="18">
        <f>AG65</f>
      </c>
      <c r="AH72" s="18">
        <f>AH65</f>
      </c>
      <c r="AI72" s="18">
        <f>AI65</f>
      </c>
      <c r="AJ72" s="18">
        <f>AJ65</f>
      </c>
      <c r="AK72" s="18">
        <f>AK65</f>
      </c>
      <c r="AL72" s="18">
        <f>AL65</f>
      </c>
      <c r="AM72" s="19"/>
    </row>
    <row r="73" ht="12.75" customHeight="1" spans="2:39" x14ac:dyDescent="0.25">
      <c r="B73" s="20"/>
      <c r="C73" s="21"/>
      <c r="D73" s="21" t="s">
        <v>45</v>
      </c>
      <c r="E73" s="21"/>
      <c r="F73" s="21"/>
      <c r="G73" s="22">
        <f>G69+G70+G71+G72</f>
      </c>
      <c r="H73" s="22">
        <f>H69+H70+H71+H72</f>
      </c>
      <c r="I73" s="22">
        <f>I69+I70+I71+I72</f>
      </c>
      <c r="J73" s="22">
        <f>J69+J70+J71+J72</f>
      </c>
      <c r="K73" s="22">
        <f>K69+K70+K71+K72</f>
      </c>
      <c r="L73" s="22">
        <f>L69+L70+L71+L72</f>
      </c>
      <c r="M73" s="22">
        <f>M69+M70+M71+M72</f>
      </c>
      <c r="N73" s="22">
        <f>N69+N70+N71+N72</f>
      </c>
      <c r="O73" s="22">
        <f>O69+O70+O71+O72</f>
      </c>
      <c r="P73" s="22">
        <f>P69+P70+P71+P72</f>
      </c>
      <c r="Q73" s="22">
        <f>Q69+Q70+Q71+Q72</f>
      </c>
      <c r="R73" s="22">
        <f>R69+R70+R71+R72</f>
      </c>
      <c r="S73" s="22">
        <f>S69+S70+S71+S72</f>
      </c>
      <c r="T73" s="22">
        <f>T69+T70+T71+T72</f>
      </c>
      <c r="U73" s="22">
        <f>U69+U70+U71+U72</f>
      </c>
      <c r="V73" s="22">
        <f>V69+V70+V71+V72</f>
      </c>
      <c r="W73" s="22">
        <f>W69+W70+W71+W72</f>
      </c>
      <c r="X73" s="22">
        <f>X69+X70+X71+X72</f>
      </c>
      <c r="Y73" s="22">
        <f>Y69+Y70+Y71+Y72</f>
      </c>
      <c r="Z73" s="22">
        <f>Z69+Z70+Z71+Z72</f>
      </c>
      <c r="AA73" s="22">
        <f>AA69+AA70+AA71+AA72</f>
      </c>
      <c r="AB73" s="22">
        <f>AB69+AB70+AB71+AB72</f>
      </c>
      <c r="AC73" s="22">
        <f>AC69+AC70+AC71+AC72</f>
      </c>
      <c r="AD73" s="22">
        <f>AD69+AD70+AD71+AD72</f>
      </c>
      <c r="AE73" s="22">
        <f>AE69+AE70+AE71+AE72</f>
      </c>
      <c r="AF73" s="22">
        <f>AF69+AF70+AF71+AF72</f>
      </c>
      <c r="AG73" s="22">
        <f>AG69+AG70+AG71+AG72</f>
      </c>
      <c r="AH73" s="22">
        <f>AH69+AH70+AH71+AH72</f>
      </c>
      <c r="AI73" s="22">
        <f>AI69+AI70+AI71+AI72</f>
      </c>
      <c r="AJ73" s="22">
        <f>AJ69+AJ70+AJ71+AJ72</f>
      </c>
      <c r="AK73" s="22">
        <f>AK69+AK70+AK71+AK72</f>
      </c>
      <c r="AL73" s="22">
        <f>AL69+AL70+AL71+AL72</f>
      </c>
      <c r="AM73" s="23"/>
    </row>
    <row r="75" ht="12.75" customHeight="1" spans="2:39" x14ac:dyDescent="0.25">
      <c r="B75" s="11" t="s">
        <v>46</v>
      </c>
      <c r="C75" s="12"/>
      <c r="D75" s="12"/>
      <c r="E75" s="12"/>
      <c r="F75" s="12"/>
      <c r="G75" s="52" t="s">
        <v>7</v>
      </c>
      <c r="H75" s="52" t="s">
        <v>8</v>
      </c>
      <c r="I75" s="52" t="s">
        <v>9</v>
      </c>
      <c r="J75" s="52" t="s">
        <v>10</v>
      </c>
      <c r="K75" s="52" t="s">
        <v>11</v>
      </c>
      <c r="L75" s="52" t="s">
        <v>12</v>
      </c>
      <c r="M75" s="52" t="s">
        <v>13</v>
      </c>
      <c r="N75" s="52" t="s">
        <v>14</v>
      </c>
      <c r="O75" s="52" t="s">
        <v>15</v>
      </c>
      <c r="P75" s="52" t="s">
        <v>16</v>
      </c>
      <c r="Q75" s="52" t="s">
        <v>17</v>
      </c>
      <c r="R75" s="52" t="s">
        <v>18</v>
      </c>
      <c r="S75" s="52" t="s">
        <v>19</v>
      </c>
      <c r="T75" s="52" t="s">
        <v>20</v>
      </c>
      <c r="U75" s="52" t="s">
        <v>21</v>
      </c>
      <c r="V75" s="52" t="s">
        <v>22</v>
      </c>
      <c r="W75" s="52" t="s">
        <v>23</v>
      </c>
      <c r="X75" s="52" t="s">
        <v>24</v>
      </c>
      <c r="Y75" s="52" t="s">
        <v>25</v>
      </c>
      <c r="Z75" s="52" t="s">
        <v>26</v>
      </c>
      <c r="AA75" s="52" t="s">
        <v>27</v>
      </c>
      <c r="AB75" s="52" t="s">
        <v>28</v>
      </c>
      <c r="AC75" s="52" t="s">
        <v>29</v>
      </c>
      <c r="AD75" s="52" t="s">
        <v>30</v>
      </c>
      <c r="AE75" s="52" t="s">
        <v>31</v>
      </c>
      <c r="AF75" s="52" t="s">
        <v>32</v>
      </c>
      <c r="AG75" s="52" t="s">
        <v>33</v>
      </c>
      <c r="AH75" s="52" t="s">
        <v>34</v>
      </c>
      <c r="AI75" s="52" t="s">
        <v>35</v>
      </c>
      <c r="AJ75" s="52" t="s">
        <v>36</v>
      </c>
      <c r="AK75" s="52" t="s">
        <v>37</v>
      </c>
      <c r="AL75" s="52" t="s">
        <v>38</v>
      </c>
      <c r="AM75" s="15"/>
    </row>
    <row r="76" ht="12.75" customHeight="1" spans="2:39" x14ac:dyDescent="0.25">
      <c r="B76" s="16"/>
      <c r="C76" s="17"/>
      <c r="D76" s="17" t="s">
        <v>41</v>
      </c>
      <c r="E76" s="17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9"/>
    </row>
    <row r="77" ht="12.75" customHeight="1" spans="2:39" x14ac:dyDescent="0.25">
      <c r="B77" s="16"/>
      <c r="C77" s="17"/>
      <c r="D77" s="17" t="s">
        <v>42</v>
      </c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9"/>
    </row>
    <row r="78" ht="12.75" customHeight="1" spans="2:39" x14ac:dyDescent="0.25">
      <c r="B78" s="16"/>
      <c r="C78" s="17"/>
      <c r="D78" s="17" t="s">
        <v>43</v>
      </c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9"/>
    </row>
    <row r="79" ht="12.75" customHeight="1" spans="2:39" x14ac:dyDescent="0.25">
      <c r="B79" s="16"/>
      <c r="C79" s="17"/>
      <c r="D79" s="17" t="s">
        <v>44</v>
      </c>
      <c r="E79" s="17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9"/>
    </row>
    <row r="80" ht="12.75" customHeight="1" spans="2:39" x14ac:dyDescent="0.25">
      <c r="B80" s="20"/>
      <c r="C80" s="21"/>
      <c r="D80" s="21" t="s">
        <v>45</v>
      </c>
      <c r="E80" s="21"/>
      <c r="F80" s="21"/>
      <c r="G80" s="22">
        <f>G76+G77+G78+G79</f>
      </c>
      <c r="H80" s="22">
        <f>H76+H77+H78+H79</f>
      </c>
      <c r="I80" s="22">
        <f>I76+I77+I78+I79</f>
      </c>
      <c r="J80" s="22">
        <f>J76+J77+J78+J79</f>
      </c>
      <c r="K80" s="22">
        <f>K76+K77+K78+K79</f>
      </c>
      <c r="L80" s="22">
        <f>L76+L77+L78+L79</f>
      </c>
      <c r="M80" s="22">
        <f>M76+M77+M78+M79</f>
      </c>
      <c r="N80" s="22">
        <f>N76+N77+N78+N79</f>
      </c>
      <c r="O80" s="22">
        <f>O76+O77+O78+O79</f>
      </c>
      <c r="P80" s="22">
        <f>P76+P77+P78+P79</f>
      </c>
      <c r="Q80" s="22">
        <f>Q76+Q77+Q78+Q79</f>
      </c>
      <c r="R80" s="22">
        <f>R76+R77+R78+R79</f>
      </c>
      <c r="S80" s="22">
        <f>S76+S77+S78+S79</f>
      </c>
      <c r="T80" s="22">
        <f>T76+T77+T78+T79</f>
      </c>
      <c r="U80" s="22">
        <f>U76+U77+U78+U79</f>
      </c>
      <c r="V80" s="22">
        <f>V76+V77+V78+V79</f>
      </c>
      <c r="W80" s="22">
        <f>W76+W77+W78+W79</f>
      </c>
      <c r="X80" s="22">
        <f>X76+X77+X78+X79</f>
      </c>
      <c r="Y80" s="22">
        <f>Y76+Y77+Y78+Y79</f>
      </c>
      <c r="Z80" s="22">
        <f>Z76+Z77+Z78+Z79</f>
      </c>
      <c r="AA80" s="22">
        <f>AA76+AA77+AA78+AA79</f>
      </c>
      <c r="AB80" s="22">
        <f>AB76+AB77+AB78+AB79</f>
      </c>
      <c r="AC80" s="22">
        <f>AC76+AC77+AC78+AC79</f>
      </c>
      <c r="AD80" s="22">
        <f>AD76+AD77+AD78+AD79</f>
      </c>
      <c r="AE80" s="22">
        <f>AE76+AE77+AE78+AE79</f>
      </c>
      <c r="AF80" s="22">
        <f>AF76+AF77+AF78+AF79</f>
      </c>
      <c r="AG80" s="22">
        <f>AG76+AG77+AG78+AG79</f>
      </c>
      <c r="AH80" s="22">
        <f>AH76+AH77+AH78+AH79</f>
      </c>
      <c r="AI80" s="22">
        <f>AI76+AI77+AI78+AI79</f>
      </c>
      <c r="AJ80" s="22">
        <f>AJ76+AJ77+AJ78+AJ79</f>
      </c>
      <c r="AK80" s="22">
        <f>AK76+AK77+AK78+AK79</f>
      </c>
      <c r="AL80" s="22">
        <f>AL76+AL77+AL78+AL79</f>
      </c>
      <c r="AM80" s="23"/>
    </row>
    <row r="82" ht="12.75" customHeight="1" spans="2:39" x14ac:dyDescent="0.25">
      <c r="B82" s="11" t="s">
        <v>47</v>
      </c>
      <c r="C82" s="12"/>
      <c r="D82" s="12"/>
      <c r="E82" s="12"/>
      <c r="F82" s="12"/>
      <c r="G82" s="52" t="s">
        <v>7</v>
      </c>
      <c r="H82" s="52" t="s">
        <v>8</v>
      </c>
      <c r="I82" s="52" t="s">
        <v>9</v>
      </c>
      <c r="J82" s="52" t="s">
        <v>10</v>
      </c>
      <c r="K82" s="52" t="s">
        <v>11</v>
      </c>
      <c r="L82" s="52" t="s">
        <v>12</v>
      </c>
      <c r="M82" s="52" t="s">
        <v>13</v>
      </c>
      <c r="N82" s="52" t="s">
        <v>14</v>
      </c>
      <c r="O82" s="52" t="s">
        <v>15</v>
      </c>
      <c r="P82" s="52" t="s">
        <v>16</v>
      </c>
      <c r="Q82" s="52" t="s">
        <v>17</v>
      </c>
      <c r="R82" s="52" t="s">
        <v>18</v>
      </c>
      <c r="S82" s="52" t="s">
        <v>19</v>
      </c>
      <c r="T82" s="52" t="s">
        <v>20</v>
      </c>
      <c r="U82" s="52" t="s">
        <v>21</v>
      </c>
      <c r="V82" s="52" t="s">
        <v>22</v>
      </c>
      <c r="W82" s="52" t="s">
        <v>23</v>
      </c>
      <c r="X82" s="52" t="s">
        <v>24</v>
      </c>
      <c r="Y82" s="52" t="s">
        <v>25</v>
      </c>
      <c r="Z82" s="52" t="s">
        <v>26</v>
      </c>
      <c r="AA82" s="52" t="s">
        <v>27</v>
      </c>
      <c r="AB82" s="52" t="s">
        <v>28</v>
      </c>
      <c r="AC82" s="52" t="s">
        <v>29</v>
      </c>
      <c r="AD82" s="52" t="s">
        <v>30</v>
      </c>
      <c r="AE82" s="52" t="s">
        <v>31</v>
      </c>
      <c r="AF82" s="52" t="s">
        <v>32</v>
      </c>
      <c r="AG82" s="52" t="s">
        <v>33</v>
      </c>
      <c r="AH82" s="52" t="s">
        <v>34</v>
      </c>
      <c r="AI82" s="52" t="s">
        <v>35</v>
      </c>
      <c r="AJ82" s="52" t="s">
        <v>36</v>
      </c>
      <c r="AK82" s="52" t="s">
        <v>37</v>
      </c>
      <c r="AL82" s="52" t="s">
        <v>38</v>
      </c>
      <c r="AM82" s="15"/>
    </row>
    <row r="83" ht="12.75" customHeight="1" spans="2:39" x14ac:dyDescent="0.25">
      <c r="B83" s="16"/>
      <c r="C83" s="17"/>
      <c r="D83" s="17" t="s">
        <v>41</v>
      </c>
      <c r="E83" s="17"/>
      <c r="F83" s="17"/>
      <c r="G83" s="24">
        <f>G76-G69</f>
      </c>
      <c r="H83" s="24">
        <f>H76-H69</f>
      </c>
      <c r="I83" s="24">
        <f>I76-I69</f>
      </c>
      <c r="J83" s="24">
        <f>J76-J69</f>
      </c>
      <c r="K83" s="24">
        <f>K76-K69</f>
      </c>
      <c r="L83" s="24">
        <f>L76-L69</f>
      </c>
      <c r="M83" s="24">
        <f>M76-M69</f>
      </c>
      <c r="N83" s="24">
        <f>N76-N69</f>
      </c>
      <c r="O83" s="24">
        <f>O76-O69</f>
      </c>
      <c r="P83" s="24">
        <f>P76-P69</f>
      </c>
      <c r="Q83" s="24">
        <f>Q76-Q69</f>
      </c>
      <c r="R83" s="24">
        <f>R76-R69</f>
      </c>
      <c r="S83" s="24">
        <f>S76-S69</f>
      </c>
      <c r="T83" s="24">
        <f>T76-T69</f>
      </c>
      <c r="U83" s="24">
        <f>U76-U69</f>
      </c>
      <c r="V83" s="24">
        <f>V76-V69</f>
      </c>
      <c r="W83" s="24">
        <f>W76-W69</f>
      </c>
      <c r="X83" s="24">
        <f>X76-X69</f>
      </c>
      <c r="Y83" s="24">
        <f>Y76-Y69</f>
      </c>
      <c r="Z83" s="24">
        <f>Z76-Z69</f>
      </c>
      <c r="AA83" s="24">
        <f>AA76-AA69</f>
      </c>
      <c r="AB83" s="24">
        <f>AB76-AB69</f>
      </c>
      <c r="AC83" s="24">
        <f>AC76-AC69</f>
      </c>
      <c r="AD83" s="24">
        <f>AD76-AD69</f>
      </c>
      <c r="AE83" s="24">
        <f>AE76-AE69</f>
      </c>
      <c r="AF83" s="24">
        <f>AF76-AF69</f>
      </c>
      <c r="AG83" s="24">
        <f>AG76-AG69</f>
      </c>
      <c r="AH83" s="24">
        <f>AH76-AH69</f>
      </c>
      <c r="AI83" s="24">
        <f>AI76-AI69</f>
      </c>
      <c r="AJ83" s="24">
        <f>AJ76-AJ69</f>
      </c>
      <c r="AK83" s="24">
        <f>AK76-AK69</f>
      </c>
      <c r="AL83" s="24">
        <f>AL76-AL69</f>
      </c>
      <c r="AM83" s="19"/>
    </row>
    <row r="84" ht="12.75" customHeight="1" spans="2:39" x14ac:dyDescent="0.25">
      <c r="B84" s="16"/>
      <c r="C84" s="17"/>
      <c r="D84" s="17" t="s">
        <v>42</v>
      </c>
      <c r="E84" s="17"/>
      <c r="F84" s="17"/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24">
        <f>AK77-AK70</f>
      </c>
      <c r="AL84" s="24">
        <f>AL77-AL70</f>
      </c>
      <c r="AM84" s="19"/>
    </row>
    <row r="85" ht="12.75" customHeight="1" spans="2:39" x14ac:dyDescent="0.25">
      <c r="B85" s="16"/>
      <c r="C85" s="17"/>
      <c r="D85" s="17" t="s">
        <v>43</v>
      </c>
      <c r="E85" s="17"/>
      <c r="F85" s="17"/>
      <c r="G85" s="24">
        <f>G78-G71</f>
      </c>
      <c r="H85" s="24">
        <f>H78-H71</f>
      </c>
      <c r="I85" s="24">
        <f>I78-I71</f>
      </c>
      <c r="J85" s="24">
        <f>J78-J71</f>
      </c>
      <c r="K85" s="24">
        <f>K78-K71</f>
      </c>
      <c r="L85" s="24">
        <f>L78-L71</f>
      </c>
      <c r="M85" s="24">
        <f>M78-M71</f>
      </c>
      <c r="N85" s="24">
        <f>N78-N71</f>
      </c>
      <c r="O85" s="24">
        <f>O78-O71</f>
      </c>
      <c r="P85" s="24">
        <f>P78-P71</f>
      </c>
      <c r="Q85" s="24">
        <f>Q78-Q71</f>
      </c>
      <c r="R85" s="24">
        <f>R78-R71</f>
      </c>
      <c r="S85" s="24">
        <f>S78-S71</f>
      </c>
      <c r="T85" s="24">
        <f>T78-T71</f>
      </c>
      <c r="U85" s="24">
        <f>U78-U71</f>
      </c>
      <c r="V85" s="24">
        <f>V78-V71</f>
      </c>
      <c r="W85" s="24">
        <f>W78-W71</f>
      </c>
      <c r="X85" s="24">
        <f>X78-X71</f>
      </c>
      <c r="Y85" s="24">
        <f>Y78-Y71</f>
      </c>
      <c r="Z85" s="24">
        <f>Z78-Z71</f>
      </c>
      <c r="AA85" s="24">
        <f>AA78-AA71</f>
      </c>
      <c r="AB85" s="24">
        <f>AB78-AB71</f>
      </c>
      <c r="AC85" s="24">
        <f>AC78-AC71</f>
      </c>
      <c r="AD85" s="24">
        <f>AD78-AD71</f>
      </c>
      <c r="AE85" s="24">
        <f>AE78-AE71</f>
      </c>
      <c r="AF85" s="24">
        <f>AF78-AF71</f>
      </c>
      <c r="AG85" s="24">
        <f>AG78-AG71</f>
      </c>
      <c r="AH85" s="24">
        <f>AH78-AH71</f>
      </c>
      <c r="AI85" s="24">
        <f>AI78-AI71</f>
      </c>
      <c r="AJ85" s="24">
        <f>AJ78-AJ71</f>
      </c>
      <c r="AK85" s="24">
        <f>AK78-AK71</f>
      </c>
      <c r="AL85" s="24">
        <f>AL78-AL71</f>
      </c>
      <c r="AM85" s="19"/>
    </row>
    <row r="86" ht="12.75" customHeight="1" spans="2:39" x14ac:dyDescent="0.25">
      <c r="B86" s="16"/>
      <c r="C86" s="17"/>
      <c r="D86" s="17" t="s">
        <v>44</v>
      </c>
      <c r="E86" s="17"/>
      <c r="F86" s="17"/>
      <c r="G86" s="24">
        <f>G79-G72</f>
      </c>
      <c r="H86" s="24">
        <f>H79-H72</f>
      </c>
      <c r="I86" s="24">
        <f>I79-I72</f>
      </c>
      <c r="J86" s="24">
        <f>J79-J72</f>
      </c>
      <c r="K86" s="24">
        <f>K79-K72</f>
      </c>
      <c r="L86" s="24">
        <f>L79-L72</f>
      </c>
      <c r="M86" s="24">
        <f>M79-M72</f>
      </c>
      <c r="N86" s="24">
        <f>N79-N72</f>
      </c>
      <c r="O86" s="24">
        <f>O79-O72</f>
      </c>
      <c r="P86" s="24">
        <f>P79-P72</f>
      </c>
      <c r="Q86" s="24">
        <f>Q79-Q72</f>
      </c>
      <c r="R86" s="24">
        <f>R79-R72</f>
      </c>
      <c r="S86" s="24">
        <f>S79-S72</f>
      </c>
      <c r="T86" s="24">
        <f>T79-T72</f>
      </c>
      <c r="U86" s="24">
        <f>U79-U72</f>
      </c>
      <c r="V86" s="24">
        <f>V79-V72</f>
      </c>
      <c r="W86" s="24">
        <f>W79-W72</f>
      </c>
      <c r="X86" s="24">
        <f>X79-X72</f>
      </c>
      <c r="Y86" s="24">
        <f>Y79-Y72</f>
      </c>
      <c r="Z86" s="24">
        <f>Z79-Z72</f>
      </c>
      <c r="AA86" s="24">
        <f>AA79-AA72</f>
      </c>
      <c r="AB86" s="24">
        <f>AB79-AB72</f>
      </c>
      <c r="AC86" s="24">
        <f>AC79-AC72</f>
      </c>
      <c r="AD86" s="24">
        <f>AD79-AD72</f>
      </c>
      <c r="AE86" s="24">
        <f>AE79-AE72</f>
      </c>
      <c r="AF86" s="24">
        <f>AF79-AF72</f>
      </c>
      <c r="AG86" s="24">
        <f>AG79-AG72</f>
      </c>
      <c r="AH86" s="24">
        <f>AH79-AH72</f>
      </c>
      <c r="AI86" s="24">
        <f>AI79-AI72</f>
      </c>
      <c r="AJ86" s="24">
        <f>AJ79-AJ72</f>
      </c>
      <c r="AK86" s="24">
        <f>AK79-AK72</f>
      </c>
      <c r="AL86" s="24">
        <f>AL79-AL72</f>
      </c>
      <c r="AM86" s="19"/>
    </row>
    <row r="87" ht="12.75" customHeight="1" spans="2:39" x14ac:dyDescent="0.25">
      <c r="B87" s="20"/>
      <c r="C87" s="21"/>
      <c r="D87" s="21" t="s">
        <v>45</v>
      </c>
      <c r="E87" s="21"/>
      <c r="F87" s="21"/>
      <c r="G87" s="25">
        <f>G83+G84+G85+G86</f>
      </c>
      <c r="H87" s="25">
        <f>H83+H84+H85+H86</f>
      </c>
      <c r="I87" s="25">
        <f>I83+I84+I85+I86</f>
      </c>
      <c r="J87" s="25">
        <f>J83+J84+J85+J86</f>
      </c>
      <c r="K87" s="25">
        <f>K83+K84+K85+K86</f>
      </c>
      <c r="L87" s="25">
        <f>L83+L84+L85+L86</f>
      </c>
      <c r="M87" s="25">
        <f>M83+M84+M85+M86</f>
      </c>
      <c r="N87" s="25">
        <f>N83+N84+N85+N86</f>
      </c>
      <c r="O87" s="25">
        <f>O83+O84+O85+O86</f>
      </c>
      <c r="P87" s="25">
        <f>P83+P84+P85+P86</f>
      </c>
      <c r="Q87" s="25">
        <f>Q83+Q84+Q85+Q86</f>
      </c>
      <c r="R87" s="25">
        <f>R83+R84+R85+R86</f>
      </c>
      <c r="S87" s="25">
        <f>S83+S84+S85+S86</f>
      </c>
      <c r="T87" s="25">
        <f>T83+T84+T85+T86</f>
      </c>
      <c r="U87" s="25">
        <f>U83+U84+U85+U86</f>
      </c>
      <c r="V87" s="25">
        <f>V83+V84+V85+V86</f>
      </c>
      <c r="W87" s="25">
        <f>W83+W84+W85+W86</f>
      </c>
      <c r="X87" s="25">
        <f>X83+X84+X85+X86</f>
      </c>
      <c r="Y87" s="25">
        <f>Y83+Y84+Y85+Y86</f>
      </c>
      <c r="Z87" s="25">
        <f>Z83+Z84+Z85+Z86</f>
      </c>
      <c r="AA87" s="25">
        <f>AA83+AA84+AA85+AA86</f>
      </c>
      <c r="AB87" s="25">
        <f>AB83+AB84+AB85+AB86</f>
      </c>
      <c r="AC87" s="25">
        <f>AC83+AC84+AC85+AC86</f>
      </c>
      <c r="AD87" s="25">
        <f>AD83+AD84+AD85+AD86</f>
      </c>
      <c r="AE87" s="25">
        <f>AE83+AE84+AE85+AE86</f>
      </c>
      <c r="AF87" s="25">
        <f>AF83+AF84+AF85+AF86</f>
      </c>
      <c r="AG87" s="25">
        <f>AG83+AG84+AG85+AG86</f>
      </c>
      <c r="AH87" s="25">
        <f>AH83+AH84+AH85+AH86</f>
      </c>
      <c r="AI87" s="25">
        <f>AI83+AI84+AI85+AI86</f>
      </c>
      <c r="AJ87" s="25">
        <f>AJ83+AJ84+AJ85+AJ86</f>
      </c>
      <c r="AK87" s="25">
        <f>AK83+AK84+AK85+AK86</f>
      </c>
      <c r="AL87" s="25">
        <f>AL83+AL84+AL85+AL86</f>
      </c>
      <c r="AM87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1768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649</v>
      </c>
      <c r="D13" s="32" t="s">
        <v>1707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>
        <v>33.24</v>
      </c>
      <c r="AA13" s="33">
        <v>33.24</v>
      </c>
      <c r="AB13" s="33">
        <v>33.25</v>
      </c>
      <c r="AC13" s="33">
        <v>33.24</v>
      </c>
      <c r="AD13" s="33">
        <v>33.24</v>
      </c>
      <c r="AE13" s="33">
        <v>33.24</v>
      </c>
      <c r="AF13" s="33">
        <v>33.24</v>
      </c>
      <c r="AG13" s="33">
        <v>33.25</v>
      </c>
      <c r="AH13" s="33">
        <v>33.25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649</v>
      </c>
      <c r="D14" s="32" t="s">
        <v>1708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>
        <v>160.14</v>
      </c>
      <c r="AA14" s="33">
        <v>155.09</v>
      </c>
      <c r="AB14" s="33">
        <v>140.45</v>
      </c>
      <c r="AC14" s="33">
        <v>141.85</v>
      </c>
      <c r="AD14" s="33">
        <v>95.02</v>
      </c>
      <c r="AE14" s="33">
        <v>75.89</v>
      </c>
      <c r="AF14" s="33">
        <v>92.63</v>
      </c>
      <c r="AG14" s="33">
        <v>80.93</v>
      </c>
      <c r="AH14" s="33">
        <v>74.73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649</v>
      </c>
      <c r="D15" s="32" t="s">
        <v>1709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3">
        <v>979.56</v>
      </c>
      <c r="AA15" s="33">
        <v>914.55</v>
      </c>
      <c r="AB15" s="33">
        <v>896.59</v>
      </c>
      <c r="AC15" s="33">
        <v>943.01</v>
      </c>
      <c r="AD15" s="33">
        <v>958.16</v>
      </c>
      <c r="AE15" s="33">
        <v>-11.13</v>
      </c>
      <c r="AF15" s="33">
        <v>1220.25</v>
      </c>
      <c r="AG15" s="33">
        <v>1377.07</v>
      </c>
      <c r="AH15" s="33">
        <v>1300.64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649</v>
      </c>
      <c r="D16" s="32" t="s">
        <v>1710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>
        <v>1741.87</v>
      </c>
      <c r="AA16" s="33">
        <v>1510.66</v>
      </c>
      <c r="AB16" s="33">
        <v>1624.98</v>
      </c>
      <c r="AC16" s="33">
        <v>1701.58</v>
      </c>
      <c r="AD16" s="33">
        <v>1588.36</v>
      </c>
      <c r="AE16" s="33">
        <v>1517.4</v>
      </c>
      <c r="AF16" s="33">
        <v>1769.63</v>
      </c>
      <c r="AG16" s="33">
        <v>1324.83</v>
      </c>
      <c r="AH16" s="33">
        <v>1411.05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649</v>
      </c>
      <c r="D17" s="32" t="s">
        <v>1711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>
        <v>1116.67</v>
      </c>
      <c r="AA17" s="33">
        <v>1088.31</v>
      </c>
      <c r="AB17" s="33">
        <v>921.11</v>
      </c>
      <c r="AC17" s="33">
        <v>1048.36</v>
      </c>
      <c r="AD17" s="33">
        <v>959.9</v>
      </c>
      <c r="AE17" s="33">
        <v>865.03</v>
      </c>
      <c r="AF17" s="33">
        <v>1113.51</v>
      </c>
      <c r="AG17" s="33">
        <v>1138.21</v>
      </c>
      <c r="AH17" s="33">
        <v>716.69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649</v>
      </c>
      <c r="D18" s="32" t="s">
        <v>1712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>
        <v>1110.28</v>
      </c>
      <c r="AB18" s="33">
        <v>1110.71</v>
      </c>
      <c r="AC18" s="33">
        <v>1144.29</v>
      </c>
      <c r="AD18" s="33">
        <v>778.29</v>
      </c>
      <c r="AE18" s="33">
        <v>1110.98</v>
      </c>
      <c r="AF18" s="33">
        <v>1110.98</v>
      </c>
      <c r="AG18" s="33">
        <v>1127.95</v>
      </c>
      <c r="AH18" s="33">
        <v>1059.07</v>
      </c>
      <c r="AI18" s="33">
        <v>1058.88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649</v>
      </c>
      <c r="D19" s="32" t="s">
        <v>1713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>
        <v>217.58</v>
      </c>
      <c r="AA19" s="33">
        <v>383.73</v>
      </c>
      <c r="AB19" s="33">
        <v>228.65</v>
      </c>
      <c r="AC19" s="33">
        <v>231.38</v>
      </c>
      <c r="AD19" s="33">
        <v>429.7</v>
      </c>
      <c r="AE19" s="33">
        <v>230.14</v>
      </c>
      <c r="AF19" s="33">
        <v>233.58</v>
      </c>
      <c r="AG19" s="33">
        <v>186.26</v>
      </c>
      <c r="AH19" s="33">
        <v>209.34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649</v>
      </c>
      <c r="D20" s="32" t="s">
        <v>1769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>
        <v>35.8</v>
      </c>
      <c r="AG20" s="33">
        <v>-5</v>
      </c>
      <c r="AH20" s="33">
        <v>25.63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649</v>
      </c>
      <c r="D21" s="32" t="s">
        <v>1721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73.57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649</v>
      </c>
      <c r="D22" s="32" t="s">
        <v>1736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>
        <v>129.94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649</v>
      </c>
      <c r="D23" s="32" t="s">
        <v>1738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3">
        <v>67.92</v>
      </c>
      <c r="AA23" s="33">
        <v>85.02</v>
      </c>
      <c r="AB23" s="33">
        <v>9.28</v>
      </c>
      <c r="AC23" s="33">
        <v>64.71</v>
      </c>
      <c r="AD23" s="33">
        <v>49.35</v>
      </c>
      <c r="AE23" s="36">
        <f>46.19+30.80</f>
        <v>76.99</v>
      </c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649</v>
      </c>
      <c r="D24" s="32" t="s">
        <v>1739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>
        <v>135.9</v>
      </c>
      <c r="AB24" s="33">
        <v>129.31</v>
      </c>
      <c r="AC24" s="33">
        <v>-40</v>
      </c>
      <c r="AD24" s="33">
        <v>27.36</v>
      </c>
      <c r="AE24" s="33">
        <v>63.37</v>
      </c>
      <c r="AF24" s="33">
        <v>72.65</v>
      </c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649</v>
      </c>
      <c r="D25" s="32" t="s">
        <v>1741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89.47</v>
      </c>
      <c r="AA25" s="33">
        <v>-226.6</v>
      </c>
      <c r="AB25" s="33">
        <v>-70.59</v>
      </c>
      <c r="AC25" s="33">
        <v>49.28</v>
      </c>
      <c r="AD25" s="33">
        <v>100.73</v>
      </c>
      <c r="AE25" s="36">
        <f>1.70+104.68</f>
        <v>106.38000000000001</v>
      </c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649</v>
      </c>
      <c r="D26" s="32" t="s">
        <v>1743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3">
        <v>25.67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649</v>
      </c>
      <c r="D27" s="32" t="s">
        <v>1744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>
        <v>55.9</v>
      </c>
      <c r="AA27" s="33">
        <v>70.26</v>
      </c>
      <c r="AB27" s="33">
        <v>63.05</v>
      </c>
      <c r="AC27" s="33">
        <v>47.21</v>
      </c>
      <c r="AD27" s="33">
        <v>30.8</v>
      </c>
      <c r="AE27" s="33">
        <v>61.6</v>
      </c>
      <c r="AF27" s="33">
        <v>20.53</v>
      </c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649</v>
      </c>
      <c r="D28" s="32" t="s">
        <v>1745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>
        <v>201.5</v>
      </c>
      <c r="AA28" s="33">
        <v>253.64</v>
      </c>
      <c r="AB28" s="33">
        <v>1.99</v>
      </c>
      <c r="AC28" s="33">
        <v>173.34</v>
      </c>
      <c r="AD28" s="33">
        <v>171.87</v>
      </c>
      <c r="AE28" s="33">
        <v>103.34</v>
      </c>
      <c r="AF28" s="33">
        <v>149.29</v>
      </c>
      <c r="AG28" s="33">
        <v>144.23</v>
      </c>
      <c r="AH28" s="33">
        <v>130.67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649</v>
      </c>
      <c r="D29" s="32" t="s">
        <v>1746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3">
        <v>80.08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649</v>
      </c>
      <c r="D30" s="32" t="s">
        <v>1747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3">
        <v>67.59</v>
      </c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85</v>
      </c>
      <c r="C32" s="21"/>
      <c r="D32" s="21"/>
      <c r="E32" s="22">
        <f>SUM(E13:E30)</f>
      </c>
      <c r="F32" s="22">
        <f>SUM(F13:F30)</f>
      </c>
      <c r="G32" s="22">
        <f>SUM(G13:G30)</f>
      </c>
      <c r="H32" s="22">
        <f>SUM(H13:H30)</f>
      </c>
      <c r="I32" s="22">
        <f>SUM(I13:I30)</f>
      </c>
      <c r="J32" s="22">
        <f>SUM(J13:J30)</f>
      </c>
      <c r="K32" s="22">
        <f>SUM(K13:K30)</f>
      </c>
      <c r="L32" s="22">
        <f>SUM(L13:L30)</f>
      </c>
      <c r="M32" s="22">
        <f>SUM(M13:M30)</f>
      </c>
      <c r="N32" s="22">
        <f>SUM(N13:N30)</f>
      </c>
      <c r="O32" s="22">
        <f>SUM(O13:O30)</f>
      </c>
      <c r="P32" s="22">
        <f>SUM(P13:P30)</f>
      </c>
      <c r="Q32" s="22">
        <f>SUM(Q13:Q30)</f>
      </c>
      <c r="R32" s="22">
        <f>SUM(R13:R30)</f>
      </c>
      <c r="S32" s="22">
        <f>SUM(S13:S30)</f>
      </c>
      <c r="T32" s="22">
        <f>SUM(T13:T30)</f>
      </c>
      <c r="U32" s="22">
        <f>SUM(U13:U30)</f>
      </c>
      <c r="V32" s="22">
        <f>SUM(V13:V30)</f>
      </c>
      <c r="W32" s="22">
        <f>SUM(W13:W30)</f>
      </c>
      <c r="X32" s="22">
        <f>SUM(X13:X30)</f>
      </c>
      <c r="Y32" s="22">
        <f>SUM(Y13:Y30)</f>
      </c>
      <c r="Z32" s="22">
        <f>SUM(Z13:Z30)</f>
      </c>
      <c r="AA32" s="22">
        <f>SUM(AA13:AA30)</f>
      </c>
      <c r="AB32" s="22">
        <f>SUM(AB13:AB30)</f>
      </c>
      <c r="AC32" s="22">
        <f>SUM(AC13:AC30)</f>
      </c>
      <c r="AD32" s="22">
        <f>SUM(AD13:AD30)</f>
      </c>
      <c r="AE32" s="22">
        <f>SUM(AE13:AE30)</f>
      </c>
      <c r="AF32" s="22">
        <f>SUM(AF13:AF30)</f>
      </c>
      <c r="AG32" s="22">
        <f>SUM(AG13:AG30)</f>
      </c>
      <c r="AH32" s="22">
        <f>SUM(AH13:AH30)</f>
      </c>
      <c r="AI32" s="22">
        <f>SUM(AI13:AI30)</f>
      </c>
      <c r="AJ32" s="22">
        <f>SUM(AJ13:AJ30)</f>
      </c>
      <c r="AK32" s="23"/>
    </row>
    <row r="34" ht="12.75" customHeight="1" spans="2:37" x14ac:dyDescent="0.25">
      <c r="B34" s="26" t="s">
        <v>43</v>
      </c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9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89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3"/>
    </row>
    <row r="38" ht="12.75" customHeight="1" spans="2:37" x14ac:dyDescent="0.25">
      <c r="B38" s="26" t="s">
        <v>44</v>
      </c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9"/>
    </row>
    <row r="39" ht="12.75" customHeight="1" spans="2:37" x14ac:dyDescent="0.25">
      <c r="B39" s="37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40"/>
    </row>
    <row r="40" ht="12.75" customHeight="1" spans="2:37" x14ac:dyDescent="0.25">
      <c r="B40" s="20" t="s">
        <v>90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3"/>
    </row>
    <row r="43" ht="12.75" customHeight="1" spans="2:37" x14ac:dyDescent="0.25">
      <c r="B43" s="11" t="s">
        <v>40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>
        <f>E10</f>
      </c>
      <c r="F44" s="18">
        <f>F10</f>
      </c>
      <c r="G44" s="18">
        <f>G10</f>
      </c>
      <c r="H44" s="18">
        <f>H10</f>
      </c>
      <c r="I44" s="18">
        <f>I10</f>
      </c>
      <c r="J44" s="18">
        <f>J10</f>
      </c>
      <c r="K44" s="18">
        <f>K10</f>
      </c>
      <c r="L44" s="18">
        <f>L10</f>
      </c>
      <c r="M44" s="18">
        <f>M10</f>
      </c>
      <c r="N44" s="18">
        <f>N10</f>
      </c>
      <c r="O44" s="18">
        <f>O10</f>
      </c>
      <c r="P44" s="18">
        <f>P10</f>
      </c>
      <c r="Q44" s="18">
        <f>Q10</f>
      </c>
      <c r="R44" s="18">
        <f>R10</f>
      </c>
      <c r="S44" s="18">
        <f>S10</f>
      </c>
      <c r="T44" s="18">
        <f>T10</f>
      </c>
      <c r="U44" s="18">
        <f>U10</f>
      </c>
      <c r="V44" s="18">
        <f>V10</f>
      </c>
      <c r="W44" s="18">
        <f>W10</f>
      </c>
      <c r="X44" s="18">
        <f>X10</f>
      </c>
      <c r="Y44" s="18">
        <f>Y10</f>
      </c>
      <c r="Z44" s="18">
        <f>Z10</f>
      </c>
      <c r="AA44" s="18">
        <f>AA10</f>
      </c>
      <c r="AB44" s="18">
        <f>AB10</f>
      </c>
      <c r="AC44" s="18">
        <f>AC10</f>
      </c>
      <c r="AD44" s="18">
        <f>AD10</f>
      </c>
      <c r="AE44" s="18">
        <f>AE10</f>
      </c>
      <c r="AF44" s="18">
        <f>AF10</f>
      </c>
      <c r="AG44" s="18">
        <f>AG10</f>
      </c>
      <c r="AH44" s="18">
        <f>AH10</f>
      </c>
      <c r="AI44" s="18">
        <f>AI10</f>
      </c>
      <c r="AJ44" s="18">
        <f>AJ10</f>
      </c>
      <c r="AK44" s="19"/>
    </row>
    <row r="45" ht="12.75" customHeight="1" spans="2:37" x14ac:dyDescent="0.25">
      <c r="B45" s="16" t="s">
        <v>42</v>
      </c>
      <c r="C45" s="17"/>
      <c r="D45" s="17"/>
      <c r="E45" s="18">
        <f>E32</f>
      </c>
      <c r="F45" s="18">
        <f>F32</f>
      </c>
      <c r="G45" s="18">
        <f>G32</f>
      </c>
      <c r="H45" s="18">
        <f>H32</f>
      </c>
      <c r="I45" s="18">
        <f>I32</f>
      </c>
      <c r="J45" s="18">
        <f>J32</f>
      </c>
      <c r="K45" s="18">
        <f>K32</f>
      </c>
      <c r="L45" s="18">
        <f>L32</f>
      </c>
      <c r="M45" s="18">
        <f>M32</f>
      </c>
      <c r="N45" s="18">
        <f>N32</f>
      </c>
      <c r="O45" s="18">
        <f>O32</f>
      </c>
      <c r="P45" s="18">
        <f>P32</f>
      </c>
      <c r="Q45" s="18">
        <f>Q32</f>
      </c>
      <c r="R45" s="18">
        <f>R32</f>
      </c>
      <c r="S45" s="18">
        <f>S32</f>
      </c>
      <c r="T45" s="18">
        <f>T32</f>
      </c>
      <c r="U45" s="18">
        <f>U32</f>
      </c>
      <c r="V45" s="18">
        <f>V32</f>
      </c>
      <c r="W45" s="18">
        <f>W32</f>
      </c>
      <c r="X45" s="18">
        <f>X32</f>
      </c>
      <c r="Y45" s="18">
        <f>Y32</f>
      </c>
      <c r="Z45" s="18">
        <f>Z32</f>
      </c>
      <c r="AA45" s="18">
        <f>AA32</f>
      </c>
      <c r="AB45" s="18">
        <f>AB32</f>
      </c>
      <c r="AC45" s="18">
        <f>AC32</f>
      </c>
      <c r="AD45" s="18">
        <f>AD32</f>
      </c>
      <c r="AE45" s="18">
        <f>AE32</f>
      </c>
      <c r="AF45" s="18">
        <f>AF32</f>
      </c>
      <c r="AG45" s="18">
        <f>AG32</f>
      </c>
      <c r="AH45" s="18">
        <f>AH32</f>
      </c>
      <c r="AI45" s="18">
        <f>AI32</f>
      </c>
      <c r="AJ45" s="18">
        <f>AJ32</f>
      </c>
      <c r="AK45" s="19"/>
    </row>
    <row r="46" ht="12.75" customHeight="1" spans="2:37" x14ac:dyDescent="0.25">
      <c r="B46" s="16" t="s">
        <v>43</v>
      </c>
      <c r="C46" s="17"/>
      <c r="D46" s="17"/>
      <c r="E46" s="18">
        <f>E36</f>
      </c>
      <c r="F46" s="18">
        <f>F36</f>
      </c>
      <c r="G46" s="18">
        <f>G36</f>
      </c>
      <c r="H46" s="18">
        <f>H36</f>
      </c>
      <c r="I46" s="18">
        <f>I36</f>
      </c>
      <c r="J46" s="18">
        <f>J36</f>
      </c>
      <c r="K46" s="18">
        <f>K36</f>
      </c>
      <c r="L46" s="18">
        <f>L36</f>
      </c>
      <c r="M46" s="18">
        <f>M36</f>
      </c>
      <c r="N46" s="18">
        <f>N36</f>
      </c>
      <c r="O46" s="18">
        <f>O36</f>
      </c>
      <c r="P46" s="18">
        <f>P36</f>
      </c>
      <c r="Q46" s="18">
        <f>Q36</f>
      </c>
      <c r="R46" s="18">
        <f>R36</f>
      </c>
      <c r="S46" s="18">
        <f>S36</f>
      </c>
      <c r="T46" s="18">
        <f>T36</f>
      </c>
      <c r="U46" s="18">
        <f>U36</f>
      </c>
      <c r="V46" s="18">
        <f>V36</f>
      </c>
      <c r="W46" s="18">
        <f>W36</f>
      </c>
      <c r="X46" s="18">
        <f>X36</f>
      </c>
      <c r="Y46" s="18">
        <f>Y36</f>
      </c>
      <c r="Z46" s="18">
        <f>Z36</f>
      </c>
      <c r="AA46" s="18">
        <f>AA36</f>
      </c>
      <c r="AB46" s="18">
        <f>AB36</f>
      </c>
      <c r="AC46" s="18">
        <f>AC36</f>
      </c>
      <c r="AD46" s="18">
        <f>AD36</f>
      </c>
      <c r="AE46" s="18">
        <f>AE36</f>
      </c>
      <c r="AF46" s="18">
        <f>AF36</f>
      </c>
      <c r="AG46" s="18">
        <f>AG36</f>
      </c>
      <c r="AH46" s="18">
        <f>AH36</f>
      </c>
      <c r="AI46" s="18">
        <f>AI36</f>
      </c>
      <c r="AJ46" s="18">
        <f>AJ36</f>
      </c>
      <c r="AK46" s="19"/>
    </row>
    <row r="47" ht="12.75" customHeight="1" spans="2:37" x14ac:dyDescent="0.25">
      <c r="B47" s="16" t="s">
        <v>44</v>
      </c>
      <c r="C47" s="17"/>
      <c r="D47" s="17"/>
      <c r="E47" s="18">
        <f>E40</f>
      </c>
      <c r="F47" s="18">
        <f>F40</f>
      </c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46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42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43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44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20" t="s">
        <v>45</v>
      </c>
      <c r="C55" s="21"/>
      <c r="D55" s="21"/>
      <c r="E55" s="22">
        <f>E51+E52+E53+E54</f>
      </c>
      <c r="F55" s="22">
        <f>F51+F52+F53+F54</f>
      </c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3"/>
    </row>
    <row r="57" ht="12.75" customHeight="1" spans="2:37" x14ac:dyDescent="0.25">
      <c r="B57" s="11" t="s">
        <v>47</v>
      </c>
      <c r="C57" s="12"/>
      <c r="D57" s="13"/>
      <c r="E57" s="14" t="s">
        <v>7</v>
      </c>
      <c r="F57" s="14" t="s">
        <v>8</v>
      </c>
      <c r="G57" s="14" t="s">
        <v>9</v>
      </c>
      <c r="H57" s="14" t="s">
        <v>10</v>
      </c>
      <c r="I57" s="14" t="s">
        <v>11</v>
      </c>
      <c r="J57" s="14" t="s">
        <v>12</v>
      </c>
      <c r="K57" s="14" t="s">
        <v>13</v>
      </c>
      <c r="L57" s="14" t="s">
        <v>14</v>
      </c>
      <c r="M57" s="14" t="s">
        <v>15</v>
      </c>
      <c r="N57" s="14" t="s">
        <v>16</v>
      </c>
      <c r="O57" s="14" t="s">
        <v>17</v>
      </c>
      <c r="P57" s="14" t="s">
        <v>18</v>
      </c>
      <c r="Q57" s="14" t="s">
        <v>19</v>
      </c>
      <c r="R57" s="14" t="s">
        <v>20</v>
      </c>
      <c r="S57" s="14" t="s">
        <v>21</v>
      </c>
      <c r="T57" s="14" t="s">
        <v>22</v>
      </c>
      <c r="U57" s="14" t="s">
        <v>23</v>
      </c>
      <c r="V57" s="14" t="s">
        <v>24</v>
      </c>
      <c r="W57" s="14" t="s">
        <v>25</v>
      </c>
      <c r="X57" s="14" t="s">
        <v>26</v>
      </c>
      <c r="Y57" s="14" t="s">
        <v>27</v>
      </c>
      <c r="Z57" s="14" t="s">
        <v>28</v>
      </c>
      <c r="AA57" s="14" t="s">
        <v>29</v>
      </c>
      <c r="AB57" s="14" t="s">
        <v>30</v>
      </c>
      <c r="AC57" s="14" t="s">
        <v>31</v>
      </c>
      <c r="AD57" s="14" t="s">
        <v>32</v>
      </c>
      <c r="AE57" s="14" t="s">
        <v>33</v>
      </c>
      <c r="AF57" s="14" t="s">
        <v>34</v>
      </c>
      <c r="AG57" s="14" t="s">
        <v>35</v>
      </c>
      <c r="AH57" s="14" t="s">
        <v>36</v>
      </c>
      <c r="AI57" s="14" t="s">
        <v>37</v>
      </c>
      <c r="AJ57" s="14" t="s">
        <v>38</v>
      </c>
      <c r="AK57" s="15"/>
    </row>
    <row r="58" ht="12.75" customHeight="1" spans="2:37" x14ac:dyDescent="0.25">
      <c r="B58" s="16" t="s">
        <v>41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42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43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44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20" t="s">
        <v>45</v>
      </c>
      <c r="C62" s="21"/>
      <c r="D62" s="21"/>
      <c r="E62" s="25">
        <f>E58+E59+E60+E61</f>
      </c>
      <c r="F62" s="25">
        <f>F58+F59+F60+F61</f>
      </c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1768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1572</v>
      </c>
      <c r="AA8" s="44" t="s">
        <v>1770</v>
      </c>
      <c r="AB8" s="44" t="s">
        <v>1771</v>
      </c>
      <c r="AC8" s="44" t="s">
        <v>1772</v>
      </c>
      <c r="AD8" s="44" t="s">
        <v>1773</v>
      </c>
      <c r="AE8" s="44" t="s">
        <v>1774</v>
      </c>
      <c r="AF8" s="44" t="s">
        <v>1775</v>
      </c>
      <c r="AG8" s="44" t="s">
        <v>1776</v>
      </c>
      <c r="AH8" s="44" t="s">
        <v>1777</v>
      </c>
      <c r="AI8" s="44" t="s">
        <v>1778</v>
      </c>
      <c r="AJ8" s="44" t="s">
        <v>1779</v>
      </c>
      <c r="AK8" s="44" t="s">
        <v>1780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1768</v>
      </c>
      <c r="D14" s="50" t="s">
        <v>42</v>
      </c>
      <c r="E14" s="32" t="s">
        <v>649</v>
      </c>
      <c r="F14" s="32" t="s">
        <v>1707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>
        <v>33.24</v>
      </c>
      <c r="AC14" s="33">
        <v>33.24</v>
      </c>
      <c r="AD14" s="33">
        <v>33.25</v>
      </c>
      <c r="AE14" s="33">
        <v>33.24</v>
      </c>
      <c r="AF14" s="33">
        <v>33.24</v>
      </c>
      <c r="AG14" s="33">
        <v>33.24</v>
      </c>
      <c r="AH14" s="33">
        <v>33.24</v>
      </c>
      <c r="AI14" s="33">
        <v>33.25</v>
      </c>
      <c r="AJ14" s="33">
        <v>33.25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1768</v>
      </c>
      <c r="D15" s="50" t="s">
        <v>42</v>
      </c>
      <c r="E15" s="32" t="s">
        <v>649</v>
      </c>
      <c r="F15" s="32" t="s">
        <v>1708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v>160.14</v>
      </c>
      <c r="AC15" s="33">
        <v>155.09</v>
      </c>
      <c r="AD15" s="33">
        <v>140.45</v>
      </c>
      <c r="AE15" s="33">
        <v>141.85</v>
      </c>
      <c r="AF15" s="33">
        <v>95.02</v>
      </c>
      <c r="AG15" s="33">
        <v>75.89</v>
      </c>
      <c r="AH15" s="33">
        <v>92.63</v>
      </c>
      <c r="AI15" s="33">
        <v>80.93</v>
      </c>
      <c r="AJ15" s="33">
        <v>74.73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1768</v>
      </c>
      <c r="D16" s="50" t="s">
        <v>42</v>
      </c>
      <c r="E16" s="32" t="s">
        <v>649</v>
      </c>
      <c r="F16" s="32" t="s">
        <v>1709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>
        <v>979.56</v>
      </c>
      <c r="AC16" s="33">
        <v>914.55</v>
      </c>
      <c r="AD16" s="33">
        <v>896.59</v>
      </c>
      <c r="AE16" s="33">
        <v>943.01</v>
      </c>
      <c r="AF16" s="33">
        <v>958.16</v>
      </c>
      <c r="AG16" s="33">
        <v>-11.13</v>
      </c>
      <c r="AH16" s="33">
        <v>1220.25</v>
      </c>
      <c r="AI16" s="33">
        <v>1377.07</v>
      </c>
      <c r="AJ16" s="33">
        <v>1300.64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1768</v>
      </c>
      <c r="D17" s="50" t="s">
        <v>42</v>
      </c>
      <c r="E17" s="32" t="s">
        <v>649</v>
      </c>
      <c r="F17" s="32" t="s">
        <v>1710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>
        <v>1741.87</v>
      </c>
      <c r="AC17" s="33">
        <v>1510.66</v>
      </c>
      <c r="AD17" s="33">
        <v>1624.98</v>
      </c>
      <c r="AE17" s="33">
        <v>1701.58</v>
      </c>
      <c r="AF17" s="33">
        <v>1588.36</v>
      </c>
      <c r="AG17" s="33">
        <v>1517.4</v>
      </c>
      <c r="AH17" s="33">
        <v>1769.63</v>
      </c>
      <c r="AI17" s="33">
        <v>1324.83</v>
      </c>
      <c r="AJ17" s="33">
        <v>1411.05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1768</v>
      </c>
      <c r="D18" s="50" t="s">
        <v>42</v>
      </c>
      <c r="E18" s="32" t="s">
        <v>649</v>
      </c>
      <c r="F18" s="32" t="s">
        <v>1711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1116.67</v>
      </c>
      <c r="AC18" s="33">
        <v>1088.31</v>
      </c>
      <c r="AD18" s="33">
        <v>921.11</v>
      </c>
      <c r="AE18" s="33">
        <v>1048.36</v>
      </c>
      <c r="AF18" s="33">
        <v>959.9</v>
      </c>
      <c r="AG18" s="33">
        <v>865.03</v>
      </c>
      <c r="AH18" s="33">
        <v>1113.51</v>
      </c>
      <c r="AI18" s="33">
        <v>1138.21</v>
      </c>
      <c r="AJ18" s="33">
        <v>716.69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1768</v>
      </c>
      <c r="D19" s="50" t="s">
        <v>42</v>
      </c>
      <c r="E19" s="32" t="s">
        <v>649</v>
      </c>
      <c r="F19" s="32" t="s">
        <v>1712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3">
        <v>1110.28</v>
      </c>
      <c r="AD19" s="33">
        <v>1110.71</v>
      </c>
      <c r="AE19" s="33">
        <v>1144.29</v>
      </c>
      <c r="AF19" s="33">
        <v>778.29</v>
      </c>
      <c r="AG19" s="33">
        <v>1110.98</v>
      </c>
      <c r="AH19" s="33">
        <v>1110.98</v>
      </c>
      <c r="AI19" s="33">
        <v>1127.95</v>
      </c>
      <c r="AJ19" s="33">
        <v>1059.07</v>
      </c>
      <c r="AK19" s="33">
        <v>1058.88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1768</v>
      </c>
      <c r="D20" s="50" t="s">
        <v>42</v>
      </c>
      <c r="E20" s="32" t="s">
        <v>649</v>
      </c>
      <c r="F20" s="32" t="s">
        <v>1713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>
        <v>217.58</v>
      </c>
      <c r="AC20" s="33">
        <v>383.73</v>
      </c>
      <c r="AD20" s="33">
        <v>228.65</v>
      </c>
      <c r="AE20" s="33">
        <v>231.38</v>
      </c>
      <c r="AF20" s="33">
        <v>429.7</v>
      </c>
      <c r="AG20" s="33">
        <v>230.14</v>
      </c>
      <c r="AH20" s="33">
        <v>233.58</v>
      </c>
      <c r="AI20" s="33">
        <v>186.26</v>
      </c>
      <c r="AJ20" s="33">
        <v>209.34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1768</v>
      </c>
      <c r="D21" s="50" t="s">
        <v>42</v>
      </c>
      <c r="E21" s="32" t="s">
        <v>649</v>
      </c>
      <c r="F21" s="32" t="s">
        <v>1769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3">
        <v>35.8</v>
      </c>
      <c r="AI21" s="33">
        <v>-5</v>
      </c>
      <c r="AJ21" s="33">
        <v>25.63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1768</v>
      </c>
      <c r="D22" s="50" t="s">
        <v>42</v>
      </c>
      <c r="E22" s="32" t="s">
        <v>649</v>
      </c>
      <c r="F22" s="32" t="s">
        <v>1721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73.57</v>
      </c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1768</v>
      </c>
      <c r="D23" s="50" t="s">
        <v>42</v>
      </c>
      <c r="E23" s="32" t="s">
        <v>649</v>
      </c>
      <c r="F23" s="32" t="s">
        <v>1736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3">
        <v>129.94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1768</v>
      </c>
      <c r="D24" s="50" t="s">
        <v>42</v>
      </c>
      <c r="E24" s="32" t="s">
        <v>649</v>
      </c>
      <c r="F24" s="32" t="s">
        <v>1738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67.92</v>
      </c>
      <c r="AC24" s="33">
        <v>85.02</v>
      </c>
      <c r="AD24" s="33">
        <v>9.28</v>
      </c>
      <c r="AE24" s="33">
        <v>64.71</v>
      </c>
      <c r="AF24" s="33">
        <v>49.35</v>
      </c>
      <c r="AG24" s="33">
        <f>46.19+30.80</f>
        <v>76.99</v>
      </c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1768</v>
      </c>
      <c r="D25" s="50" t="s">
        <v>42</v>
      </c>
      <c r="E25" s="32" t="s">
        <v>649</v>
      </c>
      <c r="F25" s="32" t="s">
        <v>1739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3">
        <v>135.9</v>
      </c>
      <c r="AD25" s="33">
        <v>129.31</v>
      </c>
      <c r="AE25" s="33">
        <v>-40</v>
      </c>
      <c r="AF25" s="33">
        <v>27.36</v>
      </c>
      <c r="AG25" s="33">
        <v>63.37</v>
      </c>
      <c r="AH25" s="33">
        <v>72.65</v>
      </c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1768</v>
      </c>
      <c r="D26" s="50" t="s">
        <v>42</v>
      </c>
      <c r="E26" s="32" t="s">
        <v>649</v>
      </c>
      <c r="F26" s="32" t="s">
        <v>1741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89.47</v>
      </c>
      <c r="AC26" s="33">
        <v>-226.6</v>
      </c>
      <c r="AD26" s="33">
        <v>-70.59</v>
      </c>
      <c r="AE26" s="33">
        <v>49.28</v>
      </c>
      <c r="AF26" s="33">
        <v>100.73</v>
      </c>
      <c r="AG26" s="33">
        <f>1.70+104.68</f>
        <v>106.38000000000001</v>
      </c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1768</v>
      </c>
      <c r="D27" s="50" t="s">
        <v>42</v>
      </c>
      <c r="E27" s="32" t="s">
        <v>649</v>
      </c>
      <c r="F27" s="32" t="s">
        <v>1743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3">
        <v>25.67</v>
      </c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1768</v>
      </c>
      <c r="D28" s="50" t="s">
        <v>42</v>
      </c>
      <c r="E28" s="32" t="s">
        <v>649</v>
      </c>
      <c r="F28" s="32" t="s">
        <v>1744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3">
        <v>55.9</v>
      </c>
      <c r="AC28" s="33">
        <v>70.26</v>
      </c>
      <c r="AD28" s="33">
        <v>63.05</v>
      </c>
      <c r="AE28" s="33">
        <v>47.21</v>
      </c>
      <c r="AF28" s="33">
        <v>30.8</v>
      </c>
      <c r="AG28" s="33">
        <v>61.6</v>
      </c>
      <c r="AH28" s="33">
        <v>20.53</v>
      </c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1768</v>
      </c>
      <c r="D29" s="50" t="s">
        <v>42</v>
      </c>
      <c r="E29" s="32" t="s">
        <v>649</v>
      </c>
      <c r="F29" s="32" t="s">
        <v>1745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201.5</v>
      </c>
      <c r="AC29" s="33">
        <v>253.64</v>
      </c>
      <c r="AD29" s="33">
        <v>1.99</v>
      </c>
      <c r="AE29" s="33">
        <v>173.34</v>
      </c>
      <c r="AF29" s="33">
        <v>171.87</v>
      </c>
      <c r="AG29" s="33">
        <v>103.34</v>
      </c>
      <c r="AH29" s="33">
        <v>149.29</v>
      </c>
      <c r="AI29" s="33">
        <v>144.23</v>
      </c>
      <c r="AJ29" s="33">
        <v>130.67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1768</v>
      </c>
      <c r="D30" s="50" t="s">
        <v>42</v>
      </c>
      <c r="E30" s="32" t="s">
        <v>649</v>
      </c>
      <c r="F30" s="32" t="s">
        <v>1746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>
        <v>80.08</v>
      </c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1768</v>
      </c>
      <c r="D31" s="50" t="s">
        <v>42</v>
      </c>
      <c r="E31" s="32" t="s">
        <v>649</v>
      </c>
      <c r="F31" s="32" t="s">
        <v>1747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3">
        <v>67.59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85</v>
      </c>
      <c r="E33" s="21"/>
      <c r="F33" s="21"/>
      <c r="G33" s="22">
        <f>SUM(G14:G31)</f>
      </c>
      <c r="H33" s="22">
        <f>SUM(H14:H31)</f>
      </c>
      <c r="I33" s="22">
        <f>SUM(I14:I31)</f>
      </c>
      <c r="J33" s="22">
        <f>SUM(J14:J31)</f>
      </c>
      <c r="K33" s="22">
        <f>SUM(K14:K31)</f>
      </c>
      <c r="L33" s="22">
        <f>SUM(L14:L31)</f>
      </c>
      <c r="M33" s="22">
        <f>SUM(M14:M31)</f>
      </c>
      <c r="N33" s="22">
        <f>SUM(N14:N31)</f>
      </c>
      <c r="O33" s="22">
        <f>SUM(O14:O31)</f>
      </c>
      <c r="P33" s="22">
        <f>SUM(P14:P31)</f>
      </c>
      <c r="Q33" s="22">
        <f>SUM(Q14:Q31)</f>
      </c>
      <c r="R33" s="22">
        <f>SUM(R14:R31)</f>
      </c>
      <c r="S33" s="22">
        <f>SUM(S14:S31)</f>
      </c>
      <c r="T33" s="22">
        <f>SUM(T14:T31)</f>
      </c>
      <c r="U33" s="22">
        <f>SUM(U14:U31)</f>
      </c>
      <c r="V33" s="22">
        <f>SUM(V14:V31)</f>
      </c>
      <c r="W33" s="22">
        <f>SUM(W14:W31)</f>
      </c>
      <c r="X33" s="22">
        <f>SUM(X14:X31)</f>
      </c>
      <c r="Y33" s="22">
        <f>SUM(Y14:Y31)</f>
      </c>
      <c r="Z33" s="22">
        <f>SUM(Z14:Z31)</f>
      </c>
      <c r="AA33" s="22">
        <f>SUM(AA14:AA31)</f>
      </c>
      <c r="AB33" s="22">
        <f>SUM(AB14:AB31)</f>
      </c>
      <c r="AC33" s="22">
        <f>SUM(AC14:AC31)</f>
      </c>
      <c r="AD33" s="22">
        <f>SUM(AD14:AD31)</f>
      </c>
      <c r="AE33" s="22">
        <f>SUM(AE14:AE31)</f>
      </c>
      <c r="AF33" s="22">
        <f>SUM(AF14:AF31)</f>
      </c>
      <c r="AG33" s="22">
        <f>SUM(AG14:AG31)</f>
      </c>
      <c r="AH33" s="22">
        <f>SUM(AH14:AH31)</f>
      </c>
      <c r="AI33" s="22">
        <f>SUM(AI14:AI31)</f>
      </c>
      <c r="AJ33" s="22">
        <f>SUM(AJ14:AJ31)</f>
      </c>
      <c r="AK33" s="22">
        <f>SUM(AK14:AK31)</f>
      </c>
      <c r="AL33" s="22">
        <f>SUM(AL14:AL31)</f>
      </c>
      <c r="AM33" s="23"/>
    </row>
    <row r="35" ht="13.5" customHeight="1" spans="2:39" x14ac:dyDescent="0.25">
      <c r="B35" s="46"/>
      <c r="C35" s="28"/>
      <c r="D35" s="47" t="s">
        <v>43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9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89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3"/>
    </row>
    <row r="39" ht="13.5" customHeight="1" spans="2:39" x14ac:dyDescent="0.25">
      <c r="B39" s="46"/>
      <c r="C39" s="28"/>
      <c r="D39" s="47" t="s">
        <v>44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9"/>
    </row>
    <row r="40" ht="13.5" customHeight="1" spans="2:39" x14ac:dyDescent="0.25">
      <c r="B40" s="5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0"/>
    </row>
    <row r="41" ht="13.5" customHeight="1" spans="2:39" x14ac:dyDescent="0.25">
      <c r="B41" s="20"/>
      <c r="C41" s="21"/>
      <c r="D41" s="21" t="s">
        <v>90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3"/>
    </row>
    <row r="44" ht="12.75" customHeight="1" spans="2:39" x14ac:dyDescent="0.25">
      <c r="B44" s="11" t="s">
        <v>40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>
        <f>G11</f>
      </c>
      <c r="H45" s="18">
        <f>H11</f>
      </c>
      <c r="I45" s="18">
        <f>I11</f>
      </c>
      <c r="J45" s="18">
        <f>J11</f>
      </c>
      <c r="K45" s="18">
        <f>K11</f>
      </c>
      <c r="L45" s="18">
        <f>L11</f>
      </c>
      <c r="M45" s="18">
        <f>M11</f>
      </c>
      <c r="N45" s="18">
        <f>N11</f>
      </c>
      <c r="O45" s="18">
        <f>O11</f>
      </c>
      <c r="P45" s="18">
        <f>P11</f>
      </c>
      <c r="Q45" s="18">
        <f>Q11</f>
      </c>
      <c r="R45" s="18">
        <f>R11</f>
      </c>
      <c r="S45" s="18">
        <f>S11</f>
      </c>
      <c r="T45" s="18">
        <f>T11</f>
      </c>
      <c r="U45" s="18">
        <f>U11</f>
      </c>
      <c r="V45" s="18">
        <f>V11</f>
      </c>
      <c r="W45" s="18">
        <f>W11</f>
      </c>
      <c r="X45" s="18">
        <f>X11</f>
      </c>
      <c r="Y45" s="18">
        <f>Y11</f>
      </c>
      <c r="Z45" s="18">
        <f>Z11</f>
      </c>
      <c r="AA45" s="18">
        <f>AA11</f>
      </c>
      <c r="AB45" s="18">
        <f>AB11</f>
      </c>
      <c r="AC45" s="18">
        <f>AC11</f>
      </c>
      <c r="AD45" s="18">
        <f>AD11</f>
      </c>
      <c r="AE45" s="18">
        <f>AE11</f>
      </c>
      <c r="AF45" s="18">
        <f>AF11</f>
      </c>
      <c r="AG45" s="18">
        <f>AG11</f>
      </c>
      <c r="AH45" s="18">
        <f>AH11</f>
      </c>
      <c r="AI45" s="18">
        <f>AI11</f>
      </c>
      <c r="AJ45" s="18">
        <f>AJ11</f>
      </c>
      <c r="AK45" s="18">
        <f>AK11</f>
      </c>
      <c r="AL45" s="18">
        <f>AL11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>
        <f>G33</f>
      </c>
      <c r="H46" s="18">
        <f>H33</f>
      </c>
      <c r="I46" s="18">
        <f>I33</f>
      </c>
      <c r="J46" s="18">
        <f>J33</f>
      </c>
      <c r="K46" s="18">
        <f>K33</f>
      </c>
      <c r="L46" s="18">
        <f>L33</f>
      </c>
      <c r="M46" s="18">
        <f>M33</f>
      </c>
      <c r="N46" s="18">
        <f>N33</f>
      </c>
      <c r="O46" s="18">
        <f>O33</f>
      </c>
      <c r="P46" s="18">
        <f>P33</f>
      </c>
      <c r="Q46" s="18">
        <f>Q33</f>
      </c>
      <c r="R46" s="18">
        <f>R33</f>
      </c>
      <c r="S46" s="18">
        <f>S33</f>
      </c>
      <c r="T46" s="18">
        <f>T33</f>
      </c>
      <c r="U46" s="18">
        <f>U33</f>
      </c>
      <c r="V46" s="18">
        <f>V33</f>
      </c>
      <c r="W46" s="18">
        <f>W33</f>
      </c>
      <c r="X46" s="18">
        <f>X33</f>
      </c>
      <c r="Y46" s="18">
        <f>Y33</f>
      </c>
      <c r="Z46" s="18">
        <f>Z33</f>
      </c>
      <c r="AA46" s="18">
        <f>AA33</f>
      </c>
      <c r="AB46" s="18">
        <f>AB33</f>
      </c>
      <c r="AC46" s="18">
        <f>AC33</f>
      </c>
      <c r="AD46" s="18">
        <f>AD33</f>
      </c>
      <c r="AE46" s="18">
        <f>AE33</f>
      </c>
      <c r="AF46" s="18">
        <f>AF33</f>
      </c>
      <c r="AG46" s="18">
        <f>AG33</f>
      </c>
      <c r="AH46" s="18">
        <f>AH33</f>
      </c>
      <c r="AI46" s="18">
        <f>AI33</f>
      </c>
      <c r="AJ46" s="18">
        <f>AJ33</f>
      </c>
      <c r="AK46" s="18">
        <f>AK33</f>
      </c>
      <c r="AL46" s="18">
        <f>AL33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>
        <f>G37</f>
      </c>
      <c r="H47" s="18">
        <f>H37</f>
      </c>
      <c r="I47" s="18">
        <f>I37</f>
      </c>
      <c r="J47" s="18">
        <f>J37</f>
      </c>
      <c r="K47" s="18">
        <f>K37</f>
      </c>
      <c r="L47" s="18">
        <f>L37</f>
      </c>
      <c r="M47" s="18">
        <f>M37</f>
      </c>
      <c r="N47" s="18">
        <f>N37</f>
      </c>
      <c r="O47" s="18">
        <f>O37</f>
      </c>
      <c r="P47" s="18">
        <f>P37</f>
      </c>
      <c r="Q47" s="18">
        <f>Q37</f>
      </c>
      <c r="R47" s="18">
        <f>R37</f>
      </c>
      <c r="S47" s="18">
        <f>S37</f>
      </c>
      <c r="T47" s="18">
        <f>T37</f>
      </c>
      <c r="U47" s="18">
        <f>U37</f>
      </c>
      <c r="V47" s="18">
        <f>V37</f>
      </c>
      <c r="W47" s="18">
        <f>W37</f>
      </c>
      <c r="X47" s="18">
        <f>X37</f>
      </c>
      <c r="Y47" s="18">
        <f>Y37</f>
      </c>
      <c r="Z47" s="18">
        <f>Z37</f>
      </c>
      <c r="AA47" s="18">
        <f>AA37</f>
      </c>
      <c r="AB47" s="18">
        <f>AB37</f>
      </c>
      <c r="AC47" s="18">
        <f>AC37</f>
      </c>
      <c r="AD47" s="18">
        <f>AD37</f>
      </c>
      <c r="AE47" s="18">
        <f>AE37</f>
      </c>
      <c r="AF47" s="18">
        <f>AF37</f>
      </c>
      <c r="AG47" s="18">
        <f>AG37</f>
      </c>
      <c r="AH47" s="18">
        <f>AH37</f>
      </c>
      <c r="AI47" s="18">
        <f>AI37</f>
      </c>
      <c r="AJ47" s="18">
        <f>AJ37</f>
      </c>
      <c r="AK47" s="18">
        <f>AK37</f>
      </c>
      <c r="AL47" s="18">
        <f>AL37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>
        <f>G41</f>
      </c>
      <c r="H48" s="18">
        <f>H41</f>
      </c>
      <c r="I48" s="18">
        <f>I41</f>
      </c>
      <c r="J48" s="18">
        <f>J41</f>
      </c>
      <c r="K48" s="18">
        <f>K41</f>
      </c>
      <c r="L48" s="18">
        <f>L41</f>
      </c>
      <c r="M48" s="18">
        <f>M41</f>
      </c>
      <c r="N48" s="18">
        <f>N41</f>
      </c>
      <c r="O48" s="18">
        <f>O41</f>
      </c>
      <c r="P48" s="18">
        <f>P41</f>
      </c>
      <c r="Q48" s="18">
        <f>Q41</f>
      </c>
      <c r="R48" s="18">
        <f>R41</f>
      </c>
      <c r="S48" s="18">
        <f>S41</f>
      </c>
      <c r="T48" s="18">
        <f>T41</f>
      </c>
      <c r="U48" s="18">
        <f>U41</f>
      </c>
      <c r="V48" s="18">
        <f>V41</f>
      </c>
      <c r="W48" s="18">
        <f>W41</f>
      </c>
      <c r="X48" s="18">
        <f>X41</f>
      </c>
      <c r="Y48" s="18">
        <f>Y41</f>
      </c>
      <c r="Z48" s="18">
        <f>Z41</f>
      </c>
      <c r="AA48" s="18">
        <f>AA41</f>
      </c>
      <c r="AB48" s="18">
        <f>AB41</f>
      </c>
      <c r="AC48" s="18">
        <f>AC41</f>
      </c>
      <c r="AD48" s="18">
        <f>AD41</f>
      </c>
      <c r="AE48" s="18">
        <f>AE41</f>
      </c>
      <c r="AF48" s="18">
        <f>AF41</f>
      </c>
      <c r="AG48" s="18">
        <f>AG41</f>
      </c>
      <c r="AH48" s="18">
        <f>AH41</f>
      </c>
      <c r="AI48" s="18">
        <f>AI41</f>
      </c>
      <c r="AJ48" s="18">
        <f>AJ41</f>
      </c>
      <c r="AK48" s="18">
        <f>AK41</f>
      </c>
      <c r="AL48" s="18">
        <f>AL41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46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2">
        <f>AK52+AK53+AK54+AK55</f>
      </c>
      <c r="AL56" s="22">
        <f>AL52+AL53+AL54+AL55</f>
      </c>
      <c r="AM56" s="23"/>
    </row>
    <row r="58" ht="12.75" customHeight="1" spans="2:39" x14ac:dyDescent="0.25">
      <c r="B58" s="11" t="s">
        <v>47</v>
      </c>
      <c r="C58" s="12"/>
      <c r="D58" s="12"/>
      <c r="E58" s="12"/>
      <c r="F58" s="12"/>
      <c r="G58" s="52" t="s">
        <v>7</v>
      </c>
      <c r="H58" s="52" t="s">
        <v>8</v>
      </c>
      <c r="I58" s="52" t="s">
        <v>9</v>
      </c>
      <c r="J58" s="52" t="s">
        <v>10</v>
      </c>
      <c r="K58" s="52" t="s">
        <v>11</v>
      </c>
      <c r="L58" s="52" t="s">
        <v>12</v>
      </c>
      <c r="M58" s="52" t="s">
        <v>13</v>
      </c>
      <c r="N58" s="52" t="s">
        <v>14</v>
      </c>
      <c r="O58" s="52" t="s">
        <v>15</v>
      </c>
      <c r="P58" s="52" t="s">
        <v>16</v>
      </c>
      <c r="Q58" s="52" t="s">
        <v>17</v>
      </c>
      <c r="R58" s="52" t="s">
        <v>18</v>
      </c>
      <c r="S58" s="52" t="s">
        <v>19</v>
      </c>
      <c r="T58" s="52" t="s">
        <v>20</v>
      </c>
      <c r="U58" s="52" t="s">
        <v>21</v>
      </c>
      <c r="V58" s="52" t="s">
        <v>22</v>
      </c>
      <c r="W58" s="52" t="s">
        <v>23</v>
      </c>
      <c r="X58" s="52" t="s">
        <v>24</v>
      </c>
      <c r="Y58" s="52" t="s">
        <v>25</v>
      </c>
      <c r="Z58" s="52" t="s">
        <v>26</v>
      </c>
      <c r="AA58" s="52" t="s">
        <v>27</v>
      </c>
      <c r="AB58" s="52" t="s">
        <v>28</v>
      </c>
      <c r="AC58" s="52" t="s">
        <v>29</v>
      </c>
      <c r="AD58" s="52" t="s">
        <v>30</v>
      </c>
      <c r="AE58" s="52" t="s">
        <v>31</v>
      </c>
      <c r="AF58" s="52" t="s">
        <v>32</v>
      </c>
      <c r="AG58" s="52" t="s">
        <v>33</v>
      </c>
      <c r="AH58" s="52" t="s">
        <v>34</v>
      </c>
      <c r="AI58" s="52" t="s">
        <v>35</v>
      </c>
      <c r="AJ58" s="52" t="s">
        <v>36</v>
      </c>
      <c r="AK58" s="52" t="s">
        <v>37</v>
      </c>
      <c r="AL58" s="52" t="s">
        <v>38</v>
      </c>
      <c r="AM58" s="15"/>
    </row>
    <row r="59" ht="12.75" customHeight="1" spans="2:39" x14ac:dyDescent="0.25">
      <c r="B59" s="16"/>
      <c r="C59" s="17"/>
      <c r="D59" s="17" t="s">
        <v>41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42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43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44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20"/>
      <c r="C63" s="21"/>
      <c r="D63" s="21" t="s">
        <v>45</v>
      </c>
      <c r="E63" s="21"/>
      <c r="F63" s="21"/>
      <c r="G63" s="25">
        <f>G59+G60+G61+G62</f>
      </c>
      <c r="H63" s="25">
        <f>H59+H60+H61+H62</f>
      </c>
      <c r="I63" s="25">
        <f>I59+I60+I61+I62</f>
      </c>
      <c r="J63" s="25">
        <f>J59+J60+J61+J62</f>
      </c>
      <c r="K63" s="25">
        <f>K59+K60+K61+K62</f>
      </c>
      <c r="L63" s="25">
        <f>L59+L60+L61+L62</f>
      </c>
      <c r="M63" s="25">
        <f>M59+M60+M61+M62</f>
      </c>
      <c r="N63" s="25">
        <f>N59+N60+N61+N62</f>
      </c>
      <c r="O63" s="25">
        <f>O59+O60+O61+O62</f>
      </c>
      <c r="P63" s="25">
        <f>P59+P60+P61+P62</f>
      </c>
      <c r="Q63" s="25">
        <f>Q59+Q60+Q61+Q62</f>
      </c>
      <c r="R63" s="25">
        <f>R59+R60+R61+R62</f>
      </c>
      <c r="S63" s="25">
        <f>S59+S60+S61+S62</f>
      </c>
      <c r="T63" s="25">
        <f>T59+T60+T61+T62</f>
      </c>
      <c r="U63" s="25">
        <f>U59+U60+U61+U62</f>
      </c>
      <c r="V63" s="25">
        <f>V59+V60+V61+V62</f>
      </c>
      <c r="W63" s="25">
        <f>W59+W60+W61+W62</f>
      </c>
      <c r="X63" s="25">
        <f>X59+X60+X61+X62</f>
      </c>
      <c r="Y63" s="25">
        <f>Y59+Y60+Y61+Y62</f>
      </c>
      <c r="Z63" s="25">
        <f>Z59+Z60+Z61+Z62</f>
      </c>
      <c r="AA63" s="25">
        <f>AA59+AA60+AA61+AA62</f>
      </c>
      <c r="AB63" s="25">
        <f>AB59+AB60+AB61+AB62</f>
      </c>
      <c r="AC63" s="25">
        <f>AC59+AC60+AC61+AC62</f>
      </c>
      <c r="AD63" s="25">
        <f>AD59+AD60+AD61+AD62</f>
      </c>
      <c r="AE63" s="25">
        <f>AE59+AE60+AE61+AE62</f>
      </c>
      <c r="AF63" s="25">
        <f>AF59+AF60+AF61+AF62</f>
      </c>
      <c r="AG63" s="25">
        <f>AG59+AG60+AG61+AG62</f>
      </c>
      <c r="AH63" s="25">
        <f>AH59+AH60+AH61+AH62</f>
      </c>
      <c r="AI63" s="25">
        <f>AI59+AI60+AI61+AI62</f>
      </c>
      <c r="AJ63" s="25">
        <f>AJ59+AJ60+AJ61+AJ62</f>
      </c>
      <c r="AK63" s="25">
        <f>AK59+AK60+AK61+AK62</f>
      </c>
      <c r="AL63" s="25">
        <f>AL59+AL60+AL61+AL62</f>
      </c>
      <c r="AM6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1781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1782</v>
      </c>
      <c r="E13" s="32"/>
      <c r="F13" s="32"/>
      <c r="G13" s="32"/>
      <c r="H13" s="36">
        <f>22.62+489.60</f>
        <v>512.22</v>
      </c>
      <c r="I13" s="36">
        <f>22.62+562.57</f>
        <v>585.19</v>
      </c>
      <c r="J13" s="36">
        <f>281.67+22.62</f>
        <v>304.29</v>
      </c>
      <c r="K13" s="36">
        <f>22.62+360.99</f>
        <v>383.61</v>
      </c>
      <c r="L13" s="36">
        <f>22.62+371.04</f>
        <v>393.66</v>
      </c>
      <c r="M13" s="36">
        <f>525.79+22.48</f>
        <v>548.27</v>
      </c>
      <c r="N13" s="36">
        <f>551.92+22.48</f>
        <v>574.4</v>
      </c>
      <c r="O13" s="36">
        <f>500.57+22.48</f>
        <v>523.05</v>
      </c>
      <c r="P13" s="36">
        <f>637.96+22.48</f>
        <v>660.44</v>
      </c>
      <c r="Q13" s="36">
        <f>464.09+22.48</f>
        <v>486.57</v>
      </c>
      <c r="R13" s="36">
        <f>22.48+343.38</f>
        <v>365.86</v>
      </c>
      <c r="S13" s="36">
        <f>22.48+345.21</f>
        <v>367.69</v>
      </c>
      <c r="T13" s="36">
        <f>21.73+386.96</f>
        <v>408.69</v>
      </c>
      <c r="U13" s="36">
        <f>21.73+530.78</f>
        <v>552.51</v>
      </c>
      <c r="V13" s="36">
        <f>22.00+377.72</f>
        <v>399.72</v>
      </c>
      <c r="W13" s="36">
        <f>390.36+22.00</f>
        <v>412.36</v>
      </c>
      <c r="X13" s="36">
        <f>716.89+22.00</f>
        <v>738.89</v>
      </c>
      <c r="Y13" s="36">
        <f>22.07+746.22</f>
        <v>768.2900000000001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1783</v>
      </c>
      <c r="E14" s="32"/>
      <c r="F14" s="32"/>
      <c r="G14" s="32"/>
      <c r="H14" s="33">
        <v>419.66</v>
      </c>
      <c r="I14" s="33">
        <v>419.66</v>
      </c>
      <c r="J14" s="33">
        <v>419.66</v>
      </c>
      <c r="K14" s="33">
        <v>419.66</v>
      </c>
      <c r="L14" s="33">
        <v>419.66</v>
      </c>
      <c r="M14" s="33">
        <v>415.31</v>
      </c>
      <c r="N14" s="33">
        <v>415.31</v>
      </c>
      <c r="O14" s="33">
        <v>415.31</v>
      </c>
      <c r="P14" s="33">
        <v>415.31</v>
      </c>
      <c r="Q14" s="33">
        <v>415.31</v>
      </c>
      <c r="R14" s="33">
        <v>415.31</v>
      </c>
      <c r="S14" s="33">
        <v>415.31</v>
      </c>
      <c r="T14" s="33">
        <v>391.2</v>
      </c>
      <c r="U14" s="33">
        <v>391.2</v>
      </c>
      <c r="V14" s="33">
        <v>400.35</v>
      </c>
      <c r="W14" s="33">
        <v>400.78</v>
      </c>
      <c r="X14" s="33">
        <v>400.78</v>
      </c>
      <c r="Y14" s="33">
        <v>402.66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1784</v>
      </c>
      <c r="E15" s="32"/>
      <c r="F15" s="32"/>
      <c r="G15" s="32"/>
      <c r="H15" s="33">
        <v>127.84</v>
      </c>
      <c r="I15" s="33">
        <v>118.49</v>
      </c>
      <c r="J15" s="33">
        <v>111.56</v>
      </c>
      <c r="K15" s="33">
        <v>124.82</v>
      </c>
      <c r="L15" s="33">
        <v>129.09</v>
      </c>
      <c r="M15" s="33">
        <v>155.49</v>
      </c>
      <c r="N15" s="33">
        <v>151.37</v>
      </c>
      <c r="O15" s="33">
        <v>149.84</v>
      </c>
      <c r="P15" s="33">
        <v>172.33</v>
      </c>
      <c r="Q15" s="33">
        <v>144.95</v>
      </c>
      <c r="R15" s="33">
        <v>104.39</v>
      </c>
      <c r="S15" s="33">
        <v>122.2</v>
      </c>
      <c r="T15" s="33">
        <v>134.15</v>
      </c>
      <c r="U15" s="33">
        <v>146.67</v>
      </c>
      <c r="V15" s="33">
        <v>140.91</v>
      </c>
      <c r="W15" s="33">
        <v>143.27</v>
      </c>
      <c r="X15" s="33">
        <v>165.98</v>
      </c>
      <c r="Y15" s="33">
        <v>103.29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1785</v>
      </c>
      <c r="E16" s="32"/>
      <c r="F16" s="32"/>
      <c r="G16" s="32"/>
      <c r="H16" s="33">
        <v>37.28</v>
      </c>
      <c r="I16" s="33">
        <v>32.53</v>
      </c>
      <c r="J16" s="33">
        <v>33.17</v>
      </c>
      <c r="K16" s="33">
        <v>37.65</v>
      </c>
      <c r="L16" s="33">
        <v>34.13</v>
      </c>
      <c r="M16" s="33">
        <v>34.68</v>
      </c>
      <c r="N16" s="33">
        <v>37.09</v>
      </c>
      <c r="O16" s="33">
        <v>33.6</v>
      </c>
      <c r="P16" s="33">
        <v>38.14</v>
      </c>
      <c r="Q16" s="36">
        <f>33.60+0.00</f>
        <v>33.6</v>
      </c>
      <c r="R16" s="33">
        <v>33.75</v>
      </c>
      <c r="S16" s="33">
        <v>35.57</v>
      </c>
      <c r="T16" s="33">
        <v>29.69</v>
      </c>
      <c r="U16" s="33">
        <v>27.39</v>
      </c>
      <c r="V16" s="33">
        <v>31.4</v>
      </c>
      <c r="W16" s="33">
        <v>29.36</v>
      </c>
      <c r="X16" s="33">
        <v>30.12</v>
      </c>
      <c r="Y16" s="33">
        <v>31.96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1786</v>
      </c>
      <c r="E17" s="32"/>
      <c r="F17" s="32"/>
      <c r="G17" s="32"/>
      <c r="H17" s="32"/>
      <c r="I17" s="32"/>
      <c r="J17" s="32"/>
      <c r="K17" s="36">
        <f>127.06+0.00</f>
        <v>127.06</v>
      </c>
      <c r="L17" s="33">
        <v>30.63</v>
      </c>
      <c r="M17" s="33">
        <v>31.8</v>
      </c>
      <c r="N17" s="33">
        <v>33.29</v>
      </c>
      <c r="O17" s="33">
        <v>28.59</v>
      </c>
      <c r="P17" s="33">
        <v>33.44</v>
      </c>
      <c r="Q17" s="33">
        <v>29.8</v>
      </c>
      <c r="R17" s="33">
        <v>31.33</v>
      </c>
      <c r="S17" s="33">
        <v>32.99</v>
      </c>
      <c r="T17" s="33">
        <v>28.32</v>
      </c>
      <c r="U17" s="33">
        <v>27.69</v>
      </c>
      <c r="V17" s="33">
        <v>26.81</v>
      </c>
      <c r="W17" s="36">
        <f>0.00+25.64</f>
        <v>25.64</v>
      </c>
      <c r="X17" s="33">
        <v>27.64</v>
      </c>
      <c r="Y17" s="33">
        <v>30.35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1787</v>
      </c>
      <c r="E18" s="32"/>
      <c r="F18" s="32"/>
      <c r="G18" s="32"/>
      <c r="H18" s="32"/>
      <c r="I18" s="32"/>
      <c r="J18" s="32"/>
      <c r="K18" s="32"/>
      <c r="L18" s="32"/>
      <c r="M18" s="36">
        <f>135.59+0.00</f>
        <v>135.59</v>
      </c>
      <c r="N18" s="33">
        <v>29.04</v>
      </c>
      <c r="O18" s="33">
        <v>26.31</v>
      </c>
      <c r="P18" s="33">
        <v>29.94</v>
      </c>
      <c r="Q18" s="33">
        <v>26.31</v>
      </c>
      <c r="R18" s="33">
        <v>27.22</v>
      </c>
      <c r="S18" s="33">
        <v>29.04</v>
      </c>
      <c r="T18" s="33">
        <v>23.62</v>
      </c>
      <c r="U18" s="33">
        <v>22.1</v>
      </c>
      <c r="V18" s="33">
        <v>23.62</v>
      </c>
      <c r="W18" s="33">
        <v>22.1</v>
      </c>
      <c r="X18" s="33">
        <v>22.86</v>
      </c>
      <c r="Y18" s="36">
        <f>0.00+24.39</f>
        <v>24.39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ht="12.75" customHeight="1" spans="2:37" x14ac:dyDescent="0.25">
      <c r="B20" s="20" t="s">
        <v>85</v>
      </c>
      <c r="C20" s="21"/>
      <c r="D20" s="21"/>
      <c r="E20" s="22">
        <f>SUM(E13:E18)</f>
      </c>
      <c r="F20" s="22">
        <f>SUM(F13:F18)</f>
      </c>
      <c r="G20" s="22">
        <f>SUM(G13:G18)</f>
      </c>
      <c r="H20" s="22">
        <f>SUM(H13:H18)</f>
      </c>
      <c r="I20" s="22">
        <f>SUM(I13:I18)</f>
      </c>
      <c r="J20" s="22">
        <f>SUM(J13:J18)</f>
      </c>
      <c r="K20" s="22">
        <f>SUM(K13:K18)</f>
      </c>
      <c r="L20" s="22">
        <f>SUM(L13:L18)</f>
      </c>
      <c r="M20" s="22">
        <f>SUM(M13:M18)</f>
      </c>
      <c r="N20" s="22">
        <f>SUM(N13:N18)</f>
      </c>
      <c r="O20" s="22">
        <f>SUM(O13:O18)</f>
      </c>
      <c r="P20" s="22">
        <f>SUM(P13:P18)</f>
      </c>
      <c r="Q20" s="22">
        <f>SUM(Q13:Q18)</f>
      </c>
      <c r="R20" s="22">
        <f>SUM(R13:R18)</f>
      </c>
      <c r="S20" s="22">
        <f>SUM(S13:S18)</f>
      </c>
      <c r="T20" s="22">
        <f>SUM(T13:T18)</f>
      </c>
      <c r="U20" s="22">
        <f>SUM(U13:U18)</f>
      </c>
      <c r="V20" s="22">
        <f>SUM(V13:V18)</f>
      </c>
      <c r="W20" s="22">
        <f>SUM(W13:W18)</f>
      </c>
      <c r="X20" s="22">
        <f>SUM(X13:X18)</f>
      </c>
      <c r="Y20" s="22">
        <f>SUM(Y13:Y18)</f>
      </c>
      <c r="Z20" s="22">
        <f>SUM(Z13:Z18)</f>
      </c>
      <c r="AA20" s="22">
        <f>SUM(AA13:AA18)</f>
      </c>
      <c r="AB20" s="22">
        <f>SUM(AB13:AB18)</f>
      </c>
      <c r="AC20" s="22">
        <f>SUM(AC13:AC18)</f>
      </c>
      <c r="AD20" s="22">
        <f>SUM(AD13:AD18)</f>
      </c>
      <c r="AE20" s="22">
        <f>SUM(AE13:AE18)</f>
      </c>
      <c r="AF20" s="22">
        <f>SUM(AF13:AF18)</f>
      </c>
      <c r="AG20" s="22">
        <f>SUM(AG13:AG18)</f>
      </c>
      <c r="AH20" s="22">
        <f>SUM(AH13:AH18)</f>
      </c>
      <c r="AI20" s="22">
        <f>SUM(AI13:AI18)</f>
      </c>
      <c r="AJ20" s="22">
        <f>SUM(AJ13:AJ18)</f>
      </c>
      <c r="AK20" s="23"/>
    </row>
    <row r="22" ht="12.75" customHeight="1" spans="2:37" x14ac:dyDescent="0.25">
      <c r="B22" s="26" t="s">
        <v>43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9"/>
    </row>
    <row r="23" ht="12.75" customHeight="1" spans="2:37" x14ac:dyDescent="0.25">
      <c r="B23" s="30" t="s">
        <v>43</v>
      </c>
      <c r="C23" s="31" t="s">
        <v>3</v>
      </c>
      <c r="D23" s="32" t="s">
        <v>1788</v>
      </c>
      <c r="E23" s="32"/>
      <c r="F23" s="32"/>
      <c r="G23" s="32"/>
      <c r="H23" s="33">
        <v>3851.26</v>
      </c>
      <c r="I23" s="33">
        <v>3132.92</v>
      </c>
      <c r="J23" s="33">
        <v>3230.57</v>
      </c>
      <c r="K23" s="33">
        <v>3826.85</v>
      </c>
      <c r="L23" s="33">
        <v>3564.38</v>
      </c>
      <c r="M23" s="33">
        <v>4565.13</v>
      </c>
      <c r="N23" s="33">
        <v>5058.85</v>
      </c>
      <c r="O23" s="33">
        <v>4658.65</v>
      </c>
      <c r="P23" s="33">
        <v>4654.83</v>
      </c>
      <c r="Q23" s="33">
        <v>3443.48</v>
      </c>
      <c r="R23" s="33">
        <v>3593.07</v>
      </c>
      <c r="S23" s="33">
        <v>4573.3</v>
      </c>
      <c r="T23" s="33">
        <v>4162.45</v>
      </c>
      <c r="U23" s="33">
        <v>4528.89</v>
      </c>
      <c r="V23" s="33">
        <v>3577.06</v>
      </c>
      <c r="W23" s="33">
        <v>3770.42</v>
      </c>
      <c r="X23" s="33">
        <v>4351.47</v>
      </c>
      <c r="Y23" s="33">
        <v>4855.26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7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40"/>
    </row>
    <row r="25" ht="12.75" customHeight="1" spans="2:37" x14ac:dyDescent="0.25">
      <c r="B25" s="20" t="s">
        <v>89</v>
      </c>
      <c r="C25" s="21"/>
      <c r="D25" s="21"/>
      <c r="E25" s="22">
        <f>SUM(E23:E23)</f>
      </c>
      <c r="F25" s="22">
        <f>SUM(F23:F23)</f>
      </c>
      <c r="G25" s="22">
        <f>SUM(G23:G23)</f>
      </c>
      <c r="H25" s="22">
        <f>SUM(H23:H23)</f>
      </c>
      <c r="I25" s="22">
        <f>SUM(I23:I23)</f>
      </c>
      <c r="J25" s="22">
        <f>SUM(J23:J23)</f>
      </c>
      <c r="K25" s="22">
        <f>SUM(K23:K23)</f>
      </c>
      <c r="L25" s="22">
        <f>SUM(L23:L23)</f>
      </c>
      <c r="M25" s="22">
        <f>SUM(M23:M23)</f>
      </c>
      <c r="N25" s="22">
        <f>SUM(N23:N23)</f>
      </c>
      <c r="O25" s="22">
        <f>SUM(O23:O23)</f>
      </c>
      <c r="P25" s="22">
        <f>SUM(P23:P23)</f>
      </c>
      <c r="Q25" s="22">
        <f>SUM(Q23:Q23)</f>
      </c>
      <c r="R25" s="22">
        <f>SUM(R23:R23)</f>
      </c>
      <c r="S25" s="22">
        <f>SUM(S23:S23)</f>
      </c>
      <c r="T25" s="22">
        <f>SUM(T23:T23)</f>
      </c>
      <c r="U25" s="22">
        <f>SUM(U23:U23)</f>
      </c>
      <c r="V25" s="22">
        <f>SUM(V23:V23)</f>
      </c>
      <c r="W25" s="22">
        <f>SUM(W23:W23)</f>
      </c>
      <c r="X25" s="22">
        <f>SUM(X23:X23)</f>
      </c>
      <c r="Y25" s="22">
        <f>SUM(Y23:Y23)</f>
      </c>
      <c r="Z25" s="22">
        <f>SUM(Z23:Z23)</f>
      </c>
      <c r="AA25" s="22">
        <f>SUM(AA23:AA23)</f>
      </c>
      <c r="AB25" s="22">
        <f>SUM(AB23:AB23)</f>
      </c>
      <c r="AC25" s="22">
        <f>SUM(AC23:AC23)</f>
      </c>
      <c r="AD25" s="22">
        <f>SUM(AD23:AD23)</f>
      </c>
      <c r="AE25" s="22">
        <f>SUM(AE23:AE23)</f>
      </c>
      <c r="AF25" s="22">
        <f>SUM(AF23:AF23)</f>
      </c>
      <c r="AG25" s="22">
        <f>SUM(AG23:AG23)</f>
      </c>
      <c r="AH25" s="22">
        <f>SUM(AH23:AH23)</f>
      </c>
      <c r="AI25" s="22">
        <f>SUM(AI23:AI23)</f>
      </c>
      <c r="AJ25" s="22">
        <f>SUM(AJ23:AJ23)</f>
      </c>
      <c r="AK25" s="23"/>
    </row>
    <row r="27" ht="12.75" customHeight="1" spans="2:37" x14ac:dyDescent="0.25">
      <c r="B27" s="26" t="s">
        <v>44</v>
      </c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9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90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3"/>
    </row>
    <row r="32" ht="12.75" customHeight="1" spans="2:37" x14ac:dyDescent="0.25">
      <c r="B32" s="11" t="s">
        <v>40</v>
      </c>
      <c r="C32" s="12"/>
      <c r="D32" s="13"/>
      <c r="E32" s="14" t="s">
        <v>7</v>
      </c>
      <c r="F32" s="14" t="s">
        <v>8</v>
      </c>
      <c r="G32" s="14" t="s">
        <v>9</v>
      </c>
      <c r="H32" s="14" t="s">
        <v>10</v>
      </c>
      <c r="I32" s="14" t="s">
        <v>11</v>
      </c>
      <c r="J32" s="14" t="s">
        <v>12</v>
      </c>
      <c r="K32" s="14" t="s">
        <v>13</v>
      </c>
      <c r="L32" s="14" t="s">
        <v>14</v>
      </c>
      <c r="M32" s="14" t="s">
        <v>15</v>
      </c>
      <c r="N32" s="14" t="s">
        <v>16</v>
      </c>
      <c r="O32" s="14" t="s">
        <v>17</v>
      </c>
      <c r="P32" s="14" t="s">
        <v>18</v>
      </c>
      <c r="Q32" s="14" t="s">
        <v>19</v>
      </c>
      <c r="R32" s="14" t="s">
        <v>20</v>
      </c>
      <c r="S32" s="14" t="s">
        <v>21</v>
      </c>
      <c r="T32" s="14" t="s">
        <v>22</v>
      </c>
      <c r="U32" s="14" t="s">
        <v>23</v>
      </c>
      <c r="V32" s="14" t="s">
        <v>24</v>
      </c>
      <c r="W32" s="14" t="s">
        <v>25</v>
      </c>
      <c r="X32" s="14" t="s">
        <v>26</v>
      </c>
      <c r="Y32" s="14" t="s">
        <v>27</v>
      </c>
      <c r="Z32" s="14" t="s">
        <v>28</v>
      </c>
      <c r="AA32" s="14" t="s">
        <v>29</v>
      </c>
      <c r="AB32" s="14" t="s">
        <v>30</v>
      </c>
      <c r="AC32" s="14" t="s">
        <v>31</v>
      </c>
      <c r="AD32" s="14" t="s">
        <v>32</v>
      </c>
      <c r="AE32" s="14" t="s">
        <v>33</v>
      </c>
      <c r="AF32" s="14" t="s">
        <v>34</v>
      </c>
      <c r="AG32" s="14" t="s">
        <v>35</v>
      </c>
      <c r="AH32" s="14" t="s">
        <v>36</v>
      </c>
      <c r="AI32" s="14" t="s">
        <v>37</v>
      </c>
      <c r="AJ32" s="14" t="s">
        <v>38</v>
      </c>
      <c r="AK32" s="15"/>
    </row>
    <row r="33" ht="12.75" customHeight="1" spans="2:37" x14ac:dyDescent="0.25">
      <c r="B33" s="16" t="s">
        <v>41</v>
      </c>
      <c r="C33" s="17"/>
      <c r="D33" s="17"/>
      <c r="E33" s="18">
        <f>E10</f>
      </c>
      <c r="F33" s="18">
        <f>F10</f>
      </c>
      <c r="G33" s="18">
        <f>G10</f>
      </c>
      <c r="H33" s="18">
        <f>H10</f>
      </c>
      <c r="I33" s="18">
        <f>I10</f>
      </c>
      <c r="J33" s="18">
        <f>J10</f>
      </c>
      <c r="K33" s="18">
        <f>K10</f>
      </c>
      <c r="L33" s="18">
        <f>L10</f>
      </c>
      <c r="M33" s="18">
        <f>M10</f>
      </c>
      <c r="N33" s="18">
        <f>N10</f>
      </c>
      <c r="O33" s="18">
        <f>O10</f>
      </c>
      <c r="P33" s="18">
        <f>P10</f>
      </c>
      <c r="Q33" s="18">
        <f>Q10</f>
      </c>
      <c r="R33" s="18">
        <f>R10</f>
      </c>
      <c r="S33" s="18">
        <f>S10</f>
      </c>
      <c r="T33" s="18">
        <f>T10</f>
      </c>
      <c r="U33" s="18">
        <f>U10</f>
      </c>
      <c r="V33" s="18">
        <f>V10</f>
      </c>
      <c r="W33" s="18">
        <f>W10</f>
      </c>
      <c r="X33" s="18">
        <f>X10</f>
      </c>
      <c r="Y33" s="18">
        <f>Y10</f>
      </c>
      <c r="Z33" s="18">
        <f>Z10</f>
      </c>
      <c r="AA33" s="18">
        <f>AA10</f>
      </c>
      <c r="AB33" s="18">
        <f>AB10</f>
      </c>
      <c r="AC33" s="18">
        <f>AC10</f>
      </c>
      <c r="AD33" s="18">
        <f>AD10</f>
      </c>
      <c r="AE33" s="18">
        <f>AE10</f>
      </c>
      <c r="AF33" s="18">
        <f>AF10</f>
      </c>
      <c r="AG33" s="18">
        <f>AG10</f>
      </c>
      <c r="AH33" s="18">
        <f>AH10</f>
      </c>
      <c r="AI33" s="18">
        <f>AI10</f>
      </c>
      <c r="AJ33" s="18">
        <f>AJ10</f>
      </c>
      <c r="AK33" s="19"/>
    </row>
    <row r="34" ht="12.75" customHeight="1" spans="2:37" x14ac:dyDescent="0.25">
      <c r="B34" s="16" t="s">
        <v>42</v>
      </c>
      <c r="C34" s="17"/>
      <c r="D34" s="17"/>
      <c r="E34" s="18">
        <f>E20</f>
      </c>
      <c r="F34" s="18">
        <f>F20</f>
      </c>
      <c r="G34" s="18">
        <f>G20</f>
      </c>
      <c r="H34" s="18">
        <f>H20</f>
      </c>
      <c r="I34" s="18">
        <f>I20</f>
      </c>
      <c r="J34" s="18">
        <f>J20</f>
      </c>
      <c r="K34" s="18">
        <f>K20</f>
      </c>
      <c r="L34" s="18">
        <f>L20</f>
      </c>
      <c r="M34" s="18">
        <f>M20</f>
      </c>
      <c r="N34" s="18">
        <f>N20</f>
      </c>
      <c r="O34" s="18">
        <f>O20</f>
      </c>
      <c r="P34" s="18">
        <f>P20</f>
      </c>
      <c r="Q34" s="18">
        <f>Q20</f>
      </c>
      <c r="R34" s="18">
        <f>R20</f>
      </c>
      <c r="S34" s="18">
        <f>S20</f>
      </c>
      <c r="T34" s="18">
        <f>T20</f>
      </c>
      <c r="U34" s="18">
        <f>U20</f>
      </c>
      <c r="V34" s="18">
        <f>V20</f>
      </c>
      <c r="W34" s="18">
        <f>W20</f>
      </c>
      <c r="X34" s="18">
        <f>X20</f>
      </c>
      <c r="Y34" s="18">
        <f>Y20</f>
      </c>
      <c r="Z34" s="18">
        <f>Z20</f>
      </c>
      <c r="AA34" s="18">
        <f>AA20</f>
      </c>
      <c r="AB34" s="18">
        <f>AB20</f>
      </c>
      <c r="AC34" s="18">
        <f>AC20</f>
      </c>
      <c r="AD34" s="18">
        <f>AD20</f>
      </c>
      <c r="AE34" s="18">
        <f>AE20</f>
      </c>
      <c r="AF34" s="18">
        <f>AF20</f>
      </c>
      <c r="AG34" s="18">
        <f>AG20</f>
      </c>
      <c r="AH34" s="18">
        <f>AH20</f>
      </c>
      <c r="AI34" s="18">
        <f>AI20</f>
      </c>
      <c r="AJ34" s="18">
        <f>AJ20</f>
      </c>
      <c r="AK34" s="19"/>
    </row>
    <row r="35" ht="12.75" customHeight="1" spans="2:37" x14ac:dyDescent="0.25">
      <c r="B35" s="16" t="s">
        <v>43</v>
      </c>
      <c r="C35" s="17"/>
      <c r="D35" s="17"/>
      <c r="E35" s="18">
        <f>E25</f>
      </c>
      <c r="F35" s="18">
        <f>F25</f>
      </c>
      <c r="G35" s="18">
        <f>G25</f>
      </c>
      <c r="H35" s="18">
        <f>H25</f>
      </c>
      <c r="I35" s="18">
        <f>I25</f>
      </c>
      <c r="J35" s="18">
        <f>J25</f>
      </c>
      <c r="K35" s="18">
        <f>K25</f>
      </c>
      <c r="L35" s="18">
        <f>L25</f>
      </c>
      <c r="M35" s="18">
        <f>M25</f>
      </c>
      <c r="N35" s="18">
        <f>N25</f>
      </c>
      <c r="O35" s="18">
        <f>O25</f>
      </c>
      <c r="P35" s="18">
        <f>P25</f>
      </c>
      <c r="Q35" s="18">
        <f>Q25</f>
      </c>
      <c r="R35" s="18">
        <f>R25</f>
      </c>
      <c r="S35" s="18">
        <f>S25</f>
      </c>
      <c r="T35" s="18">
        <f>T25</f>
      </c>
      <c r="U35" s="18">
        <f>U25</f>
      </c>
      <c r="V35" s="18">
        <f>V25</f>
      </c>
      <c r="W35" s="18">
        <f>W25</f>
      </c>
      <c r="X35" s="18">
        <f>X25</f>
      </c>
      <c r="Y35" s="18">
        <f>Y25</f>
      </c>
      <c r="Z35" s="18">
        <f>Z25</f>
      </c>
      <c r="AA35" s="18">
        <f>AA25</f>
      </c>
      <c r="AB35" s="18">
        <f>AB25</f>
      </c>
      <c r="AC35" s="18">
        <f>AC25</f>
      </c>
      <c r="AD35" s="18">
        <f>AD25</f>
      </c>
      <c r="AE35" s="18">
        <f>AE25</f>
      </c>
      <c r="AF35" s="18">
        <f>AF25</f>
      </c>
      <c r="AG35" s="18">
        <f>AG25</f>
      </c>
      <c r="AH35" s="18">
        <f>AH25</f>
      </c>
      <c r="AI35" s="18">
        <f>AI25</f>
      </c>
      <c r="AJ35" s="18">
        <f>AJ25</f>
      </c>
      <c r="AK35" s="19"/>
    </row>
    <row r="36" ht="12.75" customHeight="1" spans="2:37" x14ac:dyDescent="0.25">
      <c r="B36" s="16" t="s">
        <v>44</v>
      </c>
      <c r="C36" s="17"/>
      <c r="D36" s="17"/>
      <c r="E36" s="18">
        <f>E29</f>
      </c>
      <c r="F36" s="18">
        <f>F29</f>
      </c>
      <c r="G36" s="18">
        <f>G29</f>
      </c>
      <c r="H36" s="18">
        <f>H29</f>
      </c>
      <c r="I36" s="18">
        <f>I29</f>
      </c>
      <c r="J36" s="18">
        <f>J29</f>
      </c>
      <c r="K36" s="18">
        <f>K29</f>
      </c>
      <c r="L36" s="18">
        <f>L29</f>
      </c>
      <c r="M36" s="18">
        <f>M29</f>
      </c>
      <c r="N36" s="18">
        <f>N29</f>
      </c>
      <c r="O36" s="18">
        <f>O29</f>
      </c>
      <c r="P36" s="18">
        <f>P29</f>
      </c>
      <c r="Q36" s="18">
        <f>Q29</f>
      </c>
      <c r="R36" s="18">
        <f>R29</f>
      </c>
      <c r="S36" s="18">
        <f>S29</f>
      </c>
      <c r="T36" s="18">
        <f>T29</f>
      </c>
      <c r="U36" s="18">
        <f>U29</f>
      </c>
      <c r="V36" s="18">
        <f>V29</f>
      </c>
      <c r="W36" s="18">
        <f>W29</f>
      </c>
      <c r="X36" s="18">
        <f>X29</f>
      </c>
      <c r="Y36" s="18">
        <f>Y29</f>
      </c>
      <c r="Z36" s="18">
        <f>Z29</f>
      </c>
      <c r="AA36" s="18">
        <f>AA29</f>
      </c>
      <c r="AB36" s="18">
        <f>AB29</f>
      </c>
      <c r="AC36" s="18">
        <f>AC29</f>
      </c>
      <c r="AD36" s="18">
        <f>AD29</f>
      </c>
      <c r="AE36" s="18">
        <f>AE29</f>
      </c>
      <c r="AF36" s="18">
        <f>AF29</f>
      </c>
      <c r="AG36" s="18">
        <f>AG29</f>
      </c>
      <c r="AH36" s="18">
        <f>AH29</f>
      </c>
      <c r="AI36" s="18">
        <f>AI29</f>
      </c>
      <c r="AJ36" s="18">
        <f>AJ29</f>
      </c>
      <c r="AK36" s="19"/>
    </row>
    <row r="37" ht="12.75" customHeight="1" spans="2:37" x14ac:dyDescent="0.25">
      <c r="B37" s="20" t="s">
        <v>45</v>
      </c>
      <c r="C37" s="21"/>
      <c r="D37" s="21"/>
      <c r="E37" s="22">
        <f>E33+E34+E35+E36</f>
      </c>
      <c r="F37" s="22">
        <f>F33+F34+F35+F36</f>
      </c>
      <c r="G37" s="22">
        <f>G33+G34+G35+G36</f>
      </c>
      <c r="H37" s="22">
        <f>H33+H34+H35+H36</f>
      </c>
      <c r="I37" s="22">
        <f>I33+I34+I35+I36</f>
      </c>
      <c r="J37" s="22">
        <f>J33+J34+J35+J36</f>
      </c>
      <c r="K37" s="22">
        <f>K33+K34+K35+K36</f>
      </c>
      <c r="L37" s="22">
        <f>L33+L34+L35+L36</f>
      </c>
      <c r="M37" s="22">
        <f>M33+M34+M35+M36</f>
      </c>
      <c r="N37" s="22">
        <f>N33+N34+N35+N36</f>
      </c>
      <c r="O37" s="22">
        <f>O33+O34+O35+O36</f>
      </c>
      <c r="P37" s="22">
        <f>P33+P34+P35+P36</f>
      </c>
      <c r="Q37" s="22">
        <f>Q33+Q34+Q35+Q36</f>
      </c>
      <c r="R37" s="22">
        <f>R33+R34+R35+R36</f>
      </c>
      <c r="S37" s="22">
        <f>S33+S34+S35+S36</f>
      </c>
      <c r="T37" s="22">
        <f>T33+T34+T35+T36</f>
      </c>
      <c r="U37" s="22">
        <f>U33+U34+U35+U36</f>
      </c>
      <c r="V37" s="22">
        <f>V33+V34+V35+V36</f>
      </c>
      <c r="W37" s="22">
        <f>W33+W34+W35+W36</f>
      </c>
      <c r="X37" s="22">
        <f>X33+X34+X35+X36</f>
      </c>
      <c r="Y37" s="22">
        <f>Y33+Y34+Y35+Y36</f>
      </c>
      <c r="Z37" s="22">
        <f>Z33+Z34+Z35+Z36</f>
      </c>
      <c r="AA37" s="22">
        <f>AA33+AA34+AA35+AA36</f>
      </c>
      <c r="AB37" s="22">
        <f>AB33+AB34+AB35+AB36</f>
      </c>
      <c r="AC37" s="22">
        <f>AC33+AC34+AC35+AC36</f>
      </c>
      <c r="AD37" s="22">
        <f>AD33+AD34+AD35+AD36</f>
      </c>
      <c r="AE37" s="22">
        <f>AE33+AE34+AE35+AE36</f>
      </c>
      <c r="AF37" s="22">
        <f>AF33+AF34+AF35+AF36</f>
      </c>
      <c r="AG37" s="22">
        <f>AG33+AG34+AG35+AG36</f>
      </c>
      <c r="AH37" s="22">
        <f>AH33+AH34+AH35+AH36</f>
      </c>
      <c r="AI37" s="22">
        <f>AI33+AI34+AI35+AI36</f>
      </c>
      <c r="AJ37" s="22">
        <f>AJ33+AJ34+AJ35+AJ36</f>
      </c>
      <c r="AK37" s="23"/>
    </row>
    <row r="39" ht="12.75" customHeight="1" spans="2:37" x14ac:dyDescent="0.25">
      <c r="B39" s="11" t="s">
        <v>46</v>
      </c>
      <c r="C39" s="12"/>
      <c r="D39" s="13"/>
      <c r="E39" s="14" t="s">
        <v>7</v>
      </c>
      <c r="F39" s="14" t="s">
        <v>8</v>
      </c>
      <c r="G39" s="14" t="s">
        <v>9</v>
      </c>
      <c r="H39" s="14" t="s">
        <v>10</v>
      </c>
      <c r="I39" s="14" t="s">
        <v>11</v>
      </c>
      <c r="J39" s="14" t="s">
        <v>12</v>
      </c>
      <c r="K39" s="14" t="s">
        <v>13</v>
      </c>
      <c r="L39" s="14" t="s">
        <v>14</v>
      </c>
      <c r="M39" s="14" t="s">
        <v>15</v>
      </c>
      <c r="N39" s="14" t="s">
        <v>16</v>
      </c>
      <c r="O39" s="14" t="s">
        <v>17</v>
      </c>
      <c r="P39" s="14" t="s">
        <v>18</v>
      </c>
      <c r="Q39" s="14" t="s">
        <v>19</v>
      </c>
      <c r="R39" s="14" t="s">
        <v>20</v>
      </c>
      <c r="S39" s="14" t="s">
        <v>21</v>
      </c>
      <c r="T39" s="14" t="s">
        <v>22</v>
      </c>
      <c r="U39" s="14" t="s">
        <v>23</v>
      </c>
      <c r="V39" s="14" t="s">
        <v>24</v>
      </c>
      <c r="W39" s="14" t="s">
        <v>25</v>
      </c>
      <c r="X39" s="14" t="s">
        <v>26</v>
      </c>
      <c r="Y39" s="14" t="s">
        <v>27</v>
      </c>
      <c r="Z39" s="14" t="s">
        <v>28</v>
      </c>
      <c r="AA39" s="14" t="s">
        <v>29</v>
      </c>
      <c r="AB39" s="14" t="s">
        <v>30</v>
      </c>
      <c r="AC39" s="14" t="s">
        <v>31</v>
      </c>
      <c r="AD39" s="14" t="s">
        <v>32</v>
      </c>
      <c r="AE39" s="14" t="s">
        <v>33</v>
      </c>
      <c r="AF39" s="14" t="s">
        <v>34</v>
      </c>
      <c r="AG39" s="14" t="s">
        <v>35</v>
      </c>
      <c r="AH39" s="14" t="s">
        <v>36</v>
      </c>
      <c r="AI39" s="14" t="s">
        <v>37</v>
      </c>
      <c r="AJ39" s="14" t="s">
        <v>38</v>
      </c>
      <c r="AK39" s="15"/>
    </row>
    <row r="40" ht="12.75" customHeight="1" spans="2:37" x14ac:dyDescent="0.25">
      <c r="B40" s="16" t="s">
        <v>41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16" t="s">
        <v>42</v>
      </c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ht="12.75" customHeight="1" spans="2:37" x14ac:dyDescent="0.25">
      <c r="B42" s="16" t="s">
        <v>43</v>
      </c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ht="12.75" customHeight="1" spans="2:37" x14ac:dyDescent="0.25">
      <c r="B43" s="16" t="s">
        <v>44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20" t="s">
        <v>45</v>
      </c>
      <c r="C44" s="21"/>
      <c r="D44" s="21"/>
      <c r="E44" s="22">
        <f>E40+E41+E42+E43</f>
      </c>
      <c r="F44" s="22">
        <f>F40+F41+F42+F43</f>
      </c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3"/>
    </row>
    <row r="46" ht="12.75" customHeight="1" spans="2:37" x14ac:dyDescent="0.25">
      <c r="B46" s="11" t="s">
        <v>47</v>
      </c>
      <c r="C46" s="12"/>
      <c r="D46" s="13"/>
      <c r="E46" s="14" t="s">
        <v>7</v>
      </c>
      <c r="F46" s="14" t="s">
        <v>8</v>
      </c>
      <c r="G46" s="14" t="s">
        <v>9</v>
      </c>
      <c r="H46" s="14" t="s">
        <v>10</v>
      </c>
      <c r="I46" s="14" t="s">
        <v>11</v>
      </c>
      <c r="J46" s="14" t="s">
        <v>12</v>
      </c>
      <c r="K46" s="14" t="s">
        <v>13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18</v>
      </c>
      <c r="Q46" s="14" t="s">
        <v>19</v>
      </c>
      <c r="R46" s="14" t="s">
        <v>20</v>
      </c>
      <c r="S46" s="14" t="s">
        <v>21</v>
      </c>
      <c r="T46" s="14" t="s">
        <v>22</v>
      </c>
      <c r="U46" s="14" t="s">
        <v>23</v>
      </c>
      <c r="V46" s="14" t="s">
        <v>24</v>
      </c>
      <c r="W46" s="14" t="s">
        <v>25</v>
      </c>
      <c r="X46" s="14" t="s">
        <v>26</v>
      </c>
      <c r="Y46" s="14" t="s">
        <v>27</v>
      </c>
      <c r="Z46" s="14" t="s">
        <v>28</v>
      </c>
      <c r="AA46" s="14" t="s">
        <v>29</v>
      </c>
      <c r="AB46" s="14" t="s">
        <v>30</v>
      </c>
      <c r="AC46" s="14" t="s">
        <v>31</v>
      </c>
      <c r="AD46" s="14" t="s">
        <v>32</v>
      </c>
      <c r="AE46" s="14" t="s">
        <v>33</v>
      </c>
      <c r="AF46" s="14" t="s">
        <v>34</v>
      </c>
      <c r="AG46" s="14" t="s">
        <v>35</v>
      </c>
      <c r="AH46" s="14" t="s">
        <v>36</v>
      </c>
      <c r="AI46" s="14" t="s">
        <v>37</v>
      </c>
      <c r="AJ46" s="14" t="s">
        <v>38</v>
      </c>
      <c r="AK46" s="15"/>
    </row>
    <row r="47" ht="12.75" customHeight="1" spans="2:37" x14ac:dyDescent="0.25">
      <c r="B47" s="16" t="s">
        <v>41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16" t="s">
        <v>42</v>
      </c>
      <c r="C48" s="17"/>
      <c r="D48" s="17"/>
      <c r="E48" s="24">
        <f>E41-E34</f>
      </c>
      <c r="F48" s="24">
        <f>F41-F34</f>
      </c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19"/>
    </row>
    <row r="49" ht="12.75" customHeight="1" spans="2:37" x14ac:dyDescent="0.25">
      <c r="B49" s="16" t="s">
        <v>43</v>
      </c>
      <c r="C49" s="17"/>
      <c r="D49" s="17"/>
      <c r="E49" s="24">
        <f>E42-E35</f>
      </c>
      <c r="F49" s="24">
        <f>F42-F35</f>
      </c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19"/>
    </row>
    <row r="50" ht="12.75" customHeight="1" spans="2:37" x14ac:dyDescent="0.25">
      <c r="B50" s="16" t="s">
        <v>44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20" t="s">
        <v>45</v>
      </c>
      <c r="C51" s="21"/>
      <c r="D51" s="21"/>
      <c r="E51" s="25">
        <f>E47+E48+E49+E50</f>
      </c>
      <c r="F51" s="25">
        <f>F47+F48+F49+F50</f>
      </c>
      <c r="G51" s="25">
        <f>G47+G48+G49+G50</f>
      </c>
      <c r="H51" s="25">
        <f>H47+H48+H49+H50</f>
      </c>
      <c r="I51" s="25">
        <f>I47+I48+I49+I50</f>
      </c>
      <c r="J51" s="25">
        <f>J47+J48+J49+J50</f>
      </c>
      <c r="K51" s="25">
        <f>K47+K48+K49+K50</f>
      </c>
      <c r="L51" s="25">
        <f>L47+L48+L49+L50</f>
      </c>
      <c r="M51" s="25">
        <f>M47+M48+M49+M50</f>
      </c>
      <c r="N51" s="25">
        <f>N47+N48+N49+N50</f>
      </c>
      <c r="O51" s="25">
        <f>O47+O48+O49+O50</f>
      </c>
      <c r="P51" s="25">
        <f>P47+P48+P49+P50</f>
      </c>
      <c r="Q51" s="25">
        <f>Q47+Q48+Q49+Q50</f>
      </c>
      <c r="R51" s="25">
        <f>R47+R48+R49+R50</f>
      </c>
      <c r="S51" s="25">
        <f>S47+S48+S49+S50</f>
      </c>
      <c r="T51" s="25">
        <f>T47+T48+T49+T50</f>
      </c>
      <c r="U51" s="25">
        <f>U47+U48+U49+U50</f>
      </c>
      <c r="V51" s="25">
        <f>V47+V48+V49+V50</f>
      </c>
      <c r="W51" s="25">
        <f>W47+W48+W49+W50</f>
      </c>
      <c r="X51" s="25">
        <f>X47+X48+X49+X50</f>
      </c>
      <c r="Y51" s="25">
        <f>Y47+Y48+Y49+Y50</f>
      </c>
      <c r="Z51" s="25">
        <f>Z47+Z48+Z49+Z50</f>
      </c>
      <c r="AA51" s="25">
        <f>AA47+AA48+AA49+AA50</f>
      </c>
      <c r="AB51" s="25">
        <f>AB47+AB48+AB49+AB50</f>
      </c>
      <c r="AC51" s="25">
        <f>AC47+AC48+AC49+AC50</f>
      </c>
      <c r="AD51" s="25">
        <f>AD47+AD48+AD49+AD50</f>
      </c>
      <c r="AE51" s="25">
        <f>AE47+AE48+AE49+AE50</f>
      </c>
      <c r="AF51" s="25">
        <f>AF47+AF48+AF49+AF50</f>
      </c>
      <c r="AG51" s="25">
        <f>AG47+AG48+AG49+AG50</f>
      </c>
      <c r="AH51" s="25">
        <f>AH47+AH48+AH49+AH50</f>
      </c>
      <c r="AI51" s="25">
        <f>AI47+AI48+AI49+AI50</f>
      </c>
      <c r="AJ51" s="25">
        <f>AJ47+AJ48+AJ49+AJ50</f>
      </c>
      <c r="AK5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1781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1789</v>
      </c>
      <c r="K8" s="44" t="s">
        <v>1790</v>
      </c>
      <c r="L8" s="44" t="s">
        <v>1791</v>
      </c>
      <c r="M8" s="44" t="s">
        <v>1792</v>
      </c>
      <c r="N8" s="44" t="s">
        <v>1793</v>
      </c>
      <c r="O8" s="44" t="s">
        <v>1794</v>
      </c>
      <c r="P8" s="44" t="s">
        <v>1795</v>
      </c>
      <c r="Q8" s="44" t="s">
        <v>1796</v>
      </c>
      <c r="R8" s="44" t="s">
        <v>1797</v>
      </c>
      <c r="S8" s="44" t="s">
        <v>1798</v>
      </c>
      <c r="T8" s="44" t="s">
        <v>1799</v>
      </c>
      <c r="U8" s="44" t="s">
        <v>1800</v>
      </c>
      <c r="V8" s="44" t="s">
        <v>1801</v>
      </c>
      <c r="W8" s="44" t="s">
        <v>1802</v>
      </c>
      <c r="X8" s="44" t="s">
        <v>1803</v>
      </c>
      <c r="Y8" s="44" t="s">
        <v>1804</v>
      </c>
      <c r="Z8" s="44" t="s">
        <v>1805</v>
      </c>
      <c r="AA8" s="44" t="s">
        <v>1806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1781</v>
      </c>
      <c r="D14" s="50" t="s">
        <v>42</v>
      </c>
      <c r="E14" s="32" t="s">
        <v>3</v>
      </c>
      <c r="F14" s="32" t="s">
        <v>1782</v>
      </c>
      <c r="G14" s="32"/>
      <c r="H14" s="32"/>
      <c r="I14" s="32"/>
      <c r="J14" s="33">
        <f>22.62+489.60</f>
        <v>512.22</v>
      </c>
      <c r="K14" s="33">
        <f>22.62+562.57</f>
        <v>585.19</v>
      </c>
      <c r="L14" s="33">
        <f>281.67+22.62</f>
        <v>304.29</v>
      </c>
      <c r="M14" s="33">
        <f>22.62+360.99</f>
        <v>383.61</v>
      </c>
      <c r="N14" s="33">
        <f>22.62+371.04</f>
        <v>393.66</v>
      </c>
      <c r="O14" s="33">
        <f>525.79+22.48</f>
        <v>548.27</v>
      </c>
      <c r="P14" s="33">
        <f>551.92+22.48</f>
        <v>574.4</v>
      </c>
      <c r="Q14" s="33">
        <f>500.57+22.48</f>
        <v>523.05</v>
      </c>
      <c r="R14" s="33">
        <f>637.96+22.48</f>
        <v>660.44</v>
      </c>
      <c r="S14" s="33">
        <f>464.09+22.48</f>
        <v>486.57</v>
      </c>
      <c r="T14" s="33">
        <f>22.48+343.38</f>
        <v>365.86</v>
      </c>
      <c r="U14" s="33">
        <f>22.48+345.21</f>
        <v>367.69</v>
      </c>
      <c r="V14" s="33">
        <f>21.73+386.96</f>
        <v>408.69</v>
      </c>
      <c r="W14" s="33">
        <f>21.73+530.78</f>
        <v>552.51</v>
      </c>
      <c r="X14" s="33">
        <f>22.00+377.72</f>
        <v>399.72</v>
      </c>
      <c r="Y14" s="33">
        <f>390.36+22.00</f>
        <v>412.36</v>
      </c>
      <c r="Z14" s="33">
        <f>716.89+22.00</f>
        <v>738.89</v>
      </c>
      <c r="AA14" s="33">
        <f>22.07+746.22</f>
        <v>768.2900000000001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1781</v>
      </c>
      <c r="D15" s="50" t="s">
        <v>42</v>
      </c>
      <c r="E15" s="32" t="s">
        <v>3</v>
      </c>
      <c r="F15" s="32" t="s">
        <v>1783</v>
      </c>
      <c r="G15" s="32"/>
      <c r="H15" s="32"/>
      <c r="I15" s="32"/>
      <c r="J15" s="33">
        <v>419.66</v>
      </c>
      <c r="K15" s="33">
        <v>419.66</v>
      </c>
      <c r="L15" s="33">
        <v>419.66</v>
      </c>
      <c r="M15" s="33">
        <v>419.66</v>
      </c>
      <c r="N15" s="33">
        <v>419.66</v>
      </c>
      <c r="O15" s="33">
        <v>415.31</v>
      </c>
      <c r="P15" s="33">
        <v>415.31</v>
      </c>
      <c r="Q15" s="33">
        <v>415.31</v>
      </c>
      <c r="R15" s="33">
        <v>415.31</v>
      </c>
      <c r="S15" s="33">
        <v>415.31</v>
      </c>
      <c r="T15" s="33">
        <v>415.31</v>
      </c>
      <c r="U15" s="33">
        <v>415.31</v>
      </c>
      <c r="V15" s="33">
        <v>391.2</v>
      </c>
      <c r="W15" s="33">
        <v>391.2</v>
      </c>
      <c r="X15" s="33">
        <v>400.35</v>
      </c>
      <c r="Y15" s="33">
        <v>400.78</v>
      </c>
      <c r="Z15" s="33">
        <v>400.78</v>
      </c>
      <c r="AA15" s="33">
        <v>402.66</v>
      </c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1781</v>
      </c>
      <c r="D16" s="50" t="s">
        <v>42</v>
      </c>
      <c r="E16" s="32" t="s">
        <v>3</v>
      </c>
      <c r="F16" s="32" t="s">
        <v>1784</v>
      </c>
      <c r="G16" s="32"/>
      <c r="H16" s="32"/>
      <c r="I16" s="32"/>
      <c r="J16" s="33">
        <v>127.84</v>
      </c>
      <c r="K16" s="33">
        <v>118.49</v>
      </c>
      <c r="L16" s="33">
        <v>111.56</v>
      </c>
      <c r="M16" s="33">
        <v>124.82</v>
      </c>
      <c r="N16" s="33">
        <v>129.09</v>
      </c>
      <c r="O16" s="33">
        <v>155.49</v>
      </c>
      <c r="P16" s="33">
        <v>151.37</v>
      </c>
      <c r="Q16" s="33">
        <v>149.84</v>
      </c>
      <c r="R16" s="33">
        <v>172.33</v>
      </c>
      <c r="S16" s="33">
        <v>144.95</v>
      </c>
      <c r="T16" s="33">
        <v>104.39</v>
      </c>
      <c r="U16" s="33">
        <v>122.2</v>
      </c>
      <c r="V16" s="33">
        <v>134.15</v>
      </c>
      <c r="W16" s="33">
        <v>146.67</v>
      </c>
      <c r="X16" s="33">
        <v>140.91</v>
      </c>
      <c r="Y16" s="33">
        <v>143.27</v>
      </c>
      <c r="Z16" s="33">
        <v>165.98</v>
      </c>
      <c r="AA16" s="33">
        <v>103.29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1781</v>
      </c>
      <c r="D17" s="50" t="s">
        <v>42</v>
      </c>
      <c r="E17" s="32" t="s">
        <v>3</v>
      </c>
      <c r="F17" s="32" t="s">
        <v>1785</v>
      </c>
      <c r="G17" s="32"/>
      <c r="H17" s="32"/>
      <c r="I17" s="32"/>
      <c r="J17" s="33">
        <v>37.28</v>
      </c>
      <c r="K17" s="33">
        <v>32.53</v>
      </c>
      <c r="L17" s="33">
        <v>33.17</v>
      </c>
      <c r="M17" s="33">
        <v>37.65</v>
      </c>
      <c r="N17" s="33">
        <v>34.13</v>
      </c>
      <c r="O17" s="33">
        <v>34.68</v>
      </c>
      <c r="P17" s="33">
        <v>37.09</v>
      </c>
      <c r="Q17" s="33">
        <v>33.6</v>
      </c>
      <c r="R17" s="33">
        <v>38.14</v>
      </c>
      <c r="S17" s="33">
        <f>33.60+0.00</f>
        <v>33.6</v>
      </c>
      <c r="T17" s="33">
        <v>33.75</v>
      </c>
      <c r="U17" s="33">
        <v>35.57</v>
      </c>
      <c r="V17" s="33">
        <v>29.69</v>
      </c>
      <c r="W17" s="33">
        <v>27.39</v>
      </c>
      <c r="X17" s="33">
        <v>31.4</v>
      </c>
      <c r="Y17" s="33">
        <v>29.36</v>
      </c>
      <c r="Z17" s="33">
        <v>30.12</v>
      </c>
      <c r="AA17" s="33">
        <v>31.96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1781</v>
      </c>
      <c r="D18" s="50" t="s">
        <v>42</v>
      </c>
      <c r="E18" s="32" t="s">
        <v>3</v>
      </c>
      <c r="F18" s="32" t="s">
        <v>1786</v>
      </c>
      <c r="G18" s="32"/>
      <c r="H18" s="32"/>
      <c r="I18" s="32"/>
      <c r="J18" s="32"/>
      <c r="K18" s="32"/>
      <c r="L18" s="32"/>
      <c r="M18" s="33">
        <f>127.06+0.00</f>
        <v>127.06</v>
      </c>
      <c r="N18" s="33">
        <v>30.63</v>
      </c>
      <c r="O18" s="33">
        <v>31.8</v>
      </c>
      <c r="P18" s="33">
        <v>33.29</v>
      </c>
      <c r="Q18" s="33">
        <v>28.59</v>
      </c>
      <c r="R18" s="33">
        <v>33.44</v>
      </c>
      <c r="S18" s="33">
        <v>29.8</v>
      </c>
      <c r="T18" s="33">
        <v>31.33</v>
      </c>
      <c r="U18" s="33">
        <v>32.99</v>
      </c>
      <c r="V18" s="33">
        <v>28.32</v>
      </c>
      <c r="W18" s="33">
        <v>27.69</v>
      </c>
      <c r="X18" s="33">
        <v>26.81</v>
      </c>
      <c r="Y18" s="33">
        <f>0.00+25.64</f>
        <v>25.64</v>
      </c>
      <c r="Z18" s="33">
        <v>27.64</v>
      </c>
      <c r="AA18" s="33">
        <v>30.35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1781</v>
      </c>
      <c r="D19" s="50" t="s">
        <v>42</v>
      </c>
      <c r="E19" s="32" t="s">
        <v>3</v>
      </c>
      <c r="F19" s="32" t="s">
        <v>1787</v>
      </c>
      <c r="G19" s="32"/>
      <c r="H19" s="32"/>
      <c r="I19" s="32"/>
      <c r="J19" s="32"/>
      <c r="K19" s="32"/>
      <c r="L19" s="32"/>
      <c r="M19" s="32"/>
      <c r="N19" s="32"/>
      <c r="O19" s="33">
        <f>135.59+0.00</f>
        <v>135.59</v>
      </c>
      <c r="P19" s="33">
        <v>29.04</v>
      </c>
      <c r="Q19" s="33">
        <v>26.31</v>
      </c>
      <c r="R19" s="33">
        <v>29.94</v>
      </c>
      <c r="S19" s="33">
        <v>26.31</v>
      </c>
      <c r="T19" s="33">
        <v>27.22</v>
      </c>
      <c r="U19" s="33">
        <v>29.04</v>
      </c>
      <c r="V19" s="33">
        <v>23.62</v>
      </c>
      <c r="W19" s="33">
        <v>22.1</v>
      </c>
      <c r="X19" s="33">
        <v>23.62</v>
      </c>
      <c r="Y19" s="33">
        <v>22.1</v>
      </c>
      <c r="Z19" s="33">
        <v>22.86</v>
      </c>
      <c r="AA19" s="33">
        <f>0.00+24.39</f>
        <v>24.39</v>
      </c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51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0"/>
    </row>
    <row r="21" ht="13.5" customHeight="1" spans="2:39" x14ac:dyDescent="0.25">
      <c r="B21" s="20"/>
      <c r="C21" s="21"/>
      <c r="D21" s="21" t="s">
        <v>85</v>
      </c>
      <c r="E21" s="21"/>
      <c r="F21" s="21"/>
      <c r="G21" s="22">
        <f>SUM(G14:G19)</f>
      </c>
      <c r="H21" s="22">
        <f>SUM(H14:H19)</f>
      </c>
      <c r="I21" s="22">
        <f>SUM(I14:I19)</f>
      </c>
      <c r="J21" s="22">
        <f>SUM(J14:J19)</f>
      </c>
      <c r="K21" s="22">
        <f>SUM(K14:K19)</f>
      </c>
      <c r="L21" s="22">
        <f>SUM(L14:L19)</f>
      </c>
      <c r="M21" s="22">
        <f>SUM(M14:M19)</f>
      </c>
      <c r="N21" s="22">
        <f>SUM(N14:N19)</f>
      </c>
      <c r="O21" s="22">
        <f>SUM(O14:O19)</f>
      </c>
      <c r="P21" s="22">
        <f>SUM(P14:P19)</f>
      </c>
      <c r="Q21" s="22">
        <f>SUM(Q14:Q19)</f>
      </c>
      <c r="R21" s="22">
        <f>SUM(R14:R19)</f>
      </c>
      <c r="S21" s="22">
        <f>SUM(S14:S19)</f>
      </c>
      <c r="T21" s="22">
        <f>SUM(T14:T19)</f>
      </c>
      <c r="U21" s="22">
        <f>SUM(U14:U19)</f>
      </c>
      <c r="V21" s="22">
        <f>SUM(V14:V19)</f>
      </c>
      <c r="W21" s="22">
        <f>SUM(W14:W19)</f>
      </c>
      <c r="X21" s="22">
        <f>SUM(X14:X19)</f>
      </c>
      <c r="Y21" s="22">
        <f>SUM(Y14:Y19)</f>
      </c>
      <c r="Z21" s="22">
        <f>SUM(Z14:Z19)</f>
      </c>
      <c r="AA21" s="22">
        <f>SUM(AA14:AA19)</f>
      </c>
      <c r="AB21" s="22">
        <f>SUM(AB14:AB19)</f>
      </c>
      <c r="AC21" s="22">
        <f>SUM(AC14:AC19)</f>
      </c>
      <c r="AD21" s="22">
        <f>SUM(AD14:AD19)</f>
      </c>
      <c r="AE21" s="22">
        <f>SUM(AE14:AE19)</f>
      </c>
      <c r="AF21" s="22">
        <f>SUM(AF14:AF19)</f>
      </c>
      <c r="AG21" s="22">
        <f>SUM(AG14:AG19)</f>
      </c>
      <c r="AH21" s="22">
        <f>SUM(AH14:AH19)</f>
      </c>
      <c r="AI21" s="22">
        <f>SUM(AI14:AI19)</f>
      </c>
      <c r="AJ21" s="22">
        <f>SUM(AJ14:AJ19)</f>
      </c>
      <c r="AK21" s="22">
        <f>SUM(AK14:AK19)</f>
      </c>
      <c r="AL21" s="22">
        <f>SUM(AL14:AL19)</f>
      </c>
      <c r="AM21" s="23"/>
    </row>
    <row r="23" ht="13.5" customHeight="1" spans="2:39" x14ac:dyDescent="0.25">
      <c r="B23" s="46"/>
      <c r="C23" s="28"/>
      <c r="D23" s="47" t="s">
        <v>43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/>
    </row>
    <row r="24" ht="13.5" customHeight="1" spans="2:39" x14ac:dyDescent="0.25">
      <c r="B24" s="48" t="s">
        <v>3</v>
      </c>
      <c r="C24" s="49" t="s">
        <v>1781</v>
      </c>
      <c r="D24" s="50" t="s">
        <v>43</v>
      </c>
      <c r="E24" s="32" t="s">
        <v>3</v>
      </c>
      <c r="F24" s="32" t="s">
        <v>1788</v>
      </c>
      <c r="G24" s="32"/>
      <c r="H24" s="32"/>
      <c r="I24" s="32"/>
      <c r="J24" s="33">
        <v>3851.26</v>
      </c>
      <c r="K24" s="33">
        <v>3132.92</v>
      </c>
      <c r="L24" s="33">
        <v>3230.57</v>
      </c>
      <c r="M24" s="33">
        <v>3826.85</v>
      </c>
      <c r="N24" s="33">
        <v>3564.38</v>
      </c>
      <c r="O24" s="33">
        <v>4565.13</v>
      </c>
      <c r="P24" s="33">
        <v>5058.85</v>
      </c>
      <c r="Q24" s="33">
        <v>4658.65</v>
      </c>
      <c r="R24" s="33">
        <v>4654.83</v>
      </c>
      <c r="S24" s="33">
        <v>3443.48</v>
      </c>
      <c r="T24" s="33">
        <v>3593.07</v>
      </c>
      <c r="U24" s="33">
        <v>4573.3</v>
      </c>
      <c r="V24" s="33">
        <v>4162.45</v>
      </c>
      <c r="W24" s="33">
        <v>4528.89</v>
      </c>
      <c r="X24" s="33">
        <v>3577.06</v>
      </c>
      <c r="Y24" s="33">
        <v>3770.42</v>
      </c>
      <c r="Z24" s="33">
        <v>4351.47</v>
      </c>
      <c r="AA24" s="33">
        <v>4855.26</v>
      </c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51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40"/>
    </row>
    <row r="26" ht="13.5" customHeight="1" spans="2:39" x14ac:dyDescent="0.25">
      <c r="B26" s="20"/>
      <c r="C26" s="21"/>
      <c r="D26" s="21" t="s">
        <v>89</v>
      </c>
      <c r="E26" s="21"/>
      <c r="F26" s="21"/>
      <c r="G26" s="22">
        <f>SUM(G24:G24)</f>
      </c>
      <c r="H26" s="22">
        <f>SUM(H24:H24)</f>
      </c>
      <c r="I26" s="22">
        <f>SUM(I24:I24)</f>
      </c>
      <c r="J26" s="22">
        <f>SUM(J24:J24)</f>
      </c>
      <c r="K26" s="22">
        <f>SUM(K24:K24)</f>
      </c>
      <c r="L26" s="22">
        <f>SUM(L24:L24)</f>
      </c>
      <c r="M26" s="22">
        <f>SUM(M24:M24)</f>
      </c>
      <c r="N26" s="22">
        <f>SUM(N24:N24)</f>
      </c>
      <c r="O26" s="22">
        <f>SUM(O24:O24)</f>
      </c>
      <c r="P26" s="22">
        <f>SUM(P24:P24)</f>
      </c>
      <c r="Q26" s="22">
        <f>SUM(Q24:Q24)</f>
      </c>
      <c r="R26" s="22">
        <f>SUM(R24:R24)</f>
      </c>
      <c r="S26" s="22">
        <f>SUM(S24:S24)</f>
      </c>
      <c r="T26" s="22">
        <f>SUM(T24:T24)</f>
      </c>
      <c r="U26" s="22">
        <f>SUM(U24:U24)</f>
      </c>
      <c r="V26" s="22">
        <f>SUM(V24:V24)</f>
      </c>
      <c r="W26" s="22">
        <f>SUM(W24:W24)</f>
      </c>
      <c r="X26" s="22">
        <f>SUM(X24:X24)</f>
      </c>
      <c r="Y26" s="22">
        <f>SUM(Y24:Y24)</f>
      </c>
      <c r="Z26" s="22">
        <f>SUM(Z24:Z24)</f>
      </c>
      <c r="AA26" s="22">
        <f>SUM(AA24:AA24)</f>
      </c>
      <c r="AB26" s="22">
        <f>SUM(AB24:AB24)</f>
      </c>
      <c r="AC26" s="22">
        <f>SUM(AC24:AC24)</f>
      </c>
      <c r="AD26" s="22">
        <f>SUM(AD24:AD24)</f>
      </c>
      <c r="AE26" s="22">
        <f>SUM(AE24:AE24)</f>
      </c>
      <c r="AF26" s="22">
        <f>SUM(AF24:AF24)</f>
      </c>
      <c r="AG26" s="22">
        <f>SUM(AG24:AG24)</f>
      </c>
      <c r="AH26" s="22">
        <f>SUM(AH24:AH24)</f>
      </c>
      <c r="AI26" s="22">
        <f>SUM(AI24:AI24)</f>
      </c>
      <c r="AJ26" s="22">
        <f>SUM(AJ24:AJ24)</f>
      </c>
      <c r="AK26" s="22">
        <f>SUM(AK24:AK24)</f>
      </c>
      <c r="AL26" s="22">
        <f>SUM(AL24:AL24)</f>
      </c>
      <c r="AM26" s="23"/>
    </row>
    <row r="28" ht="13.5" customHeight="1" spans="2:39" x14ac:dyDescent="0.25">
      <c r="B28" s="46"/>
      <c r="C28" s="28"/>
      <c r="D28" s="47" t="s">
        <v>44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9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90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3"/>
    </row>
    <row r="33" ht="12.75" customHeight="1" spans="2:39" x14ac:dyDescent="0.25">
      <c r="B33" s="11" t="s">
        <v>40</v>
      </c>
      <c r="C33" s="12"/>
      <c r="D33" s="12"/>
      <c r="E33" s="12"/>
      <c r="F33" s="12"/>
      <c r="G33" s="52" t="s">
        <v>7</v>
      </c>
      <c r="H33" s="52" t="s">
        <v>8</v>
      </c>
      <c r="I33" s="52" t="s">
        <v>9</v>
      </c>
      <c r="J33" s="52" t="s">
        <v>10</v>
      </c>
      <c r="K33" s="52" t="s">
        <v>11</v>
      </c>
      <c r="L33" s="52" t="s">
        <v>12</v>
      </c>
      <c r="M33" s="52" t="s">
        <v>13</v>
      </c>
      <c r="N33" s="52" t="s">
        <v>14</v>
      </c>
      <c r="O33" s="52" t="s">
        <v>15</v>
      </c>
      <c r="P33" s="52" t="s">
        <v>16</v>
      </c>
      <c r="Q33" s="52" t="s">
        <v>17</v>
      </c>
      <c r="R33" s="52" t="s">
        <v>18</v>
      </c>
      <c r="S33" s="52" t="s">
        <v>19</v>
      </c>
      <c r="T33" s="52" t="s">
        <v>20</v>
      </c>
      <c r="U33" s="52" t="s">
        <v>21</v>
      </c>
      <c r="V33" s="52" t="s">
        <v>22</v>
      </c>
      <c r="W33" s="52" t="s">
        <v>23</v>
      </c>
      <c r="X33" s="52" t="s">
        <v>24</v>
      </c>
      <c r="Y33" s="52" t="s">
        <v>25</v>
      </c>
      <c r="Z33" s="52" t="s">
        <v>26</v>
      </c>
      <c r="AA33" s="52" t="s">
        <v>27</v>
      </c>
      <c r="AB33" s="52" t="s">
        <v>28</v>
      </c>
      <c r="AC33" s="52" t="s">
        <v>29</v>
      </c>
      <c r="AD33" s="52" t="s">
        <v>30</v>
      </c>
      <c r="AE33" s="52" t="s">
        <v>31</v>
      </c>
      <c r="AF33" s="52" t="s">
        <v>32</v>
      </c>
      <c r="AG33" s="52" t="s">
        <v>33</v>
      </c>
      <c r="AH33" s="52" t="s">
        <v>34</v>
      </c>
      <c r="AI33" s="52" t="s">
        <v>35</v>
      </c>
      <c r="AJ33" s="52" t="s">
        <v>36</v>
      </c>
      <c r="AK33" s="52" t="s">
        <v>37</v>
      </c>
      <c r="AL33" s="52" t="s">
        <v>38</v>
      </c>
      <c r="AM33" s="15"/>
    </row>
    <row r="34" ht="12.75" customHeight="1" spans="2:39" x14ac:dyDescent="0.25">
      <c r="B34" s="16"/>
      <c r="C34" s="17"/>
      <c r="D34" s="17" t="s">
        <v>41</v>
      </c>
      <c r="E34" s="17"/>
      <c r="F34" s="17"/>
      <c r="G34" s="18">
        <f>G11</f>
      </c>
      <c r="H34" s="18">
        <f>H11</f>
      </c>
      <c r="I34" s="18">
        <f>I11</f>
      </c>
      <c r="J34" s="18">
        <f>J11</f>
      </c>
      <c r="K34" s="18">
        <f>K11</f>
      </c>
      <c r="L34" s="18">
        <f>L11</f>
      </c>
      <c r="M34" s="18">
        <f>M11</f>
      </c>
      <c r="N34" s="18">
        <f>N11</f>
      </c>
      <c r="O34" s="18">
        <f>O11</f>
      </c>
      <c r="P34" s="18">
        <f>P11</f>
      </c>
      <c r="Q34" s="18">
        <f>Q11</f>
      </c>
      <c r="R34" s="18">
        <f>R11</f>
      </c>
      <c r="S34" s="18">
        <f>S11</f>
      </c>
      <c r="T34" s="18">
        <f>T11</f>
      </c>
      <c r="U34" s="18">
        <f>U11</f>
      </c>
      <c r="V34" s="18">
        <f>V11</f>
      </c>
      <c r="W34" s="18">
        <f>W11</f>
      </c>
      <c r="X34" s="18">
        <f>X11</f>
      </c>
      <c r="Y34" s="18">
        <f>Y11</f>
      </c>
      <c r="Z34" s="18">
        <f>Z11</f>
      </c>
      <c r="AA34" s="18">
        <f>AA11</f>
      </c>
      <c r="AB34" s="18">
        <f>AB11</f>
      </c>
      <c r="AC34" s="18">
        <f>AC11</f>
      </c>
      <c r="AD34" s="18">
        <f>AD11</f>
      </c>
      <c r="AE34" s="18">
        <f>AE11</f>
      </c>
      <c r="AF34" s="18">
        <f>AF11</f>
      </c>
      <c r="AG34" s="18">
        <f>AG11</f>
      </c>
      <c r="AH34" s="18">
        <f>AH11</f>
      </c>
      <c r="AI34" s="18">
        <f>AI11</f>
      </c>
      <c r="AJ34" s="18">
        <f>AJ11</f>
      </c>
      <c r="AK34" s="18">
        <f>AK11</f>
      </c>
      <c r="AL34" s="18">
        <f>AL11</f>
      </c>
      <c r="AM34" s="19"/>
    </row>
    <row r="35" ht="12.75" customHeight="1" spans="2:39" x14ac:dyDescent="0.25">
      <c r="B35" s="16"/>
      <c r="C35" s="17"/>
      <c r="D35" s="17" t="s">
        <v>42</v>
      </c>
      <c r="E35" s="17"/>
      <c r="F35" s="17"/>
      <c r="G35" s="18">
        <f>G21</f>
      </c>
      <c r="H35" s="18">
        <f>H21</f>
      </c>
      <c r="I35" s="18">
        <f>I21</f>
      </c>
      <c r="J35" s="18">
        <f>J21</f>
      </c>
      <c r="K35" s="18">
        <f>K21</f>
      </c>
      <c r="L35" s="18">
        <f>L21</f>
      </c>
      <c r="M35" s="18">
        <f>M21</f>
      </c>
      <c r="N35" s="18">
        <f>N21</f>
      </c>
      <c r="O35" s="18">
        <f>O21</f>
      </c>
      <c r="P35" s="18">
        <f>P21</f>
      </c>
      <c r="Q35" s="18">
        <f>Q21</f>
      </c>
      <c r="R35" s="18">
        <f>R21</f>
      </c>
      <c r="S35" s="18">
        <f>S21</f>
      </c>
      <c r="T35" s="18">
        <f>T21</f>
      </c>
      <c r="U35" s="18">
        <f>U21</f>
      </c>
      <c r="V35" s="18">
        <f>V21</f>
      </c>
      <c r="W35" s="18">
        <f>W21</f>
      </c>
      <c r="X35" s="18">
        <f>X21</f>
      </c>
      <c r="Y35" s="18">
        <f>Y21</f>
      </c>
      <c r="Z35" s="18">
        <f>Z21</f>
      </c>
      <c r="AA35" s="18">
        <f>AA21</f>
      </c>
      <c r="AB35" s="18">
        <f>AB21</f>
      </c>
      <c r="AC35" s="18">
        <f>AC21</f>
      </c>
      <c r="AD35" s="18">
        <f>AD21</f>
      </c>
      <c r="AE35" s="18">
        <f>AE21</f>
      </c>
      <c r="AF35" s="18">
        <f>AF21</f>
      </c>
      <c r="AG35" s="18">
        <f>AG21</f>
      </c>
      <c r="AH35" s="18">
        <f>AH21</f>
      </c>
      <c r="AI35" s="18">
        <f>AI21</f>
      </c>
      <c r="AJ35" s="18">
        <f>AJ21</f>
      </c>
      <c r="AK35" s="18">
        <f>AK21</f>
      </c>
      <c r="AL35" s="18">
        <f>AL21</f>
      </c>
      <c r="AM35" s="19"/>
    </row>
    <row r="36" ht="12.75" customHeight="1" spans="2:39" x14ac:dyDescent="0.25">
      <c r="B36" s="16"/>
      <c r="C36" s="17"/>
      <c r="D36" s="17" t="s">
        <v>43</v>
      </c>
      <c r="E36" s="17"/>
      <c r="F36" s="17"/>
      <c r="G36" s="18">
        <f>G26</f>
      </c>
      <c r="H36" s="18">
        <f>H26</f>
      </c>
      <c r="I36" s="18">
        <f>I26</f>
      </c>
      <c r="J36" s="18">
        <f>J26</f>
      </c>
      <c r="K36" s="18">
        <f>K26</f>
      </c>
      <c r="L36" s="18">
        <f>L26</f>
      </c>
      <c r="M36" s="18">
        <f>M26</f>
      </c>
      <c r="N36" s="18">
        <f>N26</f>
      </c>
      <c r="O36" s="18">
        <f>O26</f>
      </c>
      <c r="P36" s="18">
        <f>P26</f>
      </c>
      <c r="Q36" s="18">
        <f>Q26</f>
      </c>
      <c r="R36" s="18">
        <f>R26</f>
      </c>
      <c r="S36" s="18">
        <f>S26</f>
      </c>
      <c r="T36" s="18">
        <f>T26</f>
      </c>
      <c r="U36" s="18">
        <f>U26</f>
      </c>
      <c r="V36" s="18">
        <f>V26</f>
      </c>
      <c r="W36" s="18">
        <f>W26</f>
      </c>
      <c r="X36" s="18">
        <f>X26</f>
      </c>
      <c r="Y36" s="18">
        <f>Y26</f>
      </c>
      <c r="Z36" s="18">
        <f>Z26</f>
      </c>
      <c r="AA36" s="18">
        <f>AA26</f>
      </c>
      <c r="AB36" s="18">
        <f>AB26</f>
      </c>
      <c r="AC36" s="18">
        <f>AC26</f>
      </c>
      <c r="AD36" s="18">
        <f>AD26</f>
      </c>
      <c r="AE36" s="18">
        <f>AE26</f>
      </c>
      <c r="AF36" s="18">
        <f>AF26</f>
      </c>
      <c r="AG36" s="18">
        <f>AG26</f>
      </c>
      <c r="AH36" s="18">
        <f>AH26</f>
      </c>
      <c r="AI36" s="18">
        <f>AI26</f>
      </c>
      <c r="AJ36" s="18">
        <f>AJ26</f>
      </c>
      <c r="AK36" s="18">
        <f>AK26</f>
      </c>
      <c r="AL36" s="18">
        <f>AL26</f>
      </c>
      <c r="AM36" s="19"/>
    </row>
    <row r="37" ht="12.75" customHeight="1" spans="2:39" x14ac:dyDescent="0.25">
      <c r="B37" s="16"/>
      <c r="C37" s="17"/>
      <c r="D37" s="17" t="s">
        <v>44</v>
      </c>
      <c r="E37" s="17"/>
      <c r="F37" s="17"/>
      <c r="G37" s="18">
        <f>G30</f>
      </c>
      <c r="H37" s="18">
        <f>H30</f>
      </c>
      <c r="I37" s="18">
        <f>I30</f>
      </c>
      <c r="J37" s="18">
        <f>J30</f>
      </c>
      <c r="K37" s="18">
        <f>K30</f>
      </c>
      <c r="L37" s="18">
        <f>L30</f>
      </c>
      <c r="M37" s="18">
        <f>M30</f>
      </c>
      <c r="N37" s="18">
        <f>N30</f>
      </c>
      <c r="O37" s="18">
        <f>O30</f>
      </c>
      <c r="P37" s="18">
        <f>P30</f>
      </c>
      <c r="Q37" s="18">
        <f>Q30</f>
      </c>
      <c r="R37" s="18">
        <f>R30</f>
      </c>
      <c r="S37" s="18">
        <f>S30</f>
      </c>
      <c r="T37" s="18">
        <f>T30</f>
      </c>
      <c r="U37" s="18">
        <f>U30</f>
      </c>
      <c r="V37" s="18">
        <f>V30</f>
      </c>
      <c r="W37" s="18">
        <f>W30</f>
      </c>
      <c r="X37" s="18">
        <f>X30</f>
      </c>
      <c r="Y37" s="18">
        <f>Y30</f>
      </c>
      <c r="Z37" s="18">
        <f>Z30</f>
      </c>
      <c r="AA37" s="18">
        <f>AA30</f>
      </c>
      <c r="AB37" s="18">
        <f>AB30</f>
      </c>
      <c r="AC37" s="18">
        <f>AC30</f>
      </c>
      <c r="AD37" s="18">
        <f>AD30</f>
      </c>
      <c r="AE37" s="18">
        <f>AE30</f>
      </c>
      <c r="AF37" s="18">
        <f>AF30</f>
      </c>
      <c r="AG37" s="18">
        <f>AG30</f>
      </c>
      <c r="AH37" s="18">
        <f>AH30</f>
      </c>
      <c r="AI37" s="18">
        <f>AI30</f>
      </c>
      <c r="AJ37" s="18">
        <f>AJ30</f>
      </c>
      <c r="AK37" s="18">
        <f>AK30</f>
      </c>
      <c r="AL37" s="18">
        <f>AL30</f>
      </c>
      <c r="AM37" s="19"/>
    </row>
    <row r="38" ht="12.75" customHeight="1" spans="2:39" x14ac:dyDescent="0.25">
      <c r="B38" s="20"/>
      <c r="C38" s="21"/>
      <c r="D38" s="21" t="s">
        <v>45</v>
      </c>
      <c r="E38" s="21"/>
      <c r="F38" s="21"/>
      <c r="G38" s="22">
        <f>G34+G35+G36+G37</f>
      </c>
      <c r="H38" s="22">
        <f>H34+H35+H36+H37</f>
      </c>
      <c r="I38" s="22">
        <f>I34+I35+I36+I37</f>
      </c>
      <c r="J38" s="22">
        <f>J34+J35+J36+J37</f>
      </c>
      <c r="K38" s="22">
        <f>K34+K35+K36+K37</f>
      </c>
      <c r="L38" s="22">
        <f>L34+L35+L36+L37</f>
      </c>
      <c r="M38" s="22">
        <f>M34+M35+M36+M37</f>
      </c>
      <c r="N38" s="22">
        <f>N34+N35+N36+N37</f>
      </c>
      <c r="O38" s="22">
        <f>O34+O35+O36+O37</f>
      </c>
      <c r="P38" s="22">
        <f>P34+P35+P36+P37</f>
      </c>
      <c r="Q38" s="22">
        <f>Q34+Q35+Q36+Q37</f>
      </c>
      <c r="R38" s="22">
        <f>R34+R35+R36+R37</f>
      </c>
      <c r="S38" s="22">
        <f>S34+S35+S36+S37</f>
      </c>
      <c r="T38" s="22">
        <f>T34+T35+T36+T37</f>
      </c>
      <c r="U38" s="22">
        <f>U34+U35+U36+U37</f>
      </c>
      <c r="V38" s="22">
        <f>V34+V35+V36+V37</f>
      </c>
      <c r="W38" s="22">
        <f>W34+W35+W36+W37</f>
      </c>
      <c r="X38" s="22">
        <f>X34+X35+X36+X37</f>
      </c>
      <c r="Y38" s="22">
        <f>Y34+Y35+Y36+Y37</f>
      </c>
      <c r="Z38" s="22">
        <f>Z34+Z35+Z36+Z37</f>
      </c>
      <c r="AA38" s="22">
        <f>AA34+AA35+AA36+AA37</f>
      </c>
      <c r="AB38" s="22">
        <f>AB34+AB35+AB36+AB37</f>
      </c>
      <c r="AC38" s="22">
        <f>AC34+AC35+AC36+AC37</f>
      </c>
      <c r="AD38" s="22">
        <f>AD34+AD35+AD36+AD37</f>
      </c>
      <c r="AE38" s="22">
        <f>AE34+AE35+AE36+AE37</f>
      </c>
      <c r="AF38" s="22">
        <f>AF34+AF35+AF36+AF37</f>
      </c>
      <c r="AG38" s="22">
        <f>AG34+AG35+AG36+AG37</f>
      </c>
      <c r="AH38" s="22">
        <f>AH34+AH35+AH36+AH37</f>
      </c>
      <c r="AI38" s="22">
        <f>AI34+AI35+AI36+AI37</f>
      </c>
      <c r="AJ38" s="22">
        <f>AJ34+AJ35+AJ36+AJ37</f>
      </c>
      <c r="AK38" s="22">
        <f>AK34+AK35+AK36+AK37</f>
      </c>
      <c r="AL38" s="22">
        <f>AL34+AL35+AL36+AL37</f>
      </c>
      <c r="AM38" s="23"/>
    </row>
    <row r="40" ht="12.75" customHeight="1" spans="2:39" x14ac:dyDescent="0.25">
      <c r="B40" s="11" t="s">
        <v>46</v>
      </c>
      <c r="C40" s="12"/>
      <c r="D40" s="12"/>
      <c r="E40" s="12"/>
      <c r="F40" s="12"/>
      <c r="G40" s="52" t="s">
        <v>7</v>
      </c>
      <c r="H40" s="52" t="s">
        <v>8</v>
      </c>
      <c r="I40" s="52" t="s">
        <v>9</v>
      </c>
      <c r="J40" s="52" t="s">
        <v>10</v>
      </c>
      <c r="K40" s="52" t="s">
        <v>11</v>
      </c>
      <c r="L40" s="52" t="s">
        <v>12</v>
      </c>
      <c r="M40" s="52" t="s">
        <v>13</v>
      </c>
      <c r="N40" s="52" t="s">
        <v>14</v>
      </c>
      <c r="O40" s="52" t="s">
        <v>15</v>
      </c>
      <c r="P40" s="52" t="s">
        <v>16</v>
      </c>
      <c r="Q40" s="52" t="s">
        <v>17</v>
      </c>
      <c r="R40" s="52" t="s">
        <v>18</v>
      </c>
      <c r="S40" s="52" t="s">
        <v>19</v>
      </c>
      <c r="T40" s="52" t="s">
        <v>20</v>
      </c>
      <c r="U40" s="52" t="s">
        <v>21</v>
      </c>
      <c r="V40" s="52" t="s">
        <v>22</v>
      </c>
      <c r="W40" s="52" t="s">
        <v>23</v>
      </c>
      <c r="X40" s="52" t="s">
        <v>24</v>
      </c>
      <c r="Y40" s="52" t="s">
        <v>25</v>
      </c>
      <c r="Z40" s="52" t="s">
        <v>26</v>
      </c>
      <c r="AA40" s="52" t="s">
        <v>27</v>
      </c>
      <c r="AB40" s="52" t="s">
        <v>28</v>
      </c>
      <c r="AC40" s="52" t="s">
        <v>29</v>
      </c>
      <c r="AD40" s="52" t="s">
        <v>30</v>
      </c>
      <c r="AE40" s="52" t="s">
        <v>31</v>
      </c>
      <c r="AF40" s="52" t="s">
        <v>32</v>
      </c>
      <c r="AG40" s="52" t="s">
        <v>33</v>
      </c>
      <c r="AH40" s="52" t="s">
        <v>34</v>
      </c>
      <c r="AI40" s="52" t="s">
        <v>35</v>
      </c>
      <c r="AJ40" s="52" t="s">
        <v>36</v>
      </c>
      <c r="AK40" s="52" t="s">
        <v>37</v>
      </c>
      <c r="AL40" s="52" t="s">
        <v>38</v>
      </c>
      <c r="AM40" s="15"/>
    </row>
    <row r="41" ht="12.75" customHeight="1" spans="2:39" x14ac:dyDescent="0.25">
      <c r="B41" s="16"/>
      <c r="C41" s="17"/>
      <c r="D41" s="17" t="s">
        <v>41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16"/>
      <c r="C42" s="17"/>
      <c r="D42" s="17" t="s">
        <v>42</v>
      </c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</row>
    <row r="43" ht="12.75" customHeight="1" spans="2:39" x14ac:dyDescent="0.25">
      <c r="B43" s="16"/>
      <c r="C43" s="17"/>
      <c r="D43" s="17" t="s">
        <v>43</v>
      </c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</row>
    <row r="44" ht="12.75" customHeight="1" spans="2:39" x14ac:dyDescent="0.25">
      <c r="B44" s="16"/>
      <c r="C44" s="17"/>
      <c r="D44" s="17" t="s">
        <v>44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20"/>
      <c r="C45" s="21"/>
      <c r="D45" s="21" t="s">
        <v>45</v>
      </c>
      <c r="E45" s="21"/>
      <c r="F45" s="21"/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2">
        <f>AK41+AK42+AK43+AK44</f>
      </c>
      <c r="AL45" s="22">
        <f>AL41+AL42+AL43+AL44</f>
      </c>
      <c r="AM45" s="23"/>
    </row>
    <row r="47" ht="12.75" customHeight="1" spans="2:39" x14ac:dyDescent="0.25">
      <c r="B47" s="11" t="s">
        <v>47</v>
      </c>
      <c r="C47" s="12"/>
      <c r="D47" s="12"/>
      <c r="E47" s="12"/>
      <c r="F47" s="12"/>
      <c r="G47" s="52" t="s">
        <v>7</v>
      </c>
      <c r="H47" s="52" t="s">
        <v>8</v>
      </c>
      <c r="I47" s="52" t="s">
        <v>9</v>
      </c>
      <c r="J47" s="52" t="s">
        <v>10</v>
      </c>
      <c r="K47" s="52" t="s">
        <v>11</v>
      </c>
      <c r="L47" s="52" t="s">
        <v>12</v>
      </c>
      <c r="M47" s="52" t="s">
        <v>13</v>
      </c>
      <c r="N47" s="52" t="s">
        <v>14</v>
      </c>
      <c r="O47" s="52" t="s">
        <v>15</v>
      </c>
      <c r="P47" s="52" t="s">
        <v>16</v>
      </c>
      <c r="Q47" s="52" t="s">
        <v>17</v>
      </c>
      <c r="R47" s="52" t="s">
        <v>18</v>
      </c>
      <c r="S47" s="52" t="s">
        <v>19</v>
      </c>
      <c r="T47" s="52" t="s">
        <v>20</v>
      </c>
      <c r="U47" s="52" t="s">
        <v>21</v>
      </c>
      <c r="V47" s="52" t="s">
        <v>22</v>
      </c>
      <c r="W47" s="52" t="s">
        <v>23</v>
      </c>
      <c r="X47" s="52" t="s">
        <v>24</v>
      </c>
      <c r="Y47" s="52" t="s">
        <v>25</v>
      </c>
      <c r="Z47" s="52" t="s">
        <v>26</v>
      </c>
      <c r="AA47" s="52" t="s">
        <v>27</v>
      </c>
      <c r="AB47" s="52" t="s">
        <v>28</v>
      </c>
      <c r="AC47" s="52" t="s">
        <v>29</v>
      </c>
      <c r="AD47" s="52" t="s">
        <v>30</v>
      </c>
      <c r="AE47" s="52" t="s">
        <v>31</v>
      </c>
      <c r="AF47" s="52" t="s">
        <v>32</v>
      </c>
      <c r="AG47" s="52" t="s">
        <v>33</v>
      </c>
      <c r="AH47" s="52" t="s">
        <v>34</v>
      </c>
      <c r="AI47" s="52" t="s">
        <v>35</v>
      </c>
      <c r="AJ47" s="52" t="s">
        <v>36</v>
      </c>
      <c r="AK47" s="52" t="s">
        <v>37</v>
      </c>
      <c r="AL47" s="52" t="s">
        <v>38</v>
      </c>
      <c r="AM47" s="15"/>
    </row>
    <row r="48" ht="12.75" customHeight="1" spans="2:39" x14ac:dyDescent="0.25">
      <c r="B48" s="16"/>
      <c r="C48" s="17"/>
      <c r="D48" s="17" t="s">
        <v>41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16"/>
      <c r="C49" s="17"/>
      <c r="D49" s="17" t="s">
        <v>42</v>
      </c>
      <c r="E49" s="17"/>
      <c r="F49" s="17"/>
      <c r="G49" s="24">
        <f>G42-G35</f>
      </c>
      <c r="H49" s="24">
        <f>H42-H35</f>
      </c>
      <c r="I49" s="24">
        <f>I42-I35</f>
      </c>
      <c r="J49" s="24">
        <f>J42-J35</f>
      </c>
      <c r="K49" s="24">
        <f>K42-K35</f>
      </c>
      <c r="L49" s="24">
        <f>L42-L35</f>
      </c>
      <c r="M49" s="24">
        <f>M42-M35</f>
      </c>
      <c r="N49" s="24">
        <f>N42-N35</f>
      </c>
      <c r="O49" s="24">
        <f>O42-O35</f>
      </c>
      <c r="P49" s="24">
        <f>P42-P35</f>
      </c>
      <c r="Q49" s="24">
        <f>Q42-Q35</f>
      </c>
      <c r="R49" s="24">
        <f>R42-R35</f>
      </c>
      <c r="S49" s="24">
        <f>S42-S35</f>
      </c>
      <c r="T49" s="24">
        <f>T42-T35</f>
      </c>
      <c r="U49" s="24">
        <f>U42-U35</f>
      </c>
      <c r="V49" s="24">
        <f>V42-V35</f>
      </c>
      <c r="W49" s="24">
        <f>W42-W35</f>
      </c>
      <c r="X49" s="24">
        <f>X42-X35</f>
      </c>
      <c r="Y49" s="24">
        <f>Y42-Y35</f>
      </c>
      <c r="Z49" s="24">
        <f>Z42-Z35</f>
      </c>
      <c r="AA49" s="24">
        <f>AA42-AA35</f>
      </c>
      <c r="AB49" s="24">
        <f>AB42-AB35</f>
      </c>
      <c r="AC49" s="24">
        <f>AC42-AC35</f>
      </c>
      <c r="AD49" s="24">
        <f>AD42-AD35</f>
      </c>
      <c r="AE49" s="24">
        <f>AE42-AE35</f>
      </c>
      <c r="AF49" s="24">
        <f>AF42-AF35</f>
      </c>
      <c r="AG49" s="24">
        <f>AG42-AG35</f>
      </c>
      <c r="AH49" s="24">
        <f>AH42-AH35</f>
      </c>
      <c r="AI49" s="24">
        <f>AI42-AI35</f>
      </c>
      <c r="AJ49" s="24">
        <f>AJ42-AJ35</f>
      </c>
      <c r="AK49" s="24">
        <f>AK42-AK35</f>
      </c>
      <c r="AL49" s="24">
        <f>AL42-AL35</f>
      </c>
      <c r="AM49" s="19"/>
    </row>
    <row r="50" ht="12.75" customHeight="1" spans="2:39" x14ac:dyDescent="0.25">
      <c r="B50" s="16"/>
      <c r="C50" s="17"/>
      <c r="D50" s="17" t="s">
        <v>43</v>
      </c>
      <c r="E50" s="17"/>
      <c r="F50" s="17"/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24">
        <f>AK43-AK36</f>
      </c>
      <c r="AL50" s="24">
        <f>AL43-AL36</f>
      </c>
      <c r="AM50" s="19"/>
    </row>
    <row r="51" ht="12.75" customHeight="1" spans="2:39" x14ac:dyDescent="0.25">
      <c r="B51" s="16"/>
      <c r="C51" s="17"/>
      <c r="D51" s="17" t="s">
        <v>44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20"/>
      <c r="C52" s="21"/>
      <c r="D52" s="21" t="s">
        <v>45</v>
      </c>
      <c r="E52" s="21"/>
      <c r="F52" s="21"/>
      <c r="G52" s="25">
        <f>G48+G49+G50+G51</f>
      </c>
      <c r="H52" s="25">
        <f>H48+H49+H50+H51</f>
      </c>
      <c r="I52" s="25">
        <f>I48+I49+I50+I51</f>
      </c>
      <c r="J52" s="25">
        <f>J48+J49+J50+J51</f>
      </c>
      <c r="K52" s="25">
        <f>K48+K49+K50+K51</f>
      </c>
      <c r="L52" s="25">
        <f>L48+L49+L50+L51</f>
      </c>
      <c r="M52" s="25">
        <f>M48+M49+M50+M51</f>
      </c>
      <c r="N52" s="25">
        <f>N48+N49+N50+N51</f>
      </c>
      <c r="O52" s="25">
        <f>O48+O49+O50+O51</f>
      </c>
      <c r="P52" s="25">
        <f>P48+P49+P50+P51</f>
      </c>
      <c r="Q52" s="25">
        <f>Q48+Q49+Q50+Q51</f>
      </c>
      <c r="R52" s="25">
        <f>R48+R49+R50+R51</f>
      </c>
      <c r="S52" s="25">
        <f>S48+S49+S50+S51</f>
      </c>
      <c r="T52" s="25">
        <f>T48+T49+T50+T51</f>
      </c>
      <c r="U52" s="25">
        <f>U48+U49+U50+U51</f>
      </c>
      <c r="V52" s="25">
        <f>V48+V49+V50+V51</f>
      </c>
      <c r="W52" s="25">
        <f>W48+W49+W50+W51</f>
      </c>
      <c r="X52" s="25">
        <f>X48+X49+X50+X51</f>
      </c>
      <c r="Y52" s="25">
        <f>Y48+Y49+Y50+Y51</f>
      </c>
      <c r="Z52" s="25">
        <f>Z48+Z49+Z50+Z51</f>
      </c>
      <c r="AA52" s="25">
        <f>AA48+AA49+AA50+AA51</f>
      </c>
      <c r="AB52" s="25">
        <f>AB48+AB49+AB50+AB51</f>
      </c>
      <c r="AC52" s="25">
        <f>AC48+AC49+AC50+AC51</f>
      </c>
      <c r="AD52" s="25">
        <f>AD48+AD49+AD50+AD51</f>
      </c>
      <c r="AE52" s="25">
        <f>AE48+AE49+AE50+AE51</f>
      </c>
      <c r="AF52" s="25">
        <f>AF48+AF49+AF50+AF51</f>
      </c>
      <c r="AG52" s="25">
        <f>AG48+AG49+AG50+AG51</f>
      </c>
      <c r="AH52" s="25">
        <f>AH48+AH49+AH50+AH51</f>
      </c>
      <c r="AI52" s="25">
        <f>AI48+AI49+AI50+AI51</f>
      </c>
      <c r="AJ52" s="25">
        <f>AJ48+AJ49+AJ50+AJ51</f>
      </c>
      <c r="AK52" s="25">
        <f>AK48+AK49+AK50+AK51</f>
      </c>
      <c r="AL52" s="25">
        <f>AL48+AL49+AL50+AL51</f>
      </c>
      <c r="AM5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1807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750</v>
      </c>
      <c r="D13" s="32" t="s">
        <v>1782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6">
        <f>747.82+20.47</f>
        <v>768.2900000000001</v>
      </c>
      <c r="Z13" s="36">
        <f>-137.47+20.47</f>
        <v>-117</v>
      </c>
      <c r="AA13" s="36">
        <f>541.91+20.47</f>
        <v>562.38</v>
      </c>
      <c r="AB13" s="36">
        <f>676.42+20.47</f>
        <v>696.89</v>
      </c>
      <c r="AC13" s="36">
        <f>542.66+20.47</f>
        <v>563.13</v>
      </c>
      <c r="AD13" s="36">
        <f>487.20+20.47</f>
        <v>507.66999999999996</v>
      </c>
      <c r="AE13" s="36">
        <f>659.59+22.07</f>
        <v>681.6600000000001</v>
      </c>
      <c r="AF13" s="36">
        <f>589.26+20.48</f>
        <v>609.74</v>
      </c>
      <c r="AG13" s="36">
        <f>855.83+20.48</f>
        <v>876.3100000000001</v>
      </c>
      <c r="AH13" s="36">
        <f>477.20+20.48</f>
        <v>497.68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750</v>
      </c>
      <c r="D14" s="32" t="s">
        <v>1783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3">
        <v>402.66</v>
      </c>
      <c r="Z14" s="33">
        <v>0.81</v>
      </c>
      <c r="AA14" s="33">
        <v>403.57</v>
      </c>
      <c r="AB14" s="33">
        <v>403.57</v>
      </c>
      <c r="AC14" s="33">
        <v>403.57</v>
      </c>
      <c r="AD14" s="33">
        <v>403.57</v>
      </c>
      <c r="AE14" s="33">
        <v>403.57</v>
      </c>
      <c r="AF14" s="33">
        <v>388.26</v>
      </c>
      <c r="AG14" s="33">
        <v>404.68</v>
      </c>
      <c r="AH14" s="33">
        <v>405.07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750</v>
      </c>
      <c r="D15" s="32" t="s">
        <v>1784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103.29</v>
      </c>
      <c r="Z15" s="33">
        <v>39.58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750</v>
      </c>
      <c r="D16" s="32" t="s">
        <v>1808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>
        <v>249.48</v>
      </c>
      <c r="AC16" s="33">
        <v>192.18</v>
      </c>
      <c r="AD16" s="33">
        <v>119.67</v>
      </c>
      <c r="AE16" s="33">
        <v>66.75</v>
      </c>
      <c r="AF16" s="36">
        <f>43.65+-368.36</f>
        <v>-324.71000000000004</v>
      </c>
      <c r="AG16" s="33">
        <v>-216.02</v>
      </c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750</v>
      </c>
      <c r="D17" s="32" t="s">
        <v>1809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>
        <v>346</v>
      </c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750</v>
      </c>
      <c r="D18" s="32" t="s">
        <v>1810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398.4</v>
      </c>
      <c r="AC18" s="33">
        <v>140.72</v>
      </c>
      <c r="AD18" s="33">
        <v>74.58</v>
      </c>
      <c r="AE18" s="33">
        <v>84.57</v>
      </c>
      <c r="AF18" s="33">
        <v>-172.38</v>
      </c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750</v>
      </c>
      <c r="D19" s="32" t="s">
        <v>1785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3">
        <v>31.96</v>
      </c>
      <c r="Z19" s="33">
        <v>-1.86</v>
      </c>
      <c r="AA19" s="33">
        <v>26.38</v>
      </c>
      <c r="AB19" s="33">
        <v>31.05</v>
      </c>
      <c r="AC19" s="33">
        <v>20.24</v>
      </c>
      <c r="AD19" s="33">
        <v>31.03</v>
      </c>
      <c r="AE19" s="33">
        <v>32.7</v>
      </c>
      <c r="AF19" s="33">
        <v>31.55</v>
      </c>
      <c r="AG19" s="33">
        <v>32.85</v>
      </c>
      <c r="AH19" s="33">
        <v>29.57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750</v>
      </c>
      <c r="D20" s="32" t="s">
        <v>1786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3">
        <v>-57.05</v>
      </c>
      <c r="Z20" s="33">
        <v>-28.77</v>
      </c>
      <c r="AA20" s="33">
        <v>-2.16</v>
      </c>
      <c r="AB20" s="33">
        <v>27.83</v>
      </c>
      <c r="AC20" s="33">
        <v>28.24</v>
      </c>
      <c r="AD20" s="33">
        <v>30.28</v>
      </c>
      <c r="AE20" s="33">
        <v>31.05</v>
      </c>
      <c r="AF20" s="33">
        <v>31.27</v>
      </c>
      <c r="AG20" s="33">
        <v>32.85</v>
      </c>
      <c r="AH20" s="33">
        <v>30.5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750</v>
      </c>
      <c r="D21" s="32" t="s">
        <v>1787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-331.74</v>
      </c>
      <c r="Z21" s="33">
        <v>-308.88</v>
      </c>
      <c r="AA21" s="33">
        <v>-286.78</v>
      </c>
      <c r="AB21" s="33">
        <v>-262.39</v>
      </c>
      <c r="AC21" s="33">
        <v>-240.29</v>
      </c>
      <c r="AD21" s="33">
        <v>-216.67</v>
      </c>
      <c r="AE21" s="33">
        <v>-192.28</v>
      </c>
      <c r="AF21" s="33">
        <v>-169.03</v>
      </c>
      <c r="AG21" s="33">
        <v>-144.28</v>
      </c>
      <c r="AH21" s="33">
        <v>-121.13</v>
      </c>
      <c r="AI21" s="32"/>
      <c r="AJ21" s="34">
        <f>SUM(E21:AI21)</f>
      </c>
      <c r="AK21" s="35"/>
    </row>
    <row r="22" ht="12.75" customHeight="1" spans="2:37" x14ac:dyDescent="0.25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ht="12.75" customHeight="1" spans="2:37" x14ac:dyDescent="0.25">
      <c r="B23" s="20" t="s">
        <v>85</v>
      </c>
      <c r="C23" s="21"/>
      <c r="D23" s="21"/>
      <c r="E23" s="22">
        <f>SUM(E13:E21)</f>
      </c>
      <c r="F23" s="22">
        <f>SUM(F13:F21)</f>
      </c>
      <c r="G23" s="22">
        <f>SUM(G13:G21)</f>
      </c>
      <c r="H23" s="22">
        <f>SUM(H13:H21)</f>
      </c>
      <c r="I23" s="22">
        <f>SUM(I13:I21)</f>
      </c>
      <c r="J23" s="22">
        <f>SUM(J13:J21)</f>
      </c>
      <c r="K23" s="22">
        <f>SUM(K13:K21)</f>
      </c>
      <c r="L23" s="22">
        <f>SUM(L13:L21)</f>
      </c>
      <c r="M23" s="22">
        <f>SUM(M13:M21)</f>
      </c>
      <c r="N23" s="22">
        <f>SUM(N13:N21)</f>
      </c>
      <c r="O23" s="22">
        <f>SUM(O13:O21)</f>
      </c>
      <c r="P23" s="22">
        <f>SUM(P13:P21)</f>
      </c>
      <c r="Q23" s="22">
        <f>SUM(Q13:Q21)</f>
      </c>
      <c r="R23" s="22">
        <f>SUM(R13:R21)</f>
      </c>
      <c r="S23" s="22">
        <f>SUM(S13:S21)</f>
      </c>
      <c r="T23" s="22">
        <f>SUM(T13:T21)</f>
      </c>
      <c r="U23" s="22">
        <f>SUM(U13:U21)</f>
      </c>
      <c r="V23" s="22">
        <f>SUM(V13:V21)</f>
      </c>
      <c r="W23" s="22">
        <f>SUM(W13:W21)</f>
      </c>
      <c r="X23" s="22">
        <f>SUM(X13:X21)</f>
      </c>
      <c r="Y23" s="22">
        <f>SUM(Y13:Y21)</f>
      </c>
      <c r="Z23" s="22">
        <f>SUM(Z13:Z21)</f>
      </c>
      <c r="AA23" s="22">
        <f>SUM(AA13:AA21)</f>
      </c>
      <c r="AB23" s="22">
        <f>SUM(AB13:AB21)</f>
      </c>
      <c r="AC23" s="22">
        <f>SUM(AC13:AC21)</f>
      </c>
      <c r="AD23" s="22">
        <f>SUM(AD13:AD21)</f>
      </c>
      <c r="AE23" s="22">
        <f>SUM(AE13:AE21)</f>
      </c>
      <c r="AF23" s="22">
        <f>SUM(AF13:AF21)</f>
      </c>
      <c r="AG23" s="22">
        <f>SUM(AG13:AG21)</f>
      </c>
      <c r="AH23" s="22">
        <f>SUM(AH13:AH21)</f>
      </c>
      <c r="AI23" s="22">
        <f>SUM(AI13:AI21)</f>
      </c>
      <c r="AJ23" s="22">
        <f>SUM(AJ13:AJ21)</f>
      </c>
      <c r="AK23" s="23"/>
    </row>
    <row r="25" ht="12.75" customHeight="1" spans="2:37" x14ac:dyDescent="0.25">
      <c r="B25" s="26" t="s">
        <v>43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/>
    </row>
    <row r="26" ht="12.75" customHeight="1" spans="2:37" x14ac:dyDescent="0.25">
      <c r="B26" s="30" t="s">
        <v>43</v>
      </c>
      <c r="C26" s="31" t="s">
        <v>1811</v>
      </c>
      <c r="D26" s="32" t="s">
        <v>1812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6">
        <f>1970.28+0.00+2954.62</f>
        <v>4924.9</v>
      </c>
      <c r="AA26" s="36">
        <f>1501.91+0.00+2573.82</f>
        <v>4075.7300000000005</v>
      </c>
      <c r="AB26" s="36">
        <f>0.00+2182.73+3288.07</f>
        <v>5470.8</v>
      </c>
      <c r="AC26" s="36">
        <f>1510.73+0.00+2589.26</f>
        <v>4099.99</v>
      </c>
      <c r="AD26" s="36">
        <f>2365.14+0.00+3798.21</f>
        <v>6163.35</v>
      </c>
      <c r="AE26" s="36">
        <f>2068.20+0.00+3723.78</f>
        <v>5791.98</v>
      </c>
      <c r="AF26" s="36">
        <f>2234.06+0.00+3532.34</f>
        <v>5766.4</v>
      </c>
      <c r="AG26" s="36">
        <f>2520.09+0.00+4141.68</f>
        <v>6661.77</v>
      </c>
      <c r="AH26" s="36">
        <f>2524.31+0.00+4546.77</f>
        <v>7071.08</v>
      </c>
      <c r="AI26" s="32"/>
      <c r="AJ26" s="34">
        <f>SUM(E26:AI26)</f>
      </c>
      <c r="AK26" s="35"/>
    </row>
    <row r="27" ht="12.75" customHeight="1" spans="2:37" x14ac:dyDescent="0.25">
      <c r="B27" s="37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</row>
    <row r="28" ht="12.75" customHeight="1" spans="2:37" x14ac:dyDescent="0.25">
      <c r="B28" s="20" t="s">
        <v>89</v>
      </c>
      <c r="C28" s="21"/>
      <c r="D28" s="21"/>
      <c r="E28" s="22">
        <f>SUM(E26:E26)</f>
      </c>
      <c r="F28" s="22">
        <f>SUM(F26:F26)</f>
      </c>
      <c r="G28" s="22">
        <f>SUM(G26:G26)</f>
      </c>
      <c r="H28" s="22">
        <f>SUM(H26:H26)</f>
      </c>
      <c r="I28" s="22">
        <f>SUM(I26:I26)</f>
      </c>
      <c r="J28" s="22">
        <f>SUM(J26:J26)</f>
      </c>
      <c r="K28" s="22">
        <f>SUM(K26:K26)</f>
      </c>
      <c r="L28" s="22">
        <f>SUM(L26:L26)</f>
      </c>
      <c r="M28" s="22">
        <f>SUM(M26:M26)</f>
      </c>
      <c r="N28" s="22">
        <f>SUM(N26:N26)</f>
      </c>
      <c r="O28" s="22">
        <f>SUM(O26:O26)</f>
      </c>
      <c r="P28" s="22">
        <f>SUM(P26:P26)</f>
      </c>
      <c r="Q28" s="22">
        <f>SUM(Q26:Q26)</f>
      </c>
      <c r="R28" s="22">
        <f>SUM(R26:R26)</f>
      </c>
      <c r="S28" s="22">
        <f>SUM(S26:S26)</f>
      </c>
      <c r="T28" s="22">
        <f>SUM(T26:T26)</f>
      </c>
      <c r="U28" s="22">
        <f>SUM(U26:U26)</f>
      </c>
      <c r="V28" s="22">
        <f>SUM(V26:V26)</f>
      </c>
      <c r="W28" s="22">
        <f>SUM(W26:W26)</f>
      </c>
      <c r="X28" s="22">
        <f>SUM(X26:X26)</f>
      </c>
      <c r="Y28" s="22">
        <f>SUM(Y26:Y26)</f>
      </c>
      <c r="Z28" s="22">
        <f>SUM(Z26:Z26)</f>
      </c>
      <c r="AA28" s="22">
        <f>SUM(AA26:AA26)</f>
      </c>
      <c r="AB28" s="22">
        <f>SUM(AB26:AB26)</f>
      </c>
      <c r="AC28" s="22">
        <f>SUM(AC26:AC26)</f>
      </c>
      <c r="AD28" s="22">
        <f>SUM(AD26:AD26)</f>
      </c>
      <c r="AE28" s="22">
        <f>SUM(AE26:AE26)</f>
      </c>
      <c r="AF28" s="22">
        <f>SUM(AF26:AF26)</f>
      </c>
      <c r="AG28" s="22">
        <f>SUM(AG26:AG26)</f>
      </c>
      <c r="AH28" s="22">
        <f>SUM(AH26:AH26)</f>
      </c>
      <c r="AI28" s="22">
        <f>SUM(AI26:AI26)</f>
      </c>
      <c r="AJ28" s="22">
        <f>SUM(AJ26:AJ26)</f>
      </c>
      <c r="AK28" s="23"/>
    </row>
    <row r="30" ht="12.75" customHeight="1" spans="2:37" x14ac:dyDescent="0.25">
      <c r="B30" s="26" t="s">
        <v>44</v>
      </c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9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90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3"/>
    </row>
    <row r="35" ht="12.75" customHeight="1" spans="2:37" x14ac:dyDescent="0.25">
      <c r="B35" s="11" t="s">
        <v>40</v>
      </c>
      <c r="C35" s="12"/>
      <c r="D35" s="13"/>
      <c r="E35" s="14" t="s">
        <v>7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  <c r="K35" s="14" t="s">
        <v>13</v>
      </c>
      <c r="L35" s="14" t="s">
        <v>14</v>
      </c>
      <c r="M35" s="14" t="s">
        <v>15</v>
      </c>
      <c r="N35" s="14" t="s">
        <v>16</v>
      </c>
      <c r="O35" s="14" t="s">
        <v>17</v>
      </c>
      <c r="P35" s="14" t="s">
        <v>18</v>
      </c>
      <c r="Q35" s="14" t="s">
        <v>19</v>
      </c>
      <c r="R35" s="14" t="s">
        <v>20</v>
      </c>
      <c r="S35" s="14" t="s">
        <v>21</v>
      </c>
      <c r="T35" s="14" t="s">
        <v>22</v>
      </c>
      <c r="U35" s="14" t="s">
        <v>23</v>
      </c>
      <c r="V35" s="14" t="s">
        <v>24</v>
      </c>
      <c r="W35" s="14" t="s">
        <v>25</v>
      </c>
      <c r="X35" s="14" t="s">
        <v>26</v>
      </c>
      <c r="Y35" s="14" t="s">
        <v>27</v>
      </c>
      <c r="Z35" s="14" t="s">
        <v>28</v>
      </c>
      <c r="AA35" s="14" t="s">
        <v>29</v>
      </c>
      <c r="AB35" s="14" t="s">
        <v>30</v>
      </c>
      <c r="AC35" s="14" t="s">
        <v>31</v>
      </c>
      <c r="AD35" s="14" t="s">
        <v>32</v>
      </c>
      <c r="AE35" s="14" t="s">
        <v>33</v>
      </c>
      <c r="AF35" s="14" t="s">
        <v>34</v>
      </c>
      <c r="AG35" s="14" t="s">
        <v>35</v>
      </c>
      <c r="AH35" s="14" t="s">
        <v>36</v>
      </c>
      <c r="AI35" s="14" t="s">
        <v>37</v>
      </c>
      <c r="AJ35" s="14" t="s">
        <v>38</v>
      </c>
      <c r="AK35" s="15"/>
    </row>
    <row r="36" ht="12.75" customHeight="1" spans="2:37" x14ac:dyDescent="0.25">
      <c r="B36" s="16" t="s">
        <v>41</v>
      </c>
      <c r="C36" s="17"/>
      <c r="D36" s="17"/>
      <c r="E36" s="18">
        <f>E10</f>
      </c>
      <c r="F36" s="18">
        <f>F10</f>
      </c>
      <c r="G36" s="18">
        <f>G10</f>
      </c>
      <c r="H36" s="18">
        <f>H10</f>
      </c>
      <c r="I36" s="18">
        <f>I10</f>
      </c>
      <c r="J36" s="18">
        <f>J10</f>
      </c>
      <c r="K36" s="18">
        <f>K10</f>
      </c>
      <c r="L36" s="18">
        <f>L10</f>
      </c>
      <c r="M36" s="18">
        <f>M10</f>
      </c>
      <c r="N36" s="18">
        <f>N10</f>
      </c>
      <c r="O36" s="18">
        <f>O10</f>
      </c>
      <c r="P36" s="18">
        <f>P10</f>
      </c>
      <c r="Q36" s="18">
        <f>Q10</f>
      </c>
      <c r="R36" s="18">
        <f>R10</f>
      </c>
      <c r="S36" s="18">
        <f>S10</f>
      </c>
      <c r="T36" s="18">
        <f>T10</f>
      </c>
      <c r="U36" s="18">
        <f>U10</f>
      </c>
      <c r="V36" s="18">
        <f>V10</f>
      </c>
      <c r="W36" s="18">
        <f>W10</f>
      </c>
      <c r="X36" s="18">
        <f>X10</f>
      </c>
      <c r="Y36" s="18">
        <f>Y10</f>
      </c>
      <c r="Z36" s="18">
        <f>Z10</f>
      </c>
      <c r="AA36" s="18">
        <f>AA10</f>
      </c>
      <c r="AB36" s="18">
        <f>AB10</f>
      </c>
      <c r="AC36" s="18">
        <f>AC10</f>
      </c>
      <c r="AD36" s="18">
        <f>AD10</f>
      </c>
      <c r="AE36" s="18">
        <f>AE10</f>
      </c>
      <c r="AF36" s="18">
        <f>AF10</f>
      </c>
      <c r="AG36" s="18">
        <f>AG10</f>
      </c>
      <c r="AH36" s="18">
        <f>AH10</f>
      </c>
      <c r="AI36" s="18">
        <f>AI10</f>
      </c>
      <c r="AJ36" s="18">
        <f>AJ10</f>
      </c>
      <c r="AK36" s="19"/>
    </row>
    <row r="37" ht="12.75" customHeight="1" spans="2:37" x14ac:dyDescent="0.25">
      <c r="B37" s="16" t="s">
        <v>42</v>
      </c>
      <c r="C37" s="17"/>
      <c r="D37" s="17"/>
      <c r="E37" s="18">
        <f>E23</f>
      </c>
      <c r="F37" s="18">
        <f>F23</f>
      </c>
      <c r="G37" s="18">
        <f>G23</f>
      </c>
      <c r="H37" s="18">
        <f>H23</f>
      </c>
      <c r="I37" s="18">
        <f>I23</f>
      </c>
      <c r="J37" s="18">
        <f>J23</f>
      </c>
      <c r="K37" s="18">
        <f>K23</f>
      </c>
      <c r="L37" s="18">
        <f>L23</f>
      </c>
      <c r="M37" s="18">
        <f>M23</f>
      </c>
      <c r="N37" s="18">
        <f>N23</f>
      </c>
      <c r="O37" s="18">
        <f>O23</f>
      </c>
      <c r="P37" s="18">
        <f>P23</f>
      </c>
      <c r="Q37" s="18">
        <f>Q23</f>
      </c>
      <c r="R37" s="18">
        <f>R23</f>
      </c>
      <c r="S37" s="18">
        <f>S23</f>
      </c>
      <c r="T37" s="18">
        <f>T23</f>
      </c>
      <c r="U37" s="18">
        <f>U23</f>
      </c>
      <c r="V37" s="18">
        <f>V23</f>
      </c>
      <c r="W37" s="18">
        <f>W23</f>
      </c>
      <c r="X37" s="18">
        <f>X23</f>
      </c>
      <c r="Y37" s="18">
        <f>Y23</f>
      </c>
      <c r="Z37" s="18">
        <f>Z23</f>
      </c>
      <c r="AA37" s="18">
        <f>AA23</f>
      </c>
      <c r="AB37" s="18">
        <f>AB23</f>
      </c>
      <c r="AC37" s="18">
        <f>AC23</f>
      </c>
      <c r="AD37" s="18">
        <f>AD23</f>
      </c>
      <c r="AE37" s="18">
        <f>AE23</f>
      </c>
      <c r="AF37" s="18">
        <f>AF23</f>
      </c>
      <c r="AG37" s="18">
        <f>AG23</f>
      </c>
      <c r="AH37" s="18">
        <f>AH23</f>
      </c>
      <c r="AI37" s="18">
        <f>AI23</f>
      </c>
      <c r="AJ37" s="18">
        <f>AJ23</f>
      </c>
      <c r="AK37" s="19"/>
    </row>
    <row r="38" ht="12.75" customHeight="1" spans="2:37" x14ac:dyDescent="0.25">
      <c r="B38" s="16" t="s">
        <v>43</v>
      </c>
      <c r="C38" s="17"/>
      <c r="D38" s="17"/>
      <c r="E38" s="18">
        <f>E28</f>
      </c>
      <c r="F38" s="18">
        <f>F28</f>
      </c>
      <c r="G38" s="18">
        <f>G28</f>
      </c>
      <c r="H38" s="18">
        <f>H28</f>
      </c>
      <c r="I38" s="18">
        <f>I28</f>
      </c>
      <c r="J38" s="18">
        <f>J28</f>
      </c>
      <c r="K38" s="18">
        <f>K28</f>
      </c>
      <c r="L38" s="18">
        <f>L28</f>
      </c>
      <c r="M38" s="18">
        <f>M28</f>
      </c>
      <c r="N38" s="18">
        <f>N28</f>
      </c>
      <c r="O38" s="18">
        <f>O28</f>
      </c>
      <c r="P38" s="18">
        <f>P28</f>
      </c>
      <c r="Q38" s="18">
        <f>Q28</f>
      </c>
      <c r="R38" s="18">
        <f>R28</f>
      </c>
      <c r="S38" s="18">
        <f>S28</f>
      </c>
      <c r="T38" s="18">
        <f>T28</f>
      </c>
      <c r="U38" s="18">
        <f>U28</f>
      </c>
      <c r="V38" s="18">
        <f>V28</f>
      </c>
      <c r="W38" s="18">
        <f>W28</f>
      </c>
      <c r="X38" s="18">
        <f>X28</f>
      </c>
      <c r="Y38" s="18">
        <f>Y28</f>
      </c>
      <c r="Z38" s="18">
        <f>Z28</f>
      </c>
      <c r="AA38" s="18">
        <f>AA28</f>
      </c>
      <c r="AB38" s="18">
        <f>AB28</f>
      </c>
      <c r="AC38" s="18">
        <f>AC28</f>
      </c>
      <c r="AD38" s="18">
        <f>AD28</f>
      </c>
      <c r="AE38" s="18">
        <f>AE28</f>
      </c>
      <c r="AF38" s="18">
        <f>AF28</f>
      </c>
      <c r="AG38" s="18">
        <f>AG28</f>
      </c>
      <c r="AH38" s="18">
        <f>AH28</f>
      </c>
      <c r="AI38" s="18">
        <f>AI28</f>
      </c>
      <c r="AJ38" s="18">
        <f>AJ28</f>
      </c>
      <c r="AK38" s="19"/>
    </row>
    <row r="39" ht="12.75" customHeight="1" spans="2:37" x14ac:dyDescent="0.25">
      <c r="B39" s="16" t="s">
        <v>44</v>
      </c>
      <c r="C39" s="17"/>
      <c r="D39" s="17"/>
      <c r="E39" s="18">
        <f>E32</f>
      </c>
      <c r="F39" s="18">
        <f>F32</f>
      </c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9"/>
    </row>
    <row r="40" ht="12.75" customHeight="1" spans="2:37" x14ac:dyDescent="0.25">
      <c r="B40" s="20" t="s">
        <v>45</v>
      </c>
      <c r="C40" s="21"/>
      <c r="D40" s="21"/>
      <c r="E40" s="22">
        <f>E36+E37+E38+E39</f>
      </c>
      <c r="F40" s="22">
        <f>F36+F37+F38+F39</f>
      </c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3"/>
    </row>
    <row r="42" ht="12.75" customHeight="1" spans="2:37" x14ac:dyDescent="0.25">
      <c r="B42" s="11" t="s">
        <v>46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42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43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44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47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42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43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44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20" t="s">
        <v>45</v>
      </c>
      <c r="C54" s="21"/>
      <c r="D54" s="21"/>
      <c r="E54" s="25">
        <f>E50+E51+E52+E53</f>
      </c>
      <c r="F54" s="25">
        <f>F50+F51+F52+F53</f>
      </c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1807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3</v>
      </c>
      <c r="AA8" s="44" t="s">
        <v>1813</v>
      </c>
      <c r="AB8" s="44" t="s">
        <v>1814</v>
      </c>
      <c r="AC8" s="44" t="s">
        <v>1815</v>
      </c>
      <c r="AD8" s="44" t="s">
        <v>1816</v>
      </c>
      <c r="AE8" s="44" t="s">
        <v>1817</v>
      </c>
      <c r="AF8" s="44" t="s">
        <v>1818</v>
      </c>
      <c r="AG8" s="44" t="s">
        <v>1819</v>
      </c>
      <c r="AH8" s="44" t="s">
        <v>1820</v>
      </c>
      <c r="AI8" s="44" t="s">
        <v>1821</v>
      </c>
      <c r="AJ8" s="44" t="s">
        <v>1822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1807</v>
      </c>
      <c r="D14" s="50" t="s">
        <v>42</v>
      </c>
      <c r="E14" s="32" t="s">
        <v>750</v>
      </c>
      <c r="F14" s="32" t="s">
        <v>1782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>
        <f>747.82+20.47</f>
        <v>768.2900000000001</v>
      </c>
      <c r="AB14" s="33">
        <f>-137.47+20.47</f>
        <v>-117</v>
      </c>
      <c r="AC14" s="33">
        <f>541.91+20.47</f>
        <v>562.38</v>
      </c>
      <c r="AD14" s="33">
        <f>676.42+20.47</f>
        <v>696.89</v>
      </c>
      <c r="AE14" s="33">
        <f>542.66+20.47</f>
        <v>563.13</v>
      </c>
      <c r="AF14" s="33">
        <f>487.20+20.47</f>
        <v>507.66999999999996</v>
      </c>
      <c r="AG14" s="33">
        <f>659.59+22.07</f>
        <v>681.6600000000001</v>
      </c>
      <c r="AH14" s="33">
        <f>589.26+20.48</f>
        <v>609.74</v>
      </c>
      <c r="AI14" s="33">
        <f>855.83+20.48</f>
        <v>876.3100000000001</v>
      </c>
      <c r="AJ14" s="33">
        <f>477.20+20.48</f>
        <v>497.68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1807</v>
      </c>
      <c r="D15" s="50" t="s">
        <v>42</v>
      </c>
      <c r="E15" s="32" t="s">
        <v>750</v>
      </c>
      <c r="F15" s="32" t="s">
        <v>1783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>
        <v>402.66</v>
      </c>
      <c r="AB15" s="33">
        <v>0.81</v>
      </c>
      <c r="AC15" s="33">
        <v>403.57</v>
      </c>
      <c r="AD15" s="33">
        <v>403.57</v>
      </c>
      <c r="AE15" s="33">
        <v>403.57</v>
      </c>
      <c r="AF15" s="33">
        <v>403.57</v>
      </c>
      <c r="AG15" s="33">
        <v>403.57</v>
      </c>
      <c r="AH15" s="33">
        <v>388.26</v>
      </c>
      <c r="AI15" s="33">
        <v>404.68</v>
      </c>
      <c r="AJ15" s="33">
        <v>405.07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1807</v>
      </c>
      <c r="D16" s="50" t="s">
        <v>42</v>
      </c>
      <c r="E16" s="32" t="s">
        <v>750</v>
      </c>
      <c r="F16" s="32" t="s">
        <v>1784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103.29</v>
      </c>
      <c r="AB16" s="33">
        <v>39.58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1807</v>
      </c>
      <c r="D17" s="50" t="s">
        <v>42</v>
      </c>
      <c r="E17" s="32" t="s">
        <v>750</v>
      </c>
      <c r="F17" s="32" t="s">
        <v>1808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3">
        <v>249.48</v>
      </c>
      <c r="AE17" s="33">
        <v>192.18</v>
      </c>
      <c r="AF17" s="33">
        <v>119.67</v>
      </c>
      <c r="AG17" s="33">
        <v>66.75</v>
      </c>
      <c r="AH17" s="33">
        <f>43.65+-368.36</f>
        <v>-324.71000000000004</v>
      </c>
      <c r="AI17" s="33">
        <v>-216.02</v>
      </c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1807</v>
      </c>
      <c r="D18" s="50" t="s">
        <v>42</v>
      </c>
      <c r="E18" s="32" t="s">
        <v>750</v>
      </c>
      <c r="F18" s="32" t="s">
        <v>1809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3">
        <v>346</v>
      </c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1807</v>
      </c>
      <c r="D19" s="50" t="s">
        <v>42</v>
      </c>
      <c r="E19" s="32" t="s">
        <v>750</v>
      </c>
      <c r="F19" s="32" t="s">
        <v>1810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>
        <v>398.4</v>
      </c>
      <c r="AE19" s="33">
        <v>140.72</v>
      </c>
      <c r="AF19" s="33">
        <v>74.58</v>
      </c>
      <c r="AG19" s="33">
        <v>84.57</v>
      </c>
      <c r="AH19" s="33">
        <v>-172.38</v>
      </c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1807</v>
      </c>
      <c r="D20" s="50" t="s">
        <v>42</v>
      </c>
      <c r="E20" s="32" t="s">
        <v>750</v>
      </c>
      <c r="F20" s="32" t="s">
        <v>1785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>
        <v>31.96</v>
      </c>
      <c r="AB20" s="33">
        <v>-1.86</v>
      </c>
      <c r="AC20" s="33">
        <v>26.38</v>
      </c>
      <c r="AD20" s="33">
        <v>31.05</v>
      </c>
      <c r="AE20" s="33">
        <v>20.24</v>
      </c>
      <c r="AF20" s="33">
        <v>31.03</v>
      </c>
      <c r="AG20" s="33">
        <v>32.7</v>
      </c>
      <c r="AH20" s="33">
        <v>31.55</v>
      </c>
      <c r="AI20" s="33">
        <v>32.85</v>
      </c>
      <c r="AJ20" s="33">
        <v>29.57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1807</v>
      </c>
      <c r="D21" s="50" t="s">
        <v>42</v>
      </c>
      <c r="E21" s="32" t="s">
        <v>750</v>
      </c>
      <c r="F21" s="32" t="s">
        <v>1786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v>-57.05</v>
      </c>
      <c r="AB21" s="33">
        <v>-28.77</v>
      </c>
      <c r="AC21" s="33">
        <v>-2.16</v>
      </c>
      <c r="AD21" s="33">
        <v>27.83</v>
      </c>
      <c r="AE21" s="33">
        <v>28.24</v>
      </c>
      <c r="AF21" s="33">
        <v>30.28</v>
      </c>
      <c r="AG21" s="33">
        <v>31.05</v>
      </c>
      <c r="AH21" s="33">
        <v>31.27</v>
      </c>
      <c r="AI21" s="33">
        <v>32.85</v>
      </c>
      <c r="AJ21" s="33">
        <v>30.5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1807</v>
      </c>
      <c r="D22" s="50" t="s">
        <v>42</v>
      </c>
      <c r="E22" s="32" t="s">
        <v>750</v>
      </c>
      <c r="F22" s="32" t="s">
        <v>1787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-331.74</v>
      </c>
      <c r="AB22" s="33">
        <v>-308.88</v>
      </c>
      <c r="AC22" s="33">
        <v>-286.78</v>
      </c>
      <c r="AD22" s="33">
        <v>-262.39</v>
      </c>
      <c r="AE22" s="33">
        <v>-240.29</v>
      </c>
      <c r="AF22" s="33">
        <v>-216.67</v>
      </c>
      <c r="AG22" s="33">
        <v>-192.28</v>
      </c>
      <c r="AH22" s="33">
        <v>-169.03</v>
      </c>
      <c r="AI22" s="33">
        <v>-144.28</v>
      </c>
      <c r="AJ22" s="33">
        <v>-121.13</v>
      </c>
      <c r="AK22" s="32"/>
      <c r="AL22" s="34">
        <f>SUM(G22:AK22)</f>
      </c>
      <c r="AM22" s="35"/>
    </row>
    <row r="23" ht="13.5" customHeight="1" spans="2:39" x14ac:dyDescent="0.25">
      <c r="B23" s="51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0"/>
    </row>
    <row r="24" ht="13.5" customHeight="1" spans="2:39" x14ac:dyDescent="0.25">
      <c r="B24" s="20"/>
      <c r="C24" s="21"/>
      <c r="D24" s="21" t="s">
        <v>85</v>
      </c>
      <c r="E24" s="21"/>
      <c r="F24" s="21"/>
      <c r="G24" s="22">
        <f>SUM(G14:G22)</f>
      </c>
      <c r="H24" s="22">
        <f>SUM(H14:H22)</f>
      </c>
      <c r="I24" s="22">
        <f>SUM(I14:I22)</f>
      </c>
      <c r="J24" s="22">
        <f>SUM(J14:J22)</f>
      </c>
      <c r="K24" s="22">
        <f>SUM(K14:K22)</f>
      </c>
      <c r="L24" s="22">
        <f>SUM(L14:L22)</f>
      </c>
      <c r="M24" s="22">
        <f>SUM(M14:M22)</f>
      </c>
      <c r="N24" s="22">
        <f>SUM(N14:N22)</f>
      </c>
      <c r="O24" s="22">
        <f>SUM(O14:O22)</f>
      </c>
      <c r="P24" s="22">
        <f>SUM(P14:P22)</f>
      </c>
      <c r="Q24" s="22">
        <f>SUM(Q14:Q22)</f>
      </c>
      <c r="R24" s="22">
        <f>SUM(R14:R22)</f>
      </c>
      <c r="S24" s="22">
        <f>SUM(S14:S22)</f>
      </c>
      <c r="T24" s="22">
        <f>SUM(T14:T22)</f>
      </c>
      <c r="U24" s="22">
        <f>SUM(U14:U22)</f>
      </c>
      <c r="V24" s="22">
        <f>SUM(V14:V22)</f>
      </c>
      <c r="W24" s="22">
        <f>SUM(W14:W22)</f>
      </c>
      <c r="X24" s="22">
        <f>SUM(X14:X22)</f>
      </c>
      <c r="Y24" s="22">
        <f>SUM(Y14:Y22)</f>
      </c>
      <c r="Z24" s="22">
        <f>SUM(Z14:Z22)</f>
      </c>
      <c r="AA24" s="22">
        <f>SUM(AA14:AA22)</f>
      </c>
      <c r="AB24" s="22">
        <f>SUM(AB14:AB22)</f>
      </c>
      <c r="AC24" s="22">
        <f>SUM(AC14:AC22)</f>
      </c>
      <c r="AD24" s="22">
        <f>SUM(AD14:AD22)</f>
      </c>
      <c r="AE24" s="22">
        <f>SUM(AE14:AE22)</f>
      </c>
      <c r="AF24" s="22">
        <f>SUM(AF14:AF22)</f>
      </c>
      <c r="AG24" s="22">
        <f>SUM(AG14:AG22)</f>
      </c>
      <c r="AH24" s="22">
        <f>SUM(AH14:AH22)</f>
      </c>
      <c r="AI24" s="22">
        <f>SUM(AI14:AI22)</f>
      </c>
      <c r="AJ24" s="22">
        <f>SUM(AJ14:AJ22)</f>
      </c>
      <c r="AK24" s="22">
        <f>SUM(AK14:AK22)</f>
      </c>
      <c r="AL24" s="22">
        <f>SUM(AL14:AL22)</f>
      </c>
      <c r="AM24" s="23"/>
    </row>
    <row r="26" ht="13.5" customHeight="1" spans="2:39" x14ac:dyDescent="0.25">
      <c r="B26" s="46"/>
      <c r="C26" s="28"/>
      <c r="D26" s="47" t="s">
        <v>43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/>
    </row>
    <row r="27" ht="13.5" customHeight="1" spans="2:39" x14ac:dyDescent="0.25">
      <c r="B27" s="48" t="s">
        <v>3</v>
      </c>
      <c r="C27" s="49" t="s">
        <v>1807</v>
      </c>
      <c r="D27" s="50" t="s">
        <v>43</v>
      </c>
      <c r="E27" s="32" t="s">
        <v>1811</v>
      </c>
      <c r="F27" s="32" t="s">
        <v>1812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3">
        <f>1970.28+0.00+2954.62</f>
        <v>4924.9</v>
      </c>
      <c r="AC27" s="33">
        <f>1501.91+0.00+2573.82</f>
        <v>4075.7300000000005</v>
      </c>
      <c r="AD27" s="33">
        <f>0.00+2182.73+3288.07</f>
        <v>5470.8</v>
      </c>
      <c r="AE27" s="33">
        <f>1510.73+0.00+2589.26</f>
        <v>4099.99</v>
      </c>
      <c r="AF27" s="33">
        <f>2365.14+0.00+3798.21</f>
        <v>6163.35</v>
      </c>
      <c r="AG27" s="33">
        <f>2068.20+0.00+3723.78</f>
        <v>5791.98</v>
      </c>
      <c r="AH27" s="33">
        <f>2234.06+0.00+3532.34</f>
        <v>5766.4</v>
      </c>
      <c r="AI27" s="33">
        <f>2520.09+0.00+4141.68</f>
        <v>6661.77</v>
      </c>
      <c r="AJ27" s="33">
        <f>2524.31+0.00+4546.77</f>
        <v>7071.08</v>
      </c>
      <c r="AK27" s="32"/>
      <c r="AL27" s="34">
        <f>SUM(G27:AK27)</f>
      </c>
      <c r="AM27" s="35"/>
    </row>
    <row r="28" ht="13.5" customHeight="1" spans="2:39" x14ac:dyDescent="0.25">
      <c r="B28" s="51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40"/>
    </row>
    <row r="29" ht="13.5" customHeight="1" spans="2:39" x14ac:dyDescent="0.25">
      <c r="B29" s="20"/>
      <c r="C29" s="21"/>
      <c r="D29" s="21" t="s">
        <v>89</v>
      </c>
      <c r="E29" s="21"/>
      <c r="F29" s="21"/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2">
        <f>SUM(AK27:AK27)</f>
      </c>
      <c r="AL29" s="22">
        <f>SUM(AL27:AL27)</f>
      </c>
      <c r="AM29" s="23"/>
    </row>
    <row r="31" ht="13.5" customHeight="1" spans="2:39" x14ac:dyDescent="0.25">
      <c r="B31" s="46"/>
      <c r="C31" s="28"/>
      <c r="D31" s="47" t="s">
        <v>44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9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90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3"/>
    </row>
    <row r="36" ht="12.75" customHeight="1" spans="2:39" x14ac:dyDescent="0.25">
      <c r="B36" s="11" t="s">
        <v>40</v>
      </c>
      <c r="C36" s="12"/>
      <c r="D36" s="12"/>
      <c r="E36" s="12"/>
      <c r="F36" s="12"/>
      <c r="G36" s="52" t="s">
        <v>7</v>
      </c>
      <c r="H36" s="52" t="s">
        <v>8</v>
      </c>
      <c r="I36" s="52" t="s">
        <v>9</v>
      </c>
      <c r="J36" s="52" t="s">
        <v>10</v>
      </c>
      <c r="K36" s="52" t="s">
        <v>11</v>
      </c>
      <c r="L36" s="52" t="s">
        <v>12</v>
      </c>
      <c r="M36" s="52" t="s">
        <v>13</v>
      </c>
      <c r="N36" s="52" t="s">
        <v>14</v>
      </c>
      <c r="O36" s="52" t="s">
        <v>15</v>
      </c>
      <c r="P36" s="52" t="s">
        <v>16</v>
      </c>
      <c r="Q36" s="52" t="s">
        <v>17</v>
      </c>
      <c r="R36" s="52" t="s">
        <v>18</v>
      </c>
      <c r="S36" s="52" t="s">
        <v>19</v>
      </c>
      <c r="T36" s="52" t="s">
        <v>20</v>
      </c>
      <c r="U36" s="52" t="s">
        <v>21</v>
      </c>
      <c r="V36" s="52" t="s">
        <v>22</v>
      </c>
      <c r="W36" s="52" t="s">
        <v>23</v>
      </c>
      <c r="X36" s="52" t="s">
        <v>24</v>
      </c>
      <c r="Y36" s="52" t="s">
        <v>25</v>
      </c>
      <c r="Z36" s="52" t="s">
        <v>26</v>
      </c>
      <c r="AA36" s="52" t="s">
        <v>27</v>
      </c>
      <c r="AB36" s="52" t="s">
        <v>28</v>
      </c>
      <c r="AC36" s="52" t="s">
        <v>29</v>
      </c>
      <c r="AD36" s="52" t="s">
        <v>30</v>
      </c>
      <c r="AE36" s="52" t="s">
        <v>31</v>
      </c>
      <c r="AF36" s="52" t="s">
        <v>32</v>
      </c>
      <c r="AG36" s="52" t="s">
        <v>33</v>
      </c>
      <c r="AH36" s="52" t="s">
        <v>34</v>
      </c>
      <c r="AI36" s="52" t="s">
        <v>35</v>
      </c>
      <c r="AJ36" s="52" t="s">
        <v>36</v>
      </c>
      <c r="AK36" s="52" t="s">
        <v>37</v>
      </c>
      <c r="AL36" s="52" t="s">
        <v>38</v>
      </c>
      <c r="AM36" s="15"/>
    </row>
    <row r="37" ht="12.75" customHeight="1" spans="2:39" x14ac:dyDescent="0.25">
      <c r="B37" s="16"/>
      <c r="C37" s="17"/>
      <c r="D37" s="17" t="s">
        <v>41</v>
      </c>
      <c r="E37" s="17"/>
      <c r="F37" s="17"/>
      <c r="G37" s="18">
        <f>G11</f>
      </c>
      <c r="H37" s="18">
        <f>H11</f>
      </c>
      <c r="I37" s="18">
        <f>I11</f>
      </c>
      <c r="J37" s="18">
        <f>J11</f>
      </c>
      <c r="K37" s="18">
        <f>K11</f>
      </c>
      <c r="L37" s="18">
        <f>L11</f>
      </c>
      <c r="M37" s="18">
        <f>M11</f>
      </c>
      <c r="N37" s="18">
        <f>N11</f>
      </c>
      <c r="O37" s="18">
        <f>O11</f>
      </c>
      <c r="P37" s="18">
        <f>P11</f>
      </c>
      <c r="Q37" s="18">
        <f>Q11</f>
      </c>
      <c r="R37" s="18">
        <f>R11</f>
      </c>
      <c r="S37" s="18">
        <f>S11</f>
      </c>
      <c r="T37" s="18">
        <f>T11</f>
      </c>
      <c r="U37" s="18">
        <f>U11</f>
      </c>
      <c r="V37" s="18">
        <f>V11</f>
      </c>
      <c r="W37" s="18">
        <f>W11</f>
      </c>
      <c r="X37" s="18">
        <f>X11</f>
      </c>
      <c r="Y37" s="18">
        <f>Y11</f>
      </c>
      <c r="Z37" s="18">
        <f>Z11</f>
      </c>
      <c r="AA37" s="18">
        <f>AA11</f>
      </c>
      <c r="AB37" s="18">
        <f>AB11</f>
      </c>
      <c r="AC37" s="18">
        <f>AC11</f>
      </c>
      <c r="AD37" s="18">
        <f>AD11</f>
      </c>
      <c r="AE37" s="18">
        <f>AE11</f>
      </c>
      <c r="AF37" s="18">
        <f>AF11</f>
      </c>
      <c r="AG37" s="18">
        <f>AG11</f>
      </c>
      <c r="AH37" s="18">
        <f>AH11</f>
      </c>
      <c r="AI37" s="18">
        <f>AI11</f>
      </c>
      <c r="AJ37" s="18">
        <f>AJ11</f>
      </c>
      <c r="AK37" s="18">
        <f>AK11</f>
      </c>
      <c r="AL37" s="18">
        <f>AL11</f>
      </c>
      <c r="AM37" s="19"/>
    </row>
    <row r="38" ht="12.75" customHeight="1" spans="2:39" x14ac:dyDescent="0.25">
      <c r="B38" s="16"/>
      <c r="C38" s="17"/>
      <c r="D38" s="17" t="s">
        <v>42</v>
      </c>
      <c r="E38" s="17"/>
      <c r="F38" s="17"/>
      <c r="G38" s="18">
        <f>G24</f>
      </c>
      <c r="H38" s="18">
        <f>H24</f>
      </c>
      <c r="I38" s="18">
        <f>I24</f>
      </c>
      <c r="J38" s="18">
        <f>J24</f>
      </c>
      <c r="K38" s="18">
        <f>K24</f>
      </c>
      <c r="L38" s="18">
        <f>L24</f>
      </c>
      <c r="M38" s="18">
        <f>M24</f>
      </c>
      <c r="N38" s="18">
        <f>N24</f>
      </c>
      <c r="O38" s="18">
        <f>O24</f>
      </c>
      <c r="P38" s="18">
        <f>P24</f>
      </c>
      <c r="Q38" s="18">
        <f>Q24</f>
      </c>
      <c r="R38" s="18">
        <f>R24</f>
      </c>
      <c r="S38" s="18">
        <f>S24</f>
      </c>
      <c r="T38" s="18">
        <f>T24</f>
      </c>
      <c r="U38" s="18">
        <f>U24</f>
      </c>
      <c r="V38" s="18">
        <f>V24</f>
      </c>
      <c r="W38" s="18">
        <f>W24</f>
      </c>
      <c r="X38" s="18">
        <f>X24</f>
      </c>
      <c r="Y38" s="18">
        <f>Y24</f>
      </c>
      <c r="Z38" s="18">
        <f>Z24</f>
      </c>
      <c r="AA38" s="18">
        <f>AA24</f>
      </c>
      <c r="AB38" s="18">
        <f>AB24</f>
      </c>
      <c r="AC38" s="18">
        <f>AC24</f>
      </c>
      <c r="AD38" s="18">
        <f>AD24</f>
      </c>
      <c r="AE38" s="18">
        <f>AE24</f>
      </c>
      <c r="AF38" s="18">
        <f>AF24</f>
      </c>
      <c r="AG38" s="18">
        <f>AG24</f>
      </c>
      <c r="AH38" s="18">
        <f>AH24</f>
      </c>
      <c r="AI38" s="18">
        <f>AI24</f>
      </c>
      <c r="AJ38" s="18">
        <f>AJ24</f>
      </c>
      <c r="AK38" s="18">
        <f>AK24</f>
      </c>
      <c r="AL38" s="18">
        <f>AL24</f>
      </c>
      <c r="AM38" s="19"/>
    </row>
    <row r="39" ht="12.75" customHeight="1" spans="2:39" x14ac:dyDescent="0.25">
      <c r="B39" s="16"/>
      <c r="C39" s="17"/>
      <c r="D39" s="17" t="s">
        <v>43</v>
      </c>
      <c r="E39" s="17"/>
      <c r="F39" s="17"/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8">
        <f>AK29</f>
      </c>
      <c r="AL39" s="18">
        <f>AL29</f>
      </c>
      <c r="AM39" s="19"/>
    </row>
    <row r="40" ht="12.75" customHeight="1" spans="2:39" x14ac:dyDescent="0.25">
      <c r="B40" s="16"/>
      <c r="C40" s="17"/>
      <c r="D40" s="17" t="s">
        <v>44</v>
      </c>
      <c r="E40" s="17"/>
      <c r="F40" s="17"/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8">
        <f>AK33</f>
      </c>
      <c r="AL40" s="18">
        <f>AL33</f>
      </c>
      <c r="AM40" s="19"/>
    </row>
    <row r="41" ht="12.75" customHeight="1" spans="2:39" x14ac:dyDescent="0.25">
      <c r="B41" s="20"/>
      <c r="C41" s="21"/>
      <c r="D41" s="21" t="s">
        <v>45</v>
      </c>
      <c r="E41" s="21"/>
      <c r="F41" s="21"/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2">
        <f>AK37+AK38+AK39+AK40</f>
      </c>
      <c r="AL41" s="22">
        <f>AL37+AL38+AL39+AL40</f>
      </c>
      <c r="AM41" s="23"/>
    </row>
    <row r="43" ht="12.75" customHeight="1" spans="2:39" x14ac:dyDescent="0.25">
      <c r="B43" s="11" t="s">
        <v>46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47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5">
        <f>AK51+AK52+AK53+AK54</f>
      </c>
      <c r="AL55" s="25">
        <f>AL51+AL52+AL53+AL54</f>
      </c>
      <c r="AM5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1823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1824</v>
      </c>
      <c r="E9" s="32"/>
      <c r="F9" s="32"/>
      <c r="G9" s="32"/>
      <c r="H9" s="32"/>
      <c r="I9" s="33">
        <v>3641.14</v>
      </c>
      <c r="J9" s="33">
        <v>3077.08</v>
      </c>
      <c r="K9" s="33">
        <v>2302.09</v>
      </c>
      <c r="L9" s="33">
        <v>1731.15</v>
      </c>
      <c r="M9" s="33">
        <v>1133.11</v>
      </c>
      <c r="N9" s="33">
        <v>574.99</v>
      </c>
      <c r="O9" s="33">
        <v>188.18</v>
      </c>
      <c r="P9" s="33">
        <v>195.36</v>
      </c>
      <c r="Q9" s="33">
        <v>622.17</v>
      </c>
      <c r="R9" s="33">
        <v>876.7</v>
      </c>
      <c r="S9" s="33">
        <v>1913.8</v>
      </c>
      <c r="T9" s="33">
        <v>2241.92</v>
      </c>
      <c r="U9" s="33">
        <v>2682.43</v>
      </c>
      <c r="V9" s="33">
        <v>2000.9</v>
      </c>
      <c r="W9" s="33">
        <v>1443.48</v>
      </c>
      <c r="X9" s="33">
        <v>1131.35</v>
      </c>
      <c r="Y9" s="33">
        <v>909.8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1825</v>
      </c>
      <c r="E10" s="32"/>
      <c r="F10" s="32"/>
      <c r="G10" s="32"/>
      <c r="H10" s="32"/>
      <c r="I10" s="33">
        <v>473.81</v>
      </c>
      <c r="J10" s="33">
        <v>276.92</v>
      </c>
      <c r="K10" s="33">
        <v>132.8</v>
      </c>
      <c r="L10" s="33">
        <v>105.38</v>
      </c>
      <c r="M10" s="33">
        <v>73.69</v>
      </c>
      <c r="N10" s="33">
        <v>72.34</v>
      </c>
      <c r="O10" s="33">
        <v>63.64</v>
      </c>
      <c r="P10" s="33">
        <v>52.2</v>
      </c>
      <c r="Q10" s="33">
        <v>53.92</v>
      </c>
      <c r="R10" s="33">
        <v>52.59</v>
      </c>
      <c r="S10" s="33">
        <v>62.76</v>
      </c>
      <c r="T10" s="33">
        <v>69.55</v>
      </c>
      <c r="U10" s="33">
        <v>124.94</v>
      </c>
      <c r="V10" s="33">
        <v>144.14</v>
      </c>
      <c r="W10" s="33">
        <v>70.7</v>
      </c>
      <c r="X10" s="33">
        <v>66.36</v>
      </c>
      <c r="Y10" s="33">
        <v>60.03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3</v>
      </c>
      <c r="D15" s="32" t="s">
        <v>1826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6">
        <f>0.00+36.85</f>
        <v>36.85</v>
      </c>
      <c r="U15" s="33">
        <v>21.67</v>
      </c>
      <c r="V15" s="33">
        <v>26.36</v>
      </c>
      <c r="W15" s="33">
        <v>64.28</v>
      </c>
      <c r="X15" s="33">
        <v>62.59</v>
      </c>
      <c r="Y15" s="33">
        <v>21.26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1827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6">
        <f>0.00+17.98</f>
        <v>17.98</v>
      </c>
      <c r="U16" s="33">
        <v>106.37</v>
      </c>
      <c r="V16" s="33">
        <v>90.74</v>
      </c>
      <c r="W16" s="33">
        <v>57.61</v>
      </c>
      <c r="X16" s="33">
        <v>21.26</v>
      </c>
      <c r="Y16" s="33">
        <v>91.57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1828</v>
      </c>
      <c r="E17" s="32"/>
      <c r="F17" s="32"/>
      <c r="G17" s="32"/>
      <c r="H17" s="32"/>
      <c r="I17" s="32"/>
      <c r="J17" s="32"/>
      <c r="K17" s="36">
        <f>50.73+0.00</f>
        <v>50.73</v>
      </c>
      <c r="L17" s="33">
        <v>40.69</v>
      </c>
      <c r="M17" s="33">
        <v>41.64</v>
      </c>
      <c r="N17" s="33">
        <v>185.25</v>
      </c>
      <c r="O17" s="33">
        <v>190.02</v>
      </c>
      <c r="P17" s="33">
        <v>162.01</v>
      </c>
      <c r="Q17" s="33">
        <v>114.06</v>
      </c>
      <c r="R17" s="33">
        <v>28.5</v>
      </c>
      <c r="S17" s="33">
        <v>32.49</v>
      </c>
      <c r="T17" s="33">
        <v>75.4</v>
      </c>
      <c r="U17" s="33">
        <v>99.42</v>
      </c>
      <c r="V17" s="33">
        <v>78.52</v>
      </c>
      <c r="W17" s="33">
        <v>42.96</v>
      </c>
      <c r="X17" s="33">
        <v>21.26</v>
      </c>
      <c r="Y17" s="33">
        <v>22.09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1829</v>
      </c>
      <c r="E18" s="32"/>
      <c r="F18" s="32"/>
      <c r="G18" s="32"/>
      <c r="H18" s="32"/>
      <c r="I18" s="32"/>
      <c r="J18" s="32"/>
      <c r="K18" s="32"/>
      <c r="L18" s="32"/>
      <c r="M18" s="36">
        <f>0.00+46.06</f>
        <v>46.06</v>
      </c>
      <c r="N18" s="33">
        <v>21.68</v>
      </c>
      <c r="O18" s="33">
        <v>21.58</v>
      </c>
      <c r="P18" s="33">
        <v>21.26</v>
      </c>
      <c r="Q18" s="33">
        <v>21.26</v>
      </c>
      <c r="R18" s="36">
        <f>13.47+0.00</f>
        <v>13.47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1830</v>
      </c>
      <c r="E19" s="32"/>
      <c r="F19" s="32"/>
      <c r="G19" s="32"/>
      <c r="H19" s="32"/>
      <c r="I19" s="32"/>
      <c r="J19" s="36">
        <f>59.71+0.00</f>
        <v>59.71</v>
      </c>
      <c r="K19" s="33">
        <v>37.58</v>
      </c>
      <c r="L19" s="33">
        <v>91.88</v>
      </c>
      <c r="M19" s="33">
        <v>137.07</v>
      </c>
      <c r="N19" s="33">
        <v>184.06</v>
      </c>
      <c r="O19" s="33">
        <v>222.33</v>
      </c>
      <c r="P19" s="33">
        <v>22.34</v>
      </c>
      <c r="Q19" s="33">
        <v>54.66</v>
      </c>
      <c r="R19" s="33">
        <v>86.87</v>
      </c>
      <c r="S19" s="33">
        <v>60.05</v>
      </c>
      <c r="T19" s="33">
        <v>50.62</v>
      </c>
      <c r="U19" s="33">
        <v>46.28</v>
      </c>
      <c r="V19" s="33">
        <v>56.39</v>
      </c>
      <c r="W19" s="33">
        <v>62.06</v>
      </c>
      <c r="X19" s="33">
        <v>99.14</v>
      </c>
      <c r="Y19" s="33">
        <v>135.8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1831</v>
      </c>
      <c r="E20" s="32"/>
      <c r="F20" s="32"/>
      <c r="G20" s="32"/>
      <c r="H20" s="33">
        <v>21.26</v>
      </c>
      <c r="I20" s="33">
        <v>24.06</v>
      </c>
      <c r="J20" s="33">
        <v>103.84</v>
      </c>
      <c r="K20" s="33">
        <v>68.16</v>
      </c>
      <c r="L20" s="33">
        <v>29.62</v>
      </c>
      <c r="M20" s="33">
        <v>25.17</v>
      </c>
      <c r="N20" s="33">
        <v>67.45</v>
      </c>
      <c r="O20" s="36">
        <f>23.51+0.00</f>
        <v>23.51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1832</v>
      </c>
      <c r="E21" s="32"/>
      <c r="F21" s="32"/>
      <c r="G21" s="32"/>
      <c r="H21" s="32"/>
      <c r="I21" s="32"/>
      <c r="J21" s="32"/>
      <c r="K21" s="32"/>
      <c r="L21" s="36">
        <f>0.00+64.78</f>
        <v>64.78</v>
      </c>
      <c r="M21" s="33">
        <v>41.38</v>
      </c>
      <c r="N21" s="33">
        <v>25.94</v>
      </c>
      <c r="O21" s="33">
        <v>22.96</v>
      </c>
      <c r="P21" s="33">
        <v>23.01</v>
      </c>
      <c r="Q21" s="33">
        <v>21.26</v>
      </c>
      <c r="R21" s="33">
        <v>21.26</v>
      </c>
      <c r="S21" s="36">
        <f>21.92+0.00</f>
        <v>21.92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1833</v>
      </c>
      <c r="E22" s="32"/>
      <c r="F22" s="32"/>
      <c r="G22" s="32"/>
      <c r="H22" s="32"/>
      <c r="I22" s="32"/>
      <c r="J22" s="32"/>
      <c r="K22" s="32"/>
      <c r="L22" s="32"/>
      <c r="M22" s="36">
        <f>0.00+135.66</f>
        <v>135.66</v>
      </c>
      <c r="N22" s="33">
        <v>175.25</v>
      </c>
      <c r="O22" s="33">
        <v>154.19</v>
      </c>
      <c r="P22" s="33">
        <v>138.16</v>
      </c>
      <c r="Q22" s="33">
        <v>129.01</v>
      </c>
      <c r="R22" s="33">
        <v>81.76</v>
      </c>
      <c r="S22" s="33">
        <v>91.65</v>
      </c>
      <c r="T22" s="33">
        <v>40.29</v>
      </c>
      <c r="U22" s="33">
        <v>102.98</v>
      </c>
      <c r="V22" s="33">
        <v>74.41</v>
      </c>
      <c r="W22" s="33">
        <v>50.94</v>
      </c>
      <c r="X22" s="33">
        <v>21.26</v>
      </c>
      <c r="Y22" s="33">
        <v>21.26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1834</v>
      </c>
      <c r="E23" s="32"/>
      <c r="F23" s="32"/>
      <c r="G23" s="32"/>
      <c r="H23" s="36">
        <f>0.00+42.52</f>
        <v>42.52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1835</v>
      </c>
      <c r="E24" s="32"/>
      <c r="F24" s="32"/>
      <c r="G24" s="32"/>
      <c r="H24" s="33">
        <v>59.86</v>
      </c>
      <c r="I24" s="33">
        <v>43.06</v>
      </c>
      <c r="J24" s="36">
        <f>17.64+0.00</f>
        <v>17.64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1836</v>
      </c>
      <c r="E25" s="32"/>
      <c r="F25" s="32"/>
      <c r="G25" s="32"/>
      <c r="H25" s="36">
        <f>611.40+113.47</f>
        <v>724.87</v>
      </c>
      <c r="I25" s="36">
        <f>754.57+113.47</f>
        <v>868.0400000000001</v>
      </c>
      <c r="J25" s="36">
        <f>113.46+512.52</f>
        <v>625.98</v>
      </c>
      <c r="K25" s="36">
        <f>526.62+113.47</f>
        <v>640.09</v>
      </c>
      <c r="L25" s="36">
        <f>113.45+673.76</f>
        <v>787.21</v>
      </c>
      <c r="M25" s="36">
        <f>1021.04+113.56</f>
        <v>1134.6</v>
      </c>
      <c r="N25" s="36">
        <f>113.56+1420.52</f>
        <v>1534.08</v>
      </c>
      <c r="O25" s="36">
        <f>1436.54+106.83</f>
        <v>1543.37</v>
      </c>
      <c r="P25" s="36">
        <f>1096.38+113.56</f>
        <v>1209.94</v>
      </c>
      <c r="Q25" s="36">
        <f>974.22+113.56</f>
        <v>1087.78</v>
      </c>
      <c r="R25" s="36">
        <f>113.73+737.64</f>
        <v>851.37</v>
      </c>
      <c r="S25" s="36">
        <f>483.35+116.43</f>
        <v>599.78</v>
      </c>
      <c r="T25" s="36">
        <f>116.43+720.35</f>
        <v>836.78</v>
      </c>
      <c r="U25" s="36">
        <f>116.43+736.39</f>
        <v>852.8199999999999</v>
      </c>
      <c r="V25" s="36">
        <f>116.43+511.73</f>
        <v>628.1600000000001</v>
      </c>
      <c r="W25" s="36">
        <f>569.87+116.43</f>
        <v>686.3</v>
      </c>
      <c r="X25" s="36">
        <f>519.68+109.39</f>
        <v>629.0699999999999</v>
      </c>
      <c r="Y25" s="36">
        <f>788.80+156.38</f>
        <v>945.18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1837</v>
      </c>
      <c r="E26" s="33">
        <v>0</v>
      </c>
      <c r="F26" s="32"/>
      <c r="G26" s="32"/>
      <c r="H26" s="32"/>
      <c r="I26" s="32"/>
      <c r="J26" s="32"/>
      <c r="K26" s="32"/>
      <c r="L26" s="36">
        <f>63.43+0.00</f>
        <v>63.43</v>
      </c>
      <c r="M26" s="33">
        <v>21.7</v>
      </c>
      <c r="N26" s="33">
        <v>25.21</v>
      </c>
      <c r="O26" s="33">
        <v>21.26</v>
      </c>
      <c r="P26" s="33">
        <v>21.26</v>
      </c>
      <c r="Q26" s="33">
        <v>21.26</v>
      </c>
      <c r="R26" s="36">
        <f>21.26+0.00+2.84</f>
        <v>24.1</v>
      </c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1838</v>
      </c>
      <c r="E27" s="32"/>
      <c r="F27" s="32"/>
      <c r="G27" s="32"/>
      <c r="H27" s="33">
        <v>30.8</v>
      </c>
      <c r="I27" s="33">
        <v>30.8</v>
      </c>
      <c r="J27" s="33">
        <v>31.02</v>
      </c>
      <c r="K27" s="33">
        <v>30.71</v>
      </c>
      <c r="L27" s="33">
        <v>30.93</v>
      </c>
      <c r="M27" s="33">
        <v>30.92</v>
      </c>
      <c r="N27" s="33">
        <v>31.02</v>
      </c>
      <c r="O27" s="33">
        <v>33.39</v>
      </c>
      <c r="P27" s="33">
        <v>32.45</v>
      </c>
      <c r="Q27" s="33">
        <v>30.65</v>
      </c>
      <c r="R27" s="33">
        <v>31.06</v>
      </c>
      <c r="S27" s="33">
        <v>30.72</v>
      </c>
      <c r="T27" s="33">
        <v>30.65</v>
      </c>
      <c r="U27" s="33">
        <v>30.72</v>
      </c>
      <c r="V27" s="33">
        <v>30.72</v>
      </c>
      <c r="W27" s="33">
        <v>30.81</v>
      </c>
      <c r="X27" s="33">
        <v>30.72</v>
      </c>
      <c r="Y27" s="33">
        <v>31.09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85</v>
      </c>
      <c r="C29" s="21"/>
      <c r="D29" s="21"/>
      <c r="E29" s="22">
        <f>SUM(E15:E27)</f>
      </c>
      <c r="F29" s="22">
        <f>SUM(F15:F27)</f>
      </c>
      <c r="G29" s="22">
        <f>SUM(G15:G27)</f>
      </c>
      <c r="H29" s="22">
        <f>SUM(H15:H27)</f>
      </c>
      <c r="I29" s="22">
        <f>SUM(I15:I27)</f>
      </c>
      <c r="J29" s="22">
        <f>SUM(J15:J27)</f>
      </c>
      <c r="K29" s="22">
        <f>SUM(K15:K27)</f>
      </c>
      <c r="L29" s="22">
        <f>SUM(L15:L27)</f>
      </c>
      <c r="M29" s="22">
        <f>SUM(M15:M27)</f>
      </c>
      <c r="N29" s="22">
        <f>SUM(N15:N27)</f>
      </c>
      <c r="O29" s="22">
        <f>SUM(O15:O27)</f>
      </c>
      <c r="P29" s="22">
        <f>SUM(P15:P27)</f>
      </c>
      <c r="Q29" s="22">
        <f>SUM(Q15:Q27)</f>
      </c>
      <c r="R29" s="22">
        <f>SUM(R15:R27)</f>
      </c>
      <c r="S29" s="22">
        <f>SUM(S15:S27)</f>
      </c>
      <c r="T29" s="22">
        <f>SUM(T15:T27)</f>
      </c>
      <c r="U29" s="22">
        <f>SUM(U15:U27)</f>
      </c>
      <c r="V29" s="22">
        <f>SUM(V15:V27)</f>
      </c>
      <c r="W29" s="22">
        <f>SUM(W15:W27)</f>
      </c>
      <c r="X29" s="22">
        <f>SUM(X15:X27)</f>
      </c>
      <c r="Y29" s="22">
        <f>SUM(Y15:Y27)</f>
      </c>
      <c r="Z29" s="22">
        <f>SUM(Z15:Z27)</f>
      </c>
      <c r="AA29" s="22">
        <f>SUM(AA15:AA27)</f>
      </c>
      <c r="AB29" s="22">
        <f>SUM(AB15:AB27)</f>
      </c>
      <c r="AC29" s="22">
        <f>SUM(AC15:AC27)</f>
      </c>
      <c r="AD29" s="22">
        <f>SUM(AD15:AD27)</f>
      </c>
      <c r="AE29" s="22">
        <f>SUM(AE15:AE27)</f>
      </c>
      <c r="AF29" s="22">
        <f>SUM(AF15:AF27)</f>
      </c>
      <c r="AG29" s="22">
        <f>SUM(AG15:AG27)</f>
      </c>
      <c r="AH29" s="22">
        <f>SUM(AH15:AH27)</f>
      </c>
      <c r="AI29" s="22">
        <f>SUM(AI15:AI27)</f>
      </c>
      <c r="AJ29" s="22">
        <f>SUM(AJ15:AJ27)</f>
      </c>
      <c r="AK29" s="23"/>
    </row>
    <row r="31" ht="12.75" customHeight="1" spans="2:37" x14ac:dyDescent="0.25">
      <c r="B31" s="26" t="s">
        <v>43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0" t="s">
        <v>43</v>
      </c>
      <c r="C32" s="31" t="s">
        <v>3</v>
      </c>
      <c r="D32" s="32" t="s">
        <v>1839</v>
      </c>
      <c r="E32" s="32"/>
      <c r="F32" s="32"/>
      <c r="G32" s="32"/>
      <c r="H32" s="36">
        <f>257.03+912.88</f>
        <v>1169.9099999999999</v>
      </c>
      <c r="I32" s="36">
        <f>276.99+981.99</f>
        <v>1258.98</v>
      </c>
      <c r="J32" s="36">
        <f>266.50+1004.79</f>
        <v>1271.29</v>
      </c>
      <c r="K32" s="36">
        <f>247.48+1011.96</f>
        <v>1259.44</v>
      </c>
      <c r="L32" s="36">
        <f>126.73+832.57</f>
        <v>959.3000000000001</v>
      </c>
      <c r="M32" s="36">
        <f>162.01+896.63</f>
        <v>1058.6399999999999</v>
      </c>
      <c r="N32" s="36">
        <f>910.98+138.20</f>
        <v>1049.18</v>
      </c>
      <c r="O32" s="36">
        <f>223.80+929.45</f>
        <v>1153.25</v>
      </c>
      <c r="P32" s="36">
        <f>962.89+166.70</f>
        <v>1129.59</v>
      </c>
      <c r="Q32" s="36">
        <f>162.39+829.15</f>
        <v>991.54</v>
      </c>
      <c r="R32" s="36">
        <f>180.98+878.18</f>
        <v>1059.1599999999999</v>
      </c>
      <c r="S32" s="36">
        <f>233.21+1014.02</f>
        <v>1247.23</v>
      </c>
      <c r="T32" s="36">
        <f>219.06+921.99</f>
        <v>1141.05</v>
      </c>
      <c r="U32" s="36">
        <f>318.65+1978.69</f>
        <v>2297.34</v>
      </c>
      <c r="V32" s="36">
        <f>308.37+1614.63</f>
        <v>1923</v>
      </c>
      <c r="W32" s="36">
        <f>300.40+1971.73</f>
        <v>2272.13</v>
      </c>
      <c r="X32" s="36">
        <f>899.30+207.48</f>
        <v>1106.78</v>
      </c>
      <c r="Y32" s="36">
        <f>831.61+228.44</f>
        <v>1060.05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7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40"/>
    </row>
    <row r="34" ht="12.75" customHeight="1" spans="2:37" x14ac:dyDescent="0.25">
      <c r="B34" s="20" t="s">
        <v>89</v>
      </c>
      <c r="C34" s="21"/>
      <c r="D34" s="21"/>
      <c r="E34" s="22">
        <f>SUM(E32:E32)</f>
      </c>
      <c r="F34" s="22">
        <f>SUM(F32:F32)</f>
      </c>
      <c r="G34" s="22">
        <f>SUM(G32:G32)</f>
      </c>
      <c r="H34" s="22">
        <f>SUM(H32:H32)</f>
      </c>
      <c r="I34" s="22">
        <f>SUM(I32:I32)</f>
      </c>
      <c r="J34" s="22">
        <f>SUM(J32:J32)</f>
      </c>
      <c r="K34" s="22">
        <f>SUM(K32:K32)</f>
      </c>
      <c r="L34" s="22">
        <f>SUM(L32:L32)</f>
      </c>
      <c r="M34" s="22">
        <f>SUM(M32:M32)</f>
      </c>
      <c r="N34" s="22">
        <f>SUM(N32:N32)</f>
      </c>
      <c r="O34" s="22">
        <f>SUM(O32:O32)</f>
      </c>
      <c r="P34" s="22">
        <f>SUM(P32:P32)</f>
      </c>
      <c r="Q34" s="22">
        <f>SUM(Q32:Q32)</f>
      </c>
      <c r="R34" s="22">
        <f>SUM(R32:R32)</f>
      </c>
      <c r="S34" s="22">
        <f>SUM(S32:S32)</f>
      </c>
      <c r="T34" s="22">
        <f>SUM(T32:T32)</f>
      </c>
      <c r="U34" s="22">
        <f>SUM(U32:U32)</f>
      </c>
      <c r="V34" s="22">
        <f>SUM(V32:V32)</f>
      </c>
      <c r="W34" s="22">
        <f>SUM(W32:W32)</f>
      </c>
      <c r="X34" s="22">
        <f>SUM(X32:X32)</f>
      </c>
      <c r="Y34" s="22">
        <f>SUM(Y32:Y32)</f>
      </c>
      <c r="Z34" s="22">
        <f>SUM(Z32:Z32)</f>
      </c>
      <c r="AA34" s="22">
        <f>SUM(AA32:AA32)</f>
      </c>
      <c r="AB34" s="22">
        <f>SUM(AB32:AB32)</f>
      </c>
      <c r="AC34" s="22">
        <f>SUM(AC32:AC32)</f>
      </c>
      <c r="AD34" s="22">
        <f>SUM(AD32:AD32)</f>
      </c>
      <c r="AE34" s="22">
        <f>SUM(AE32:AE32)</f>
      </c>
      <c r="AF34" s="22">
        <f>SUM(AF32:AF32)</f>
      </c>
      <c r="AG34" s="22">
        <f>SUM(AG32:AG32)</f>
      </c>
      <c r="AH34" s="22">
        <f>SUM(AH32:AH32)</f>
      </c>
      <c r="AI34" s="22">
        <f>SUM(AI32:AI32)</f>
      </c>
      <c r="AJ34" s="22">
        <f>SUM(AJ32:AJ32)</f>
      </c>
      <c r="AK34" s="23"/>
    </row>
    <row r="36" ht="12.75" customHeight="1" spans="2:37" x14ac:dyDescent="0.25">
      <c r="B36" s="26" t="s">
        <v>44</v>
      </c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9"/>
    </row>
    <row r="37" ht="12.75" customHeight="1" spans="2:37" x14ac:dyDescent="0.25">
      <c r="B37" s="37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40"/>
    </row>
    <row r="38" ht="12.75" customHeight="1" spans="2:37" x14ac:dyDescent="0.25">
      <c r="B38" s="20" t="s">
        <v>90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3"/>
    </row>
    <row r="41" ht="12.75" customHeight="1" spans="2:37" x14ac:dyDescent="0.25">
      <c r="B41" s="11" t="s">
        <v>40</v>
      </c>
      <c r="C41" s="12"/>
      <c r="D41" s="13"/>
      <c r="E41" s="14" t="s">
        <v>7</v>
      </c>
      <c r="F41" s="14" t="s">
        <v>8</v>
      </c>
      <c r="G41" s="14" t="s">
        <v>9</v>
      </c>
      <c r="H41" s="14" t="s">
        <v>10</v>
      </c>
      <c r="I41" s="14" t="s">
        <v>11</v>
      </c>
      <c r="J41" s="14" t="s">
        <v>12</v>
      </c>
      <c r="K41" s="14" t="s">
        <v>13</v>
      </c>
      <c r="L41" s="14" t="s">
        <v>14</v>
      </c>
      <c r="M41" s="14" t="s">
        <v>15</v>
      </c>
      <c r="N41" s="14" t="s">
        <v>16</v>
      </c>
      <c r="O41" s="14" t="s">
        <v>17</v>
      </c>
      <c r="P41" s="14" t="s">
        <v>18</v>
      </c>
      <c r="Q41" s="14" t="s">
        <v>19</v>
      </c>
      <c r="R41" s="14" t="s">
        <v>20</v>
      </c>
      <c r="S41" s="14" t="s">
        <v>21</v>
      </c>
      <c r="T41" s="14" t="s">
        <v>22</v>
      </c>
      <c r="U41" s="14" t="s">
        <v>23</v>
      </c>
      <c r="V41" s="14" t="s">
        <v>24</v>
      </c>
      <c r="W41" s="14" t="s">
        <v>25</v>
      </c>
      <c r="X41" s="14" t="s">
        <v>26</v>
      </c>
      <c r="Y41" s="14" t="s">
        <v>27</v>
      </c>
      <c r="Z41" s="14" t="s">
        <v>28</v>
      </c>
      <c r="AA41" s="14" t="s">
        <v>29</v>
      </c>
      <c r="AB41" s="14" t="s">
        <v>30</v>
      </c>
      <c r="AC41" s="14" t="s">
        <v>31</v>
      </c>
      <c r="AD41" s="14" t="s">
        <v>32</v>
      </c>
      <c r="AE41" s="14" t="s">
        <v>33</v>
      </c>
      <c r="AF41" s="14" t="s">
        <v>34</v>
      </c>
      <c r="AG41" s="14" t="s">
        <v>35</v>
      </c>
      <c r="AH41" s="14" t="s">
        <v>36</v>
      </c>
      <c r="AI41" s="14" t="s">
        <v>37</v>
      </c>
      <c r="AJ41" s="14" t="s">
        <v>38</v>
      </c>
      <c r="AK41" s="15"/>
    </row>
    <row r="42" ht="12.75" customHeight="1" spans="2:37" x14ac:dyDescent="0.25">
      <c r="B42" s="16" t="s">
        <v>41</v>
      </c>
      <c r="C42" s="17"/>
      <c r="D42" s="17"/>
      <c r="E42" s="18">
        <f>E12</f>
      </c>
      <c r="F42" s="18">
        <f>F12</f>
      </c>
      <c r="G42" s="18">
        <f>G12</f>
      </c>
      <c r="H42" s="18">
        <f>H12</f>
      </c>
      <c r="I42" s="18">
        <f>I12</f>
      </c>
      <c r="J42" s="18">
        <f>J12</f>
      </c>
      <c r="K42" s="18">
        <f>K12</f>
      </c>
      <c r="L42" s="18">
        <f>L12</f>
      </c>
      <c r="M42" s="18">
        <f>M12</f>
      </c>
      <c r="N42" s="18">
        <f>N12</f>
      </c>
      <c r="O42" s="18">
        <f>O12</f>
      </c>
      <c r="P42" s="18">
        <f>P12</f>
      </c>
      <c r="Q42" s="18">
        <f>Q12</f>
      </c>
      <c r="R42" s="18">
        <f>R12</f>
      </c>
      <c r="S42" s="18">
        <f>S12</f>
      </c>
      <c r="T42" s="18">
        <f>T12</f>
      </c>
      <c r="U42" s="18">
        <f>U12</f>
      </c>
      <c r="V42" s="18">
        <f>V12</f>
      </c>
      <c r="W42" s="18">
        <f>W12</f>
      </c>
      <c r="X42" s="18">
        <f>X12</f>
      </c>
      <c r="Y42" s="18">
        <f>Y12</f>
      </c>
      <c r="Z42" s="18">
        <f>Z12</f>
      </c>
      <c r="AA42" s="18">
        <f>AA12</f>
      </c>
      <c r="AB42" s="18">
        <f>AB12</f>
      </c>
      <c r="AC42" s="18">
        <f>AC12</f>
      </c>
      <c r="AD42" s="18">
        <f>AD12</f>
      </c>
      <c r="AE42" s="18">
        <f>AE12</f>
      </c>
      <c r="AF42" s="18">
        <f>AF12</f>
      </c>
      <c r="AG42" s="18">
        <f>AG12</f>
      </c>
      <c r="AH42" s="18">
        <f>AH12</f>
      </c>
      <c r="AI42" s="18">
        <f>AI12</f>
      </c>
      <c r="AJ42" s="18">
        <f>AJ12</f>
      </c>
      <c r="AK42" s="19"/>
    </row>
    <row r="43" ht="12.75" customHeight="1" spans="2:37" x14ac:dyDescent="0.25">
      <c r="B43" s="16" t="s">
        <v>42</v>
      </c>
      <c r="C43" s="17"/>
      <c r="D43" s="17"/>
      <c r="E43" s="18">
        <f>E29</f>
      </c>
      <c r="F43" s="18">
        <f>F29</f>
      </c>
      <c r="G43" s="18">
        <f>G29</f>
      </c>
      <c r="H43" s="18">
        <f>H29</f>
      </c>
      <c r="I43" s="18">
        <f>I29</f>
      </c>
      <c r="J43" s="18">
        <f>J29</f>
      </c>
      <c r="K43" s="18">
        <f>K29</f>
      </c>
      <c r="L43" s="18">
        <f>L29</f>
      </c>
      <c r="M43" s="18">
        <f>M29</f>
      </c>
      <c r="N43" s="18">
        <f>N29</f>
      </c>
      <c r="O43" s="18">
        <f>O29</f>
      </c>
      <c r="P43" s="18">
        <f>P29</f>
      </c>
      <c r="Q43" s="18">
        <f>Q29</f>
      </c>
      <c r="R43" s="18">
        <f>R29</f>
      </c>
      <c r="S43" s="18">
        <f>S29</f>
      </c>
      <c r="T43" s="18">
        <f>T29</f>
      </c>
      <c r="U43" s="18">
        <f>U29</f>
      </c>
      <c r="V43" s="18">
        <f>V29</f>
      </c>
      <c r="W43" s="18">
        <f>W29</f>
      </c>
      <c r="X43" s="18">
        <f>X29</f>
      </c>
      <c r="Y43" s="18">
        <f>Y29</f>
      </c>
      <c r="Z43" s="18">
        <f>Z29</f>
      </c>
      <c r="AA43" s="18">
        <f>AA29</f>
      </c>
      <c r="AB43" s="18">
        <f>AB29</f>
      </c>
      <c r="AC43" s="18">
        <f>AC29</f>
      </c>
      <c r="AD43" s="18">
        <f>AD29</f>
      </c>
      <c r="AE43" s="18">
        <f>AE29</f>
      </c>
      <c r="AF43" s="18">
        <f>AF29</f>
      </c>
      <c r="AG43" s="18">
        <f>AG29</f>
      </c>
      <c r="AH43" s="18">
        <f>AH29</f>
      </c>
      <c r="AI43" s="18">
        <f>AI29</f>
      </c>
      <c r="AJ43" s="18">
        <f>AJ29</f>
      </c>
      <c r="AK43" s="19"/>
    </row>
    <row r="44" ht="12.75" customHeight="1" spans="2:37" x14ac:dyDescent="0.25">
      <c r="B44" s="16" t="s">
        <v>43</v>
      </c>
      <c r="C44" s="17"/>
      <c r="D44" s="17"/>
      <c r="E44" s="18">
        <f>E34</f>
      </c>
      <c r="F44" s="18">
        <f>F34</f>
      </c>
      <c r="G44" s="18">
        <f>G34</f>
      </c>
      <c r="H44" s="18">
        <f>H34</f>
      </c>
      <c r="I44" s="18">
        <f>I34</f>
      </c>
      <c r="J44" s="18">
        <f>J34</f>
      </c>
      <c r="K44" s="18">
        <f>K34</f>
      </c>
      <c r="L44" s="18">
        <f>L34</f>
      </c>
      <c r="M44" s="18">
        <f>M34</f>
      </c>
      <c r="N44" s="18">
        <f>N34</f>
      </c>
      <c r="O44" s="18">
        <f>O34</f>
      </c>
      <c r="P44" s="18">
        <f>P34</f>
      </c>
      <c r="Q44" s="18">
        <f>Q34</f>
      </c>
      <c r="R44" s="18">
        <f>R34</f>
      </c>
      <c r="S44" s="18">
        <f>S34</f>
      </c>
      <c r="T44" s="18">
        <f>T34</f>
      </c>
      <c r="U44" s="18">
        <f>U34</f>
      </c>
      <c r="V44" s="18">
        <f>V34</f>
      </c>
      <c r="W44" s="18">
        <f>W34</f>
      </c>
      <c r="X44" s="18">
        <f>X34</f>
      </c>
      <c r="Y44" s="18">
        <f>Y34</f>
      </c>
      <c r="Z44" s="18">
        <f>Z34</f>
      </c>
      <c r="AA44" s="18">
        <f>AA34</f>
      </c>
      <c r="AB44" s="18">
        <f>AB34</f>
      </c>
      <c r="AC44" s="18">
        <f>AC34</f>
      </c>
      <c r="AD44" s="18">
        <f>AD34</f>
      </c>
      <c r="AE44" s="18">
        <f>AE34</f>
      </c>
      <c r="AF44" s="18">
        <f>AF34</f>
      </c>
      <c r="AG44" s="18">
        <f>AG34</f>
      </c>
      <c r="AH44" s="18">
        <f>AH34</f>
      </c>
      <c r="AI44" s="18">
        <f>AI34</f>
      </c>
      <c r="AJ44" s="18">
        <f>AJ34</f>
      </c>
      <c r="AK44" s="19"/>
    </row>
    <row r="45" ht="12.75" customHeight="1" spans="2:37" x14ac:dyDescent="0.25">
      <c r="B45" s="16" t="s">
        <v>44</v>
      </c>
      <c r="C45" s="17"/>
      <c r="D45" s="17"/>
      <c r="E45" s="18">
        <f>E38</f>
      </c>
      <c r="F45" s="18">
        <f>F38</f>
      </c>
      <c r="G45" s="18">
        <f>G38</f>
      </c>
      <c r="H45" s="18">
        <f>H38</f>
      </c>
      <c r="I45" s="18">
        <f>I38</f>
      </c>
      <c r="J45" s="18">
        <f>J38</f>
      </c>
      <c r="K45" s="18">
        <f>K38</f>
      </c>
      <c r="L45" s="18">
        <f>L38</f>
      </c>
      <c r="M45" s="18">
        <f>M38</f>
      </c>
      <c r="N45" s="18">
        <f>N38</f>
      </c>
      <c r="O45" s="18">
        <f>O38</f>
      </c>
      <c r="P45" s="18">
        <f>P38</f>
      </c>
      <c r="Q45" s="18">
        <f>Q38</f>
      </c>
      <c r="R45" s="18">
        <f>R38</f>
      </c>
      <c r="S45" s="18">
        <f>S38</f>
      </c>
      <c r="T45" s="18">
        <f>T38</f>
      </c>
      <c r="U45" s="18">
        <f>U38</f>
      </c>
      <c r="V45" s="18">
        <f>V38</f>
      </c>
      <c r="W45" s="18">
        <f>W38</f>
      </c>
      <c r="X45" s="18">
        <f>X38</f>
      </c>
      <c r="Y45" s="18">
        <f>Y38</f>
      </c>
      <c r="Z45" s="18">
        <f>Z38</f>
      </c>
      <c r="AA45" s="18">
        <f>AA38</f>
      </c>
      <c r="AB45" s="18">
        <f>AB38</f>
      </c>
      <c r="AC45" s="18">
        <f>AC38</f>
      </c>
      <c r="AD45" s="18">
        <f>AD38</f>
      </c>
      <c r="AE45" s="18">
        <f>AE38</f>
      </c>
      <c r="AF45" s="18">
        <f>AF38</f>
      </c>
      <c r="AG45" s="18">
        <f>AG38</f>
      </c>
      <c r="AH45" s="18">
        <f>AH38</f>
      </c>
      <c r="AI45" s="18">
        <f>AI38</f>
      </c>
      <c r="AJ45" s="18">
        <f>AJ38</f>
      </c>
      <c r="AK45" s="19"/>
    </row>
    <row r="46" ht="12.75" customHeight="1" spans="2:37" x14ac:dyDescent="0.25">
      <c r="B46" s="20" t="s">
        <v>45</v>
      </c>
      <c r="C46" s="21"/>
      <c r="D46" s="21"/>
      <c r="E46" s="22">
        <f>E42+E43+E44+E45</f>
      </c>
      <c r="F46" s="22">
        <f>F42+F43+F44+F45</f>
      </c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3"/>
    </row>
    <row r="48" ht="12.75" customHeight="1" spans="2:37" x14ac:dyDescent="0.25">
      <c r="B48" s="11" t="s">
        <v>46</v>
      </c>
      <c r="C48" s="12"/>
      <c r="D48" s="13"/>
      <c r="E48" s="14" t="s">
        <v>7</v>
      </c>
      <c r="F48" s="14" t="s">
        <v>8</v>
      </c>
      <c r="G48" s="14" t="s">
        <v>9</v>
      </c>
      <c r="H48" s="14" t="s">
        <v>10</v>
      </c>
      <c r="I48" s="14" t="s">
        <v>11</v>
      </c>
      <c r="J48" s="14" t="s">
        <v>12</v>
      </c>
      <c r="K48" s="14" t="s">
        <v>13</v>
      </c>
      <c r="L48" s="14" t="s">
        <v>14</v>
      </c>
      <c r="M48" s="14" t="s">
        <v>15</v>
      </c>
      <c r="N48" s="14" t="s">
        <v>16</v>
      </c>
      <c r="O48" s="14" t="s">
        <v>17</v>
      </c>
      <c r="P48" s="14" t="s">
        <v>18</v>
      </c>
      <c r="Q48" s="14" t="s">
        <v>19</v>
      </c>
      <c r="R48" s="14" t="s">
        <v>20</v>
      </c>
      <c r="S48" s="14" t="s">
        <v>21</v>
      </c>
      <c r="T48" s="14" t="s">
        <v>22</v>
      </c>
      <c r="U48" s="14" t="s">
        <v>23</v>
      </c>
      <c r="V48" s="14" t="s">
        <v>24</v>
      </c>
      <c r="W48" s="14" t="s">
        <v>25</v>
      </c>
      <c r="X48" s="14" t="s">
        <v>26</v>
      </c>
      <c r="Y48" s="14" t="s">
        <v>27</v>
      </c>
      <c r="Z48" s="14" t="s">
        <v>28</v>
      </c>
      <c r="AA48" s="14" t="s">
        <v>29</v>
      </c>
      <c r="AB48" s="14" t="s">
        <v>30</v>
      </c>
      <c r="AC48" s="14" t="s">
        <v>31</v>
      </c>
      <c r="AD48" s="14" t="s">
        <v>32</v>
      </c>
      <c r="AE48" s="14" t="s">
        <v>33</v>
      </c>
      <c r="AF48" s="14" t="s">
        <v>34</v>
      </c>
      <c r="AG48" s="14" t="s">
        <v>35</v>
      </c>
      <c r="AH48" s="14" t="s">
        <v>36</v>
      </c>
      <c r="AI48" s="14" t="s">
        <v>37</v>
      </c>
      <c r="AJ48" s="14" t="s">
        <v>38</v>
      </c>
      <c r="AK48" s="15"/>
    </row>
    <row r="49" ht="12.75" customHeight="1" spans="2:37" x14ac:dyDescent="0.25">
      <c r="B49" s="16" t="s">
        <v>41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16" t="s">
        <v>42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16" t="s">
        <v>43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44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20" t="s">
        <v>45</v>
      </c>
      <c r="C53" s="21"/>
      <c r="D53" s="21"/>
      <c r="E53" s="22">
        <f>E49+E50+E51+E52</f>
      </c>
      <c r="F53" s="22">
        <f>F49+F50+F51+F52</f>
      </c>
      <c r="G53" s="22">
        <f>G49+G50+G51+G52</f>
      </c>
      <c r="H53" s="22">
        <f>H49+H50+H51+H52</f>
      </c>
      <c r="I53" s="22">
        <f>I49+I50+I51+I52</f>
      </c>
      <c r="J53" s="22">
        <f>J49+J50+J51+J52</f>
      </c>
      <c r="K53" s="22">
        <f>K49+K50+K51+K52</f>
      </c>
      <c r="L53" s="22">
        <f>L49+L50+L51+L52</f>
      </c>
      <c r="M53" s="22">
        <f>M49+M50+M51+M52</f>
      </c>
      <c r="N53" s="22">
        <f>N49+N50+N51+N52</f>
      </c>
      <c r="O53" s="22">
        <f>O49+O50+O51+O52</f>
      </c>
      <c r="P53" s="22">
        <f>P49+P50+P51+P52</f>
      </c>
      <c r="Q53" s="22">
        <f>Q49+Q50+Q51+Q52</f>
      </c>
      <c r="R53" s="22">
        <f>R49+R50+R51+R52</f>
      </c>
      <c r="S53" s="22">
        <f>S49+S50+S51+S52</f>
      </c>
      <c r="T53" s="22">
        <f>T49+T50+T51+T52</f>
      </c>
      <c r="U53" s="22">
        <f>U49+U50+U51+U52</f>
      </c>
      <c r="V53" s="22">
        <f>V49+V50+V51+V52</f>
      </c>
      <c r="W53" s="22">
        <f>W49+W50+W51+W52</f>
      </c>
      <c r="X53" s="22">
        <f>X49+X50+X51+X52</f>
      </c>
      <c r="Y53" s="22">
        <f>Y49+Y50+Y51+Y52</f>
      </c>
      <c r="Z53" s="22">
        <f>Z49+Z50+Z51+Z52</f>
      </c>
      <c r="AA53" s="22">
        <f>AA49+AA50+AA51+AA52</f>
      </c>
      <c r="AB53" s="22">
        <f>AB49+AB50+AB51+AB52</f>
      </c>
      <c r="AC53" s="22">
        <f>AC49+AC50+AC51+AC52</f>
      </c>
      <c r="AD53" s="22">
        <f>AD49+AD50+AD51+AD52</f>
      </c>
      <c r="AE53" s="22">
        <f>AE49+AE50+AE51+AE52</f>
      </c>
      <c r="AF53" s="22">
        <f>AF49+AF50+AF51+AF52</f>
      </c>
      <c r="AG53" s="22">
        <f>AG49+AG50+AG51+AG52</f>
      </c>
      <c r="AH53" s="22">
        <f>AH49+AH50+AH51+AH52</f>
      </c>
      <c r="AI53" s="22">
        <f>AI49+AI50+AI51+AI52</f>
      </c>
      <c r="AJ53" s="22">
        <f>AJ49+AJ50+AJ51+AJ52</f>
      </c>
      <c r="AK53" s="23"/>
    </row>
    <row r="55" ht="12.75" customHeight="1" spans="2:37" x14ac:dyDescent="0.25">
      <c r="B55" s="11" t="s">
        <v>47</v>
      </c>
      <c r="C55" s="12"/>
      <c r="D55" s="13"/>
      <c r="E55" s="14" t="s">
        <v>7</v>
      </c>
      <c r="F55" s="14" t="s">
        <v>8</v>
      </c>
      <c r="G55" s="14" t="s">
        <v>9</v>
      </c>
      <c r="H55" s="14" t="s">
        <v>10</v>
      </c>
      <c r="I55" s="14" t="s">
        <v>11</v>
      </c>
      <c r="J55" s="14" t="s">
        <v>12</v>
      </c>
      <c r="K55" s="14" t="s">
        <v>13</v>
      </c>
      <c r="L55" s="14" t="s">
        <v>14</v>
      </c>
      <c r="M55" s="14" t="s">
        <v>15</v>
      </c>
      <c r="N55" s="14" t="s">
        <v>16</v>
      </c>
      <c r="O55" s="14" t="s">
        <v>17</v>
      </c>
      <c r="P55" s="14" t="s">
        <v>18</v>
      </c>
      <c r="Q55" s="14" t="s">
        <v>19</v>
      </c>
      <c r="R55" s="14" t="s">
        <v>20</v>
      </c>
      <c r="S55" s="14" t="s">
        <v>21</v>
      </c>
      <c r="T55" s="14" t="s">
        <v>22</v>
      </c>
      <c r="U55" s="14" t="s">
        <v>23</v>
      </c>
      <c r="V55" s="14" t="s">
        <v>24</v>
      </c>
      <c r="W55" s="14" t="s">
        <v>25</v>
      </c>
      <c r="X55" s="14" t="s">
        <v>26</v>
      </c>
      <c r="Y55" s="14" t="s">
        <v>27</v>
      </c>
      <c r="Z55" s="14" t="s">
        <v>28</v>
      </c>
      <c r="AA55" s="14" t="s">
        <v>29</v>
      </c>
      <c r="AB55" s="14" t="s">
        <v>30</v>
      </c>
      <c r="AC55" s="14" t="s">
        <v>31</v>
      </c>
      <c r="AD55" s="14" t="s">
        <v>32</v>
      </c>
      <c r="AE55" s="14" t="s">
        <v>33</v>
      </c>
      <c r="AF55" s="14" t="s">
        <v>34</v>
      </c>
      <c r="AG55" s="14" t="s">
        <v>35</v>
      </c>
      <c r="AH55" s="14" t="s">
        <v>36</v>
      </c>
      <c r="AI55" s="14" t="s">
        <v>37</v>
      </c>
      <c r="AJ55" s="14" t="s">
        <v>38</v>
      </c>
      <c r="AK55" s="15"/>
    </row>
    <row r="56" ht="12.75" customHeight="1" spans="2:37" x14ac:dyDescent="0.25">
      <c r="B56" s="16" t="s">
        <v>41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16" t="s">
        <v>42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16" t="s">
        <v>43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44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20" t="s">
        <v>45</v>
      </c>
      <c r="C60" s="21"/>
      <c r="D60" s="21"/>
      <c r="E60" s="25">
        <f>E56+E57+E58+E59</f>
      </c>
      <c r="F60" s="25">
        <f>F56+F57+F58+F59</f>
      </c>
      <c r="G60" s="25">
        <f>G56+G57+G58+G59</f>
      </c>
      <c r="H60" s="25">
        <f>H56+H57+H58+H59</f>
      </c>
      <c r="I60" s="25">
        <f>I56+I57+I58+I59</f>
      </c>
      <c r="J60" s="25">
        <f>J56+J57+J58+J59</f>
      </c>
      <c r="K60" s="25">
        <f>K56+K57+K58+K59</f>
      </c>
      <c r="L60" s="25">
        <f>L56+L57+L58+L59</f>
      </c>
      <c r="M60" s="25">
        <f>M56+M57+M58+M59</f>
      </c>
      <c r="N60" s="25">
        <f>N56+N57+N58+N59</f>
      </c>
      <c r="O60" s="25">
        <f>O56+O57+O58+O59</f>
      </c>
      <c r="P60" s="25">
        <f>P56+P57+P58+P59</f>
      </c>
      <c r="Q60" s="25">
        <f>Q56+Q57+Q58+Q59</f>
      </c>
      <c r="R60" s="25">
        <f>R56+R57+R58+R59</f>
      </c>
      <c r="S60" s="25">
        <f>S56+S57+S58+S59</f>
      </c>
      <c r="T60" s="25">
        <f>T56+T57+T58+T59</f>
      </c>
      <c r="U60" s="25">
        <f>U56+U57+U58+U59</f>
      </c>
      <c r="V60" s="25">
        <f>V56+V57+V58+V59</f>
      </c>
      <c r="W60" s="25">
        <f>W56+W57+W58+W59</f>
      </c>
      <c r="X60" s="25">
        <f>X56+X57+X58+X59</f>
      </c>
      <c r="Y60" s="25">
        <f>Y56+Y57+Y58+Y59</f>
      </c>
      <c r="Z60" s="25">
        <f>Z56+Z57+Z58+Z59</f>
      </c>
      <c r="AA60" s="25">
        <f>AA56+AA57+AA58+AA59</f>
      </c>
      <c r="AB60" s="25">
        <f>AB56+AB57+AB58+AB59</f>
      </c>
      <c r="AC60" s="25">
        <f>AC56+AC57+AC58+AC59</f>
      </c>
      <c r="AD60" s="25">
        <f>AD56+AD57+AD58+AD59</f>
      </c>
      <c r="AE60" s="25">
        <f>AE56+AE57+AE58+AE59</f>
      </c>
      <c r="AF60" s="25">
        <f>AF56+AF57+AF58+AF59</f>
      </c>
      <c r="AG60" s="25">
        <f>AG56+AG57+AG58+AG59</f>
      </c>
      <c r="AH60" s="25">
        <f>AH56+AH57+AH58+AH59</f>
      </c>
      <c r="AI60" s="25">
        <f>AI56+AI57+AI58+AI59</f>
      </c>
      <c r="AJ60" s="25">
        <f>AJ56+AJ57+AJ58+AJ59</f>
      </c>
      <c r="AK60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1823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1840</v>
      </c>
      <c r="K8" s="44" t="s">
        <v>1841</v>
      </c>
      <c r="L8" s="44" t="s">
        <v>1842</v>
      </c>
      <c r="M8" s="44" t="s">
        <v>1843</v>
      </c>
      <c r="N8" s="44" t="s">
        <v>1844</v>
      </c>
      <c r="O8" s="44" t="s">
        <v>1845</v>
      </c>
      <c r="P8" s="44" t="s">
        <v>1846</v>
      </c>
      <c r="Q8" s="44" t="s">
        <v>1847</v>
      </c>
      <c r="R8" s="44" t="s">
        <v>1848</v>
      </c>
      <c r="S8" s="44" t="s">
        <v>1849</v>
      </c>
      <c r="T8" s="44" t="s">
        <v>1850</v>
      </c>
      <c r="U8" s="44" t="s">
        <v>1851</v>
      </c>
      <c r="V8" s="44" t="s">
        <v>1852</v>
      </c>
      <c r="W8" s="44" t="s">
        <v>1853</v>
      </c>
      <c r="X8" s="44" t="s">
        <v>1854</v>
      </c>
      <c r="Y8" s="44" t="s">
        <v>1855</v>
      </c>
      <c r="Z8" s="44" t="s">
        <v>1856</v>
      </c>
      <c r="AA8" s="44" t="s">
        <v>1857</v>
      </c>
      <c r="AB8" s="44" t="s">
        <v>3</v>
      </c>
      <c r="AC8" s="44" t="s">
        <v>3</v>
      </c>
      <c r="AD8" s="44" t="s">
        <v>3</v>
      </c>
      <c r="AE8" s="44" t="s">
        <v>3</v>
      </c>
      <c r="AF8" s="44" t="s">
        <v>3</v>
      </c>
      <c r="AG8" s="44" t="s">
        <v>3</v>
      </c>
      <c r="AH8" s="44" t="s">
        <v>3</v>
      </c>
      <c r="AI8" s="44" t="s">
        <v>3</v>
      </c>
      <c r="AJ8" s="44" t="s">
        <v>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1823</v>
      </c>
      <c r="D10" s="50" t="s">
        <v>41</v>
      </c>
      <c r="E10" s="32" t="s">
        <v>3</v>
      </c>
      <c r="F10" s="32" t="s">
        <v>1824</v>
      </c>
      <c r="G10" s="32"/>
      <c r="H10" s="32"/>
      <c r="I10" s="32"/>
      <c r="J10" s="32"/>
      <c r="K10" s="33">
        <v>3641.14</v>
      </c>
      <c r="L10" s="33">
        <v>3077.08</v>
      </c>
      <c r="M10" s="33">
        <v>2302.09</v>
      </c>
      <c r="N10" s="33">
        <v>1731.15</v>
      </c>
      <c r="O10" s="33">
        <v>1133.11</v>
      </c>
      <c r="P10" s="33">
        <v>574.99</v>
      </c>
      <c r="Q10" s="33">
        <v>188.18</v>
      </c>
      <c r="R10" s="33">
        <v>195.36</v>
      </c>
      <c r="S10" s="33">
        <v>622.17</v>
      </c>
      <c r="T10" s="33">
        <v>876.7</v>
      </c>
      <c r="U10" s="33">
        <v>1913.8</v>
      </c>
      <c r="V10" s="33">
        <v>2241.92</v>
      </c>
      <c r="W10" s="33">
        <v>2682.43</v>
      </c>
      <c r="X10" s="33">
        <v>2000.9</v>
      </c>
      <c r="Y10" s="33">
        <v>1443.48</v>
      </c>
      <c r="Z10" s="33">
        <v>1131.35</v>
      </c>
      <c r="AA10" s="33">
        <v>909.8</v>
      </c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1823</v>
      </c>
      <c r="D11" s="50" t="s">
        <v>41</v>
      </c>
      <c r="E11" s="32" t="s">
        <v>3</v>
      </c>
      <c r="F11" s="32" t="s">
        <v>1825</v>
      </c>
      <c r="G11" s="32"/>
      <c r="H11" s="32"/>
      <c r="I11" s="32"/>
      <c r="J11" s="32"/>
      <c r="K11" s="33">
        <v>473.81</v>
      </c>
      <c r="L11" s="33">
        <v>276.92</v>
      </c>
      <c r="M11" s="33">
        <v>132.8</v>
      </c>
      <c r="N11" s="33">
        <v>105.38</v>
      </c>
      <c r="O11" s="33">
        <v>73.69</v>
      </c>
      <c r="P11" s="33">
        <v>72.34</v>
      </c>
      <c r="Q11" s="33">
        <v>63.64</v>
      </c>
      <c r="R11" s="33">
        <v>52.2</v>
      </c>
      <c r="S11" s="33">
        <v>53.92</v>
      </c>
      <c r="T11" s="33">
        <v>52.59</v>
      </c>
      <c r="U11" s="33">
        <v>62.76</v>
      </c>
      <c r="V11" s="33">
        <v>69.55</v>
      </c>
      <c r="W11" s="33">
        <v>124.94</v>
      </c>
      <c r="X11" s="33">
        <v>144.14</v>
      </c>
      <c r="Y11" s="33">
        <v>70.7</v>
      </c>
      <c r="Z11" s="33">
        <v>66.36</v>
      </c>
      <c r="AA11" s="33">
        <v>60.03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1823</v>
      </c>
      <c r="D16" s="50" t="s">
        <v>42</v>
      </c>
      <c r="E16" s="32" t="s">
        <v>3</v>
      </c>
      <c r="F16" s="32" t="s">
        <v>1826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f>0.00+36.85</f>
        <v>36.85</v>
      </c>
      <c r="W16" s="33">
        <v>21.67</v>
      </c>
      <c r="X16" s="33">
        <v>26.36</v>
      </c>
      <c r="Y16" s="33">
        <v>64.28</v>
      </c>
      <c r="Z16" s="33">
        <v>62.59</v>
      </c>
      <c r="AA16" s="33">
        <v>21.26</v>
      </c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1823</v>
      </c>
      <c r="D17" s="50" t="s">
        <v>42</v>
      </c>
      <c r="E17" s="32" t="s">
        <v>3</v>
      </c>
      <c r="F17" s="32" t="s">
        <v>1827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f>0.00+17.98</f>
        <v>17.98</v>
      </c>
      <c r="W17" s="33">
        <v>106.37</v>
      </c>
      <c r="X17" s="33">
        <v>90.74</v>
      </c>
      <c r="Y17" s="33">
        <v>57.61</v>
      </c>
      <c r="Z17" s="33">
        <v>21.26</v>
      </c>
      <c r="AA17" s="33">
        <v>91.57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1823</v>
      </c>
      <c r="D18" s="50" t="s">
        <v>42</v>
      </c>
      <c r="E18" s="32" t="s">
        <v>3</v>
      </c>
      <c r="F18" s="32" t="s">
        <v>1828</v>
      </c>
      <c r="G18" s="32"/>
      <c r="H18" s="32"/>
      <c r="I18" s="32"/>
      <c r="J18" s="32"/>
      <c r="K18" s="32"/>
      <c r="L18" s="32"/>
      <c r="M18" s="33">
        <f>50.73+0.00</f>
        <v>50.73</v>
      </c>
      <c r="N18" s="33">
        <v>40.69</v>
      </c>
      <c r="O18" s="33">
        <v>41.64</v>
      </c>
      <c r="P18" s="33">
        <v>185.25</v>
      </c>
      <c r="Q18" s="33">
        <v>190.02</v>
      </c>
      <c r="R18" s="33">
        <v>162.01</v>
      </c>
      <c r="S18" s="33">
        <v>114.06</v>
      </c>
      <c r="T18" s="33">
        <v>28.5</v>
      </c>
      <c r="U18" s="33">
        <v>32.49</v>
      </c>
      <c r="V18" s="33">
        <v>75.4</v>
      </c>
      <c r="W18" s="33">
        <v>99.42</v>
      </c>
      <c r="X18" s="33">
        <v>78.52</v>
      </c>
      <c r="Y18" s="33">
        <v>42.96</v>
      </c>
      <c r="Z18" s="33">
        <v>21.26</v>
      </c>
      <c r="AA18" s="33">
        <v>22.09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1823</v>
      </c>
      <c r="D19" s="50" t="s">
        <v>42</v>
      </c>
      <c r="E19" s="32" t="s">
        <v>3</v>
      </c>
      <c r="F19" s="32" t="s">
        <v>1829</v>
      </c>
      <c r="G19" s="32"/>
      <c r="H19" s="32"/>
      <c r="I19" s="32"/>
      <c r="J19" s="32"/>
      <c r="K19" s="32"/>
      <c r="L19" s="32"/>
      <c r="M19" s="32"/>
      <c r="N19" s="32"/>
      <c r="O19" s="33">
        <f>0.00+46.06</f>
        <v>46.06</v>
      </c>
      <c r="P19" s="33">
        <v>21.68</v>
      </c>
      <c r="Q19" s="33">
        <v>21.58</v>
      </c>
      <c r="R19" s="33">
        <v>21.26</v>
      </c>
      <c r="S19" s="33">
        <v>21.26</v>
      </c>
      <c r="T19" s="33">
        <f>13.47+0.00</f>
        <v>13.47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1823</v>
      </c>
      <c r="D20" s="50" t="s">
        <v>42</v>
      </c>
      <c r="E20" s="32" t="s">
        <v>3</v>
      </c>
      <c r="F20" s="32" t="s">
        <v>1830</v>
      </c>
      <c r="G20" s="32"/>
      <c r="H20" s="32"/>
      <c r="I20" s="32"/>
      <c r="J20" s="32"/>
      <c r="K20" s="32"/>
      <c r="L20" s="33">
        <f>59.71+0.00</f>
        <v>59.71</v>
      </c>
      <c r="M20" s="33">
        <v>37.58</v>
      </c>
      <c r="N20" s="33">
        <v>91.88</v>
      </c>
      <c r="O20" s="33">
        <v>137.07</v>
      </c>
      <c r="P20" s="33">
        <v>184.06</v>
      </c>
      <c r="Q20" s="33">
        <v>222.33</v>
      </c>
      <c r="R20" s="33">
        <v>22.34</v>
      </c>
      <c r="S20" s="33">
        <v>54.66</v>
      </c>
      <c r="T20" s="33">
        <v>86.87</v>
      </c>
      <c r="U20" s="33">
        <v>60.05</v>
      </c>
      <c r="V20" s="33">
        <v>50.62</v>
      </c>
      <c r="W20" s="33">
        <v>46.28</v>
      </c>
      <c r="X20" s="33">
        <v>56.39</v>
      </c>
      <c r="Y20" s="33">
        <v>62.06</v>
      </c>
      <c r="Z20" s="33">
        <v>99.14</v>
      </c>
      <c r="AA20" s="33">
        <v>135.8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1823</v>
      </c>
      <c r="D21" s="50" t="s">
        <v>42</v>
      </c>
      <c r="E21" s="32" t="s">
        <v>3</v>
      </c>
      <c r="F21" s="32" t="s">
        <v>1831</v>
      </c>
      <c r="G21" s="32"/>
      <c r="H21" s="32"/>
      <c r="I21" s="32"/>
      <c r="J21" s="33">
        <v>21.26</v>
      </c>
      <c r="K21" s="33">
        <v>24.06</v>
      </c>
      <c r="L21" s="33">
        <v>103.84</v>
      </c>
      <c r="M21" s="33">
        <v>68.16</v>
      </c>
      <c r="N21" s="33">
        <v>29.62</v>
      </c>
      <c r="O21" s="33">
        <v>25.17</v>
      </c>
      <c r="P21" s="33">
        <v>67.45</v>
      </c>
      <c r="Q21" s="33">
        <f>23.51+0.00</f>
        <v>23.51</v>
      </c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1823</v>
      </c>
      <c r="D22" s="50" t="s">
        <v>42</v>
      </c>
      <c r="E22" s="32" t="s">
        <v>3</v>
      </c>
      <c r="F22" s="32" t="s">
        <v>1832</v>
      </c>
      <c r="G22" s="32"/>
      <c r="H22" s="32"/>
      <c r="I22" s="32"/>
      <c r="J22" s="32"/>
      <c r="K22" s="32"/>
      <c r="L22" s="32"/>
      <c r="M22" s="32"/>
      <c r="N22" s="33">
        <f>0.00+64.78</f>
        <v>64.78</v>
      </c>
      <c r="O22" s="33">
        <v>41.38</v>
      </c>
      <c r="P22" s="33">
        <v>25.94</v>
      </c>
      <c r="Q22" s="33">
        <v>22.96</v>
      </c>
      <c r="R22" s="33">
        <v>23.01</v>
      </c>
      <c r="S22" s="33">
        <v>21.26</v>
      </c>
      <c r="T22" s="33">
        <v>21.26</v>
      </c>
      <c r="U22" s="33">
        <f>21.92+0.00</f>
        <v>21.92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1823</v>
      </c>
      <c r="D23" s="50" t="s">
        <v>42</v>
      </c>
      <c r="E23" s="32" t="s">
        <v>3</v>
      </c>
      <c r="F23" s="32" t="s">
        <v>1833</v>
      </c>
      <c r="G23" s="32"/>
      <c r="H23" s="32"/>
      <c r="I23" s="32"/>
      <c r="J23" s="32"/>
      <c r="K23" s="32"/>
      <c r="L23" s="32"/>
      <c r="M23" s="32"/>
      <c r="N23" s="32"/>
      <c r="O23" s="33">
        <f>0.00+135.66</f>
        <v>135.66</v>
      </c>
      <c r="P23" s="33">
        <v>175.25</v>
      </c>
      <c r="Q23" s="33">
        <v>154.19</v>
      </c>
      <c r="R23" s="33">
        <v>138.16</v>
      </c>
      <c r="S23" s="33">
        <v>129.01</v>
      </c>
      <c r="T23" s="33">
        <v>81.76</v>
      </c>
      <c r="U23" s="33">
        <v>91.65</v>
      </c>
      <c r="V23" s="33">
        <v>40.29</v>
      </c>
      <c r="W23" s="33">
        <v>102.98</v>
      </c>
      <c r="X23" s="33">
        <v>74.41</v>
      </c>
      <c r="Y23" s="33">
        <v>50.94</v>
      </c>
      <c r="Z23" s="33">
        <v>21.26</v>
      </c>
      <c r="AA23" s="33">
        <v>21.26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1823</v>
      </c>
      <c r="D24" s="50" t="s">
        <v>42</v>
      </c>
      <c r="E24" s="32" t="s">
        <v>3</v>
      </c>
      <c r="F24" s="32" t="s">
        <v>1834</v>
      </c>
      <c r="G24" s="32"/>
      <c r="H24" s="32"/>
      <c r="I24" s="32"/>
      <c r="J24" s="33">
        <f>0.00+42.52</f>
        <v>42.52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1823</v>
      </c>
      <c r="D25" s="50" t="s">
        <v>42</v>
      </c>
      <c r="E25" s="32" t="s">
        <v>3</v>
      </c>
      <c r="F25" s="32" t="s">
        <v>1835</v>
      </c>
      <c r="G25" s="32"/>
      <c r="H25" s="32"/>
      <c r="I25" s="32"/>
      <c r="J25" s="33">
        <v>59.86</v>
      </c>
      <c r="K25" s="33">
        <v>43.06</v>
      </c>
      <c r="L25" s="33">
        <f>17.64+0.00</f>
        <v>17.64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1823</v>
      </c>
      <c r="D26" s="50" t="s">
        <v>42</v>
      </c>
      <c r="E26" s="32" t="s">
        <v>3</v>
      </c>
      <c r="F26" s="32" t="s">
        <v>1836</v>
      </c>
      <c r="G26" s="32"/>
      <c r="H26" s="32"/>
      <c r="I26" s="32"/>
      <c r="J26" s="33">
        <f>611.40+113.47</f>
        <v>724.87</v>
      </c>
      <c r="K26" s="33">
        <f>754.57+113.47</f>
        <v>868.0400000000001</v>
      </c>
      <c r="L26" s="33">
        <f>113.46+512.52</f>
        <v>625.98</v>
      </c>
      <c r="M26" s="33">
        <f>526.62+113.47</f>
        <v>640.09</v>
      </c>
      <c r="N26" s="33">
        <f>113.45+673.76</f>
        <v>787.21</v>
      </c>
      <c r="O26" s="33">
        <f>1021.04+113.56</f>
        <v>1134.6</v>
      </c>
      <c r="P26" s="33">
        <f>113.56+1420.52</f>
        <v>1534.08</v>
      </c>
      <c r="Q26" s="33">
        <f>1436.54+106.83</f>
        <v>1543.37</v>
      </c>
      <c r="R26" s="33">
        <f>1096.38+113.56</f>
        <v>1209.94</v>
      </c>
      <c r="S26" s="33">
        <f>974.22+113.56</f>
        <v>1087.78</v>
      </c>
      <c r="T26" s="33">
        <f>113.73+737.64</f>
        <v>851.37</v>
      </c>
      <c r="U26" s="33">
        <f>483.35+116.43</f>
        <v>599.78</v>
      </c>
      <c r="V26" s="33">
        <f>116.43+720.35</f>
        <v>836.78</v>
      </c>
      <c r="W26" s="33">
        <f>116.43+736.39</f>
        <v>852.8199999999999</v>
      </c>
      <c r="X26" s="33">
        <f>116.43+511.73</f>
        <v>628.1600000000001</v>
      </c>
      <c r="Y26" s="33">
        <f>569.87+116.43</f>
        <v>686.3</v>
      </c>
      <c r="Z26" s="33">
        <f>519.68+109.39</f>
        <v>629.0699999999999</v>
      </c>
      <c r="AA26" s="33">
        <f>788.80+156.38</f>
        <v>945.18</v>
      </c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1823</v>
      </c>
      <c r="D27" s="50" t="s">
        <v>42</v>
      </c>
      <c r="E27" s="32" t="s">
        <v>3</v>
      </c>
      <c r="F27" s="32" t="s">
        <v>1837</v>
      </c>
      <c r="G27" s="33">
        <v>0</v>
      </c>
      <c r="H27" s="32"/>
      <c r="I27" s="32"/>
      <c r="J27" s="32"/>
      <c r="K27" s="32"/>
      <c r="L27" s="32"/>
      <c r="M27" s="32"/>
      <c r="N27" s="33">
        <f>63.43+0.00</f>
        <v>63.43</v>
      </c>
      <c r="O27" s="33">
        <v>21.7</v>
      </c>
      <c r="P27" s="33">
        <v>25.21</v>
      </c>
      <c r="Q27" s="33">
        <v>21.26</v>
      </c>
      <c r="R27" s="33">
        <v>21.26</v>
      </c>
      <c r="S27" s="33">
        <v>21.26</v>
      </c>
      <c r="T27" s="33">
        <f>21.26+0.00+2.84</f>
        <v>24.1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1823</v>
      </c>
      <c r="D28" s="50" t="s">
        <v>42</v>
      </c>
      <c r="E28" s="32" t="s">
        <v>3</v>
      </c>
      <c r="F28" s="32" t="s">
        <v>1838</v>
      </c>
      <c r="G28" s="32"/>
      <c r="H28" s="32"/>
      <c r="I28" s="32"/>
      <c r="J28" s="33">
        <v>30.8</v>
      </c>
      <c r="K28" s="33">
        <v>30.8</v>
      </c>
      <c r="L28" s="33">
        <v>31.02</v>
      </c>
      <c r="M28" s="33">
        <v>30.71</v>
      </c>
      <c r="N28" s="33">
        <v>30.93</v>
      </c>
      <c r="O28" s="33">
        <v>30.92</v>
      </c>
      <c r="P28" s="33">
        <v>31.02</v>
      </c>
      <c r="Q28" s="33">
        <v>33.39</v>
      </c>
      <c r="R28" s="33">
        <v>32.45</v>
      </c>
      <c r="S28" s="33">
        <v>30.65</v>
      </c>
      <c r="T28" s="33">
        <v>31.06</v>
      </c>
      <c r="U28" s="33">
        <v>30.72</v>
      </c>
      <c r="V28" s="33">
        <v>30.65</v>
      </c>
      <c r="W28" s="33">
        <v>30.72</v>
      </c>
      <c r="X28" s="33">
        <v>30.72</v>
      </c>
      <c r="Y28" s="33">
        <v>30.81</v>
      </c>
      <c r="Z28" s="33">
        <v>30.72</v>
      </c>
      <c r="AA28" s="33">
        <v>31.09</v>
      </c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85</v>
      </c>
      <c r="E30" s="21"/>
      <c r="F30" s="21"/>
      <c r="G30" s="22">
        <f>SUM(G16:G28)</f>
      </c>
      <c r="H30" s="22">
        <f>SUM(H16:H28)</f>
      </c>
      <c r="I30" s="22">
        <f>SUM(I16:I28)</f>
      </c>
      <c r="J30" s="22">
        <f>SUM(J16:J28)</f>
      </c>
      <c r="K30" s="22">
        <f>SUM(K16:K28)</f>
      </c>
      <c r="L30" s="22">
        <f>SUM(L16:L28)</f>
      </c>
      <c r="M30" s="22">
        <f>SUM(M16:M28)</f>
      </c>
      <c r="N30" s="22">
        <f>SUM(N16:N28)</f>
      </c>
      <c r="O30" s="22">
        <f>SUM(O16:O28)</f>
      </c>
      <c r="P30" s="22">
        <f>SUM(P16:P28)</f>
      </c>
      <c r="Q30" s="22">
        <f>SUM(Q16:Q28)</f>
      </c>
      <c r="R30" s="22">
        <f>SUM(R16:R28)</f>
      </c>
      <c r="S30" s="22">
        <f>SUM(S16:S28)</f>
      </c>
      <c r="T30" s="22">
        <f>SUM(T16:T28)</f>
      </c>
      <c r="U30" s="22">
        <f>SUM(U16:U28)</f>
      </c>
      <c r="V30" s="22">
        <f>SUM(V16:V28)</f>
      </c>
      <c r="W30" s="22">
        <f>SUM(W16:W28)</f>
      </c>
      <c r="X30" s="22">
        <f>SUM(X16:X28)</f>
      </c>
      <c r="Y30" s="22">
        <f>SUM(Y16:Y28)</f>
      </c>
      <c r="Z30" s="22">
        <f>SUM(Z16:Z28)</f>
      </c>
      <c r="AA30" s="22">
        <f>SUM(AA16:AA28)</f>
      </c>
      <c r="AB30" s="22">
        <f>SUM(AB16:AB28)</f>
      </c>
      <c r="AC30" s="22">
        <f>SUM(AC16:AC28)</f>
      </c>
      <c r="AD30" s="22">
        <f>SUM(AD16:AD28)</f>
      </c>
      <c r="AE30" s="22">
        <f>SUM(AE16:AE28)</f>
      </c>
      <c r="AF30" s="22">
        <f>SUM(AF16:AF28)</f>
      </c>
      <c r="AG30" s="22">
        <f>SUM(AG16:AG28)</f>
      </c>
      <c r="AH30" s="22">
        <f>SUM(AH16:AH28)</f>
      </c>
      <c r="AI30" s="22">
        <f>SUM(AI16:AI28)</f>
      </c>
      <c r="AJ30" s="22">
        <f>SUM(AJ16:AJ28)</f>
      </c>
      <c r="AK30" s="22">
        <f>SUM(AK16:AK28)</f>
      </c>
      <c r="AL30" s="22">
        <f>SUM(AL16:AL28)</f>
      </c>
      <c r="AM30" s="23"/>
    </row>
    <row r="32" ht="13.5" customHeight="1" spans="2:39" x14ac:dyDescent="0.25">
      <c r="B32" s="46"/>
      <c r="C32" s="28"/>
      <c r="D32" s="47" t="s">
        <v>43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48" t="s">
        <v>3</v>
      </c>
      <c r="C33" s="49" t="s">
        <v>1823</v>
      </c>
      <c r="D33" s="50" t="s">
        <v>43</v>
      </c>
      <c r="E33" s="32" t="s">
        <v>3</v>
      </c>
      <c r="F33" s="32" t="s">
        <v>1839</v>
      </c>
      <c r="G33" s="32"/>
      <c r="H33" s="32"/>
      <c r="I33" s="32"/>
      <c r="J33" s="33">
        <f>257.03+912.88</f>
        <v>1169.9099999999999</v>
      </c>
      <c r="K33" s="33">
        <f>276.99+981.99</f>
        <v>1258.98</v>
      </c>
      <c r="L33" s="33">
        <f>266.50+1004.79</f>
        <v>1271.29</v>
      </c>
      <c r="M33" s="33">
        <f>247.48+1011.96</f>
        <v>1259.44</v>
      </c>
      <c r="N33" s="33">
        <f>126.73+832.57</f>
        <v>959.3000000000001</v>
      </c>
      <c r="O33" s="33">
        <f>162.01+896.63</f>
        <v>1058.6399999999999</v>
      </c>
      <c r="P33" s="33">
        <f>910.98+138.20</f>
        <v>1049.18</v>
      </c>
      <c r="Q33" s="33">
        <f>223.80+929.45</f>
        <v>1153.25</v>
      </c>
      <c r="R33" s="33">
        <f>962.89+166.70</f>
        <v>1129.59</v>
      </c>
      <c r="S33" s="33">
        <f>162.39+829.15</f>
        <v>991.54</v>
      </c>
      <c r="T33" s="33">
        <f>180.98+878.18</f>
        <v>1059.1599999999999</v>
      </c>
      <c r="U33" s="33">
        <f>233.21+1014.02</f>
        <v>1247.23</v>
      </c>
      <c r="V33" s="33">
        <f>219.06+921.99</f>
        <v>1141.05</v>
      </c>
      <c r="W33" s="33">
        <f>318.65+1978.69</f>
        <v>2297.34</v>
      </c>
      <c r="X33" s="33">
        <f>308.37+1614.63</f>
        <v>1923</v>
      </c>
      <c r="Y33" s="33">
        <f>300.40+1971.73</f>
        <v>2272.13</v>
      </c>
      <c r="Z33" s="33">
        <f>899.30+207.48</f>
        <v>1106.78</v>
      </c>
      <c r="AA33" s="33">
        <f>831.61+228.44</f>
        <v>1060.05</v>
      </c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51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40"/>
    </row>
    <row r="35" ht="13.5" customHeight="1" spans="2:39" x14ac:dyDescent="0.25">
      <c r="B35" s="20"/>
      <c r="C35" s="21"/>
      <c r="D35" s="21" t="s">
        <v>89</v>
      </c>
      <c r="E35" s="21"/>
      <c r="F35" s="21"/>
      <c r="G35" s="22">
        <f>SUM(G33:G33)</f>
      </c>
      <c r="H35" s="22">
        <f>SUM(H33:H33)</f>
      </c>
      <c r="I35" s="22">
        <f>SUM(I33:I33)</f>
      </c>
      <c r="J35" s="22">
        <f>SUM(J33:J33)</f>
      </c>
      <c r="K35" s="22">
        <f>SUM(K33:K33)</f>
      </c>
      <c r="L35" s="22">
        <f>SUM(L33:L33)</f>
      </c>
      <c r="M35" s="22">
        <f>SUM(M33:M33)</f>
      </c>
      <c r="N35" s="22">
        <f>SUM(N33:N33)</f>
      </c>
      <c r="O35" s="22">
        <f>SUM(O33:O33)</f>
      </c>
      <c r="P35" s="22">
        <f>SUM(P33:P33)</f>
      </c>
      <c r="Q35" s="22">
        <f>SUM(Q33:Q33)</f>
      </c>
      <c r="R35" s="22">
        <f>SUM(R33:R33)</f>
      </c>
      <c r="S35" s="22">
        <f>SUM(S33:S33)</f>
      </c>
      <c r="T35" s="22">
        <f>SUM(T33:T33)</f>
      </c>
      <c r="U35" s="22">
        <f>SUM(U33:U33)</f>
      </c>
      <c r="V35" s="22">
        <f>SUM(V33:V33)</f>
      </c>
      <c r="W35" s="22">
        <f>SUM(W33:W33)</f>
      </c>
      <c r="X35" s="22">
        <f>SUM(X33:X33)</f>
      </c>
      <c r="Y35" s="22">
        <f>SUM(Y33:Y33)</f>
      </c>
      <c r="Z35" s="22">
        <f>SUM(Z33:Z33)</f>
      </c>
      <c r="AA35" s="22">
        <f>SUM(AA33:AA33)</f>
      </c>
      <c r="AB35" s="22">
        <f>SUM(AB33:AB33)</f>
      </c>
      <c r="AC35" s="22">
        <f>SUM(AC33:AC33)</f>
      </c>
      <c r="AD35" s="22">
        <f>SUM(AD33:AD33)</f>
      </c>
      <c r="AE35" s="22">
        <f>SUM(AE33:AE33)</f>
      </c>
      <c r="AF35" s="22">
        <f>SUM(AF33:AF33)</f>
      </c>
      <c r="AG35" s="22">
        <f>SUM(AG33:AG33)</f>
      </c>
      <c r="AH35" s="22">
        <f>SUM(AH33:AH33)</f>
      </c>
      <c r="AI35" s="22">
        <f>SUM(AI33:AI33)</f>
      </c>
      <c r="AJ35" s="22">
        <f>SUM(AJ33:AJ33)</f>
      </c>
      <c r="AK35" s="22">
        <f>SUM(AK33:AK33)</f>
      </c>
      <c r="AL35" s="22">
        <f>SUM(AL33:AL33)</f>
      </c>
      <c r="AM35" s="23"/>
    </row>
    <row r="37" ht="13.5" customHeight="1" spans="2:39" x14ac:dyDescent="0.25">
      <c r="B37" s="46"/>
      <c r="C37" s="28"/>
      <c r="D37" s="47" t="s">
        <v>44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9"/>
    </row>
    <row r="38" ht="13.5" customHeight="1" spans="2:39" x14ac:dyDescent="0.25">
      <c r="B38" s="51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40"/>
    </row>
    <row r="39" ht="13.5" customHeight="1" spans="2:39" x14ac:dyDescent="0.25">
      <c r="B39" s="20"/>
      <c r="C39" s="21"/>
      <c r="D39" s="21" t="s">
        <v>90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3"/>
    </row>
    <row r="42" ht="12.75" customHeight="1" spans="2:39" x14ac:dyDescent="0.25">
      <c r="B42" s="11" t="s">
        <v>40</v>
      </c>
      <c r="C42" s="12"/>
      <c r="D42" s="12"/>
      <c r="E42" s="12"/>
      <c r="F42" s="12"/>
      <c r="G42" s="52" t="s">
        <v>7</v>
      </c>
      <c r="H42" s="52" t="s">
        <v>8</v>
      </c>
      <c r="I42" s="52" t="s">
        <v>9</v>
      </c>
      <c r="J42" s="52" t="s">
        <v>10</v>
      </c>
      <c r="K42" s="52" t="s">
        <v>11</v>
      </c>
      <c r="L42" s="52" t="s">
        <v>12</v>
      </c>
      <c r="M42" s="52" t="s">
        <v>13</v>
      </c>
      <c r="N42" s="52" t="s">
        <v>14</v>
      </c>
      <c r="O42" s="52" t="s">
        <v>15</v>
      </c>
      <c r="P42" s="52" t="s">
        <v>16</v>
      </c>
      <c r="Q42" s="52" t="s">
        <v>17</v>
      </c>
      <c r="R42" s="52" t="s">
        <v>18</v>
      </c>
      <c r="S42" s="52" t="s">
        <v>19</v>
      </c>
      <c r="T42" s="52" t="s">
        <v>20</v>
      </c>
      <c r="U42" s="52" t="s">
        <v>21</v>
      </c>
      <c r="V42" s="52" t="s">
        <v>22</v>
      </c>
      <c r="W42" s="52" t="s">
        <v>23</v>
      </c>
      <c r="X42" s="52" t="s">
        <v>24</v>
      </c>
      <c r="Y42" s="52" t="s">
        <v>25</v>
      </c>
      <c r="Z42" s="52" t="s">
        <v>26</v>
      </c>
      <c r="AA42" s="52" t="s">
        <v>27</v>
      </c>
      <c r="AB42" s="52" t="s">
        <v>28</v>
      </c>
      <c r="AC42" s="52" t="s">
        <v>29</v>
      </c>
      <c r="AD42" s="52" t="s">
        <v>30</v>
      </c>
      <c r="AE42" s="52" t="s">
        <v>31</v>
      </c>
      <c r="AF42" s="52" t="s">
        <v>32</v>
      </c>
      <c r="AG42" s="52" t="s">
        <v>33</v>
      </c>
      <c r="AH42" s="52" t="s">
        <v>34</v>
      </c>
      <c r="AI42" s="52" t="s">
        <v>35</v>
      </c>
      <c r="AJ42" s="52" t="s">
        <v>36</v>
      </c>
      <c r="AK42" s="52" t="s">
        <v>37</v>
      </c>
      <c r="AL42" s="52" t="s">
        <v>38</v>
      </c>
      <c r="AM42" s="15"/>
    </row>
    <row r="43" ht="12.75" customHeight="1" spans="2:39" x14ac:dyDescent="0.25">
      <c r="B43" s="16"/>
      <c r="C43" s="17"/>
      <c r="D43" s="17" t="s">
        <v>41</v>
      </c>
      <c r="E43" s="17"/>
      <c r="F43" s="17"/>
      <c r="G43" s="18">
        <f>G13</f>
      </c>
      <c r="H43" s="18">
        <f>H13</f>
      </c>
      <c r="I43" s="18">
        <f>I13</f>
      </c>
      <c r="J43" s="18">
        <f>J13</f>
      </c>
      <c r="K43" s="18">
        <f>K13</f>
      </c>
      <c r="L43" s="18">
        <f>L13</f>
      </c>
      <c r="M43" s="18">
        <f>M13</f>
      </c>
      <c r="N43" s="18">
        <f>N13</f>
      </c>
      <c r="O43" s="18">
        <f>O13</f>
      </c>
      <c r="P43" s="18">
        <f>P13</f>
      </c>
      <c r="Q43" s="18">
        <f>Q13</f>
      </c>
      <c r="R43" s="18">
        <f>R13</f>
      </c>
      <c r="S43" s="18">
        <f>S13</f>
      </c>
      <c r="T43" s="18">
        <f>T13</f>
      </c>
      <c r="U43" s="18">
        <f>U13</f>
      </c>
      <c r="V43" s="18">
        <f>V13</f>
      </c>
      <c r="W43" s="18">
        <f>W13</f>
      </c>
      <c r="X43" s="18">
        <f>X13</f>
      </c>
      <c r="Y43" s="18">
        <f>Y13</f>
      </c>
      <c r="Z43" s="18">
        <f>Z13</f>
      </c>
      <c r="AA43" s="18">
        <f>AA13</f>
      </c>
      <c r="AB43" s="18">
        <f>AB13</f>
      </c>
      <c r="AC43" s="18">
        <f>AC13</f>
      </c>
      <c r="AD43" s="18">
        <f>AD13</f>
      </c>
      <c r="AE43" s="18">
        <f>AE13</f>
      </c>
      <c r="AF43" s="18">
        <f>AF13</f>
      </c>
      <c r="AG43" s="18">
        <f>AG13</f>
      </c>
      <c r="AH43" s="18">
        <f>AH13</f>
      </c>
      <c r="AI43" s="18">
        <f>AI13</f>
      </c>
      <c r="AJ43" s="18">
        <f>AJ13</f>
      </c>
      <c r="AK43" s="18">
        <f>AK13</f>
      </c>
      <c r="AL43" s="18">
        <f>AL13</f>
      </c>
      <c r="AM43" s="19"/>
    </row>
    <row r="44" ht="12.75" customHeight="1" spans="2:39" x14ac:dyDescent="0.25">
      <c r="B44" s="16"/>
      <c r="C44" s="17"/>
      <c r="D44" s="17" t="s">
        <v>42</v>
      </c>
      <c r="E44" s="17"/>
      <c r="F44" s="17"/>
      <c r="G44" s="18">
        <f>G30</f>
      </c>
      <c r="H44" s="18">
        <f>H30</f>
      </c>
      <c r="I44" s="18">
        <f>I30</f>
      </c>
      <c r="J44" s="18">
        <f>J30</f>
      </c>
      <c r="K44" s="18">
        <f>K30</f>
      </c>
      <c r="L44" s="18">
        <f>L30</f>
      </c>
      <c r="M44" s="18">
        <f>M30</f>
      </c>
      <c r="N44" s="18">
        <f>N30</f>
      </c>
      <c r="O44" s="18">
        <f>O30</f>
      </c>
      <c r="P44" s="18">
        <f>P30</f>
      </c>
      <c r="Q44" s="18">
        <f>Q30</f>
      </c>
      <c r="R44" s="18">
        <f>R30</f>
      </c>
      <c r="S44" s="18">
        <f>S30</f>
      </c>
      <c r="T44" s="18">
        <f>T30</f>
      </c>
      <c r="U44" s="18">
        <f>U30</f>
      </c>
      <c r="V44" s="18">
        <f>V30</f>
      </c>
      <c r="W44" s="18">
        <f>W30</f>
      </c>
      <c r="X44" s="18">
        <f>X30</f>
      </c>
      <c r="Y44" s="18">
        <f>Y30</f>
      </c>
      <c r="Z44" s="18">
        <f>Z30</f>
      </c>
      <c r="AA44" s="18">
        <f>AA30</f>
      </c>
      <c r="AB44" s="18">
        <f>AB30</f>
      </c>
      <c r="AC44" s="18">
        <f>AC30</f>
      </c>
      <c r="AD44" s="18">
        <f>AD30</f>
      </c>
      <c r="AE44" s="18">
        <f>AE30</f>
      </c>
      <c r="AF44" s="18">
        <f>AF30</f>
      </c>
      <c r="AG44" s="18">
        <f>AG30</f>
      </c>
      <c r="AH44" s="18">
        <f>AH30</f>
      </c>
      <c r="AI44" s="18">
        <f>AI30</f>
      </c>
      <c r="AJ44" s="18">
        <f>AJ30</f>
      </c>
      <c r="AK44" s="18">
        <f>AK30</f>
      </c>
      <c r="AL44" s="18">
        <f>AL30</f>
      </c>
      <c r="AM44" s="19"/>
    </row>
    <row r="45" ht="12.75" customHeight="1" spans="2:39" x14ac:dyDescent="0.25">
      <c r="B45" s="16"/>
      <c r="C45" s="17"/>
      <c r="D45" s="17" t="s">
        <v>43</v>
      </c>
      <c r="E45" s="17"/>
      <c r="F45" s="17"/>
      <c r="G45" s="18">
        <f>G35</f>
      </c>
      <c r="H45" s="18">
        <f>H35</f>
      </c>
      <c r="I45" s="18">
        <f>I35</f>
      </c>
      <c r="J45" s="18">
        <f>J35</f>
      </c>
      <c r="K45" s="18">
        <f>K35</f>
      </c>
      <c r="L45" s="18">
        <f>L35</f>
      </c>
      <c r="M45" s="18">
        <f>M35</f>
      </c>
      <c r="N45" s="18">
        <f>N35</f>
      </c>
      <c r="O45" s="18">
        <f>O35</f>
      </c>
      <c r="P45" s="18">
        <f>P35</f>
      </c>
      <c r="Q45" s="18">
        <f>Q35</f>
      </c>
      <c r="R45" s="18">
        <f>R35</f>
      </c>
      <c r="S45" s="18">
        <f>S35</f>
      </c>
      <c r="T45" s="18">
        <f>T35</f>
      </c>
      <c r="U45" s="18">
        <f>U35</f>
      </c>
      <c r="V45" s="18">
        <f>V35</f>
      </c>
      <c r="W45" s="18">
        <f>W35</f>
      </c>
      <c r="X45" s="18">
        <f>X35</f>
      </c>
      <c r="Y45" s="18">
        <f>Y35</f>
      </c>
      <c r="Z45" s="18">
        <f>Z35</f>
      </c>
      <c r="AA45" s="18">
        <f>AA35</f>
      </c>
      <c r="AB45" s="18">
        <f>AB35</f>
      </c>
      <c r="AC45" s="18">
        <f>AC35</f>
      </c>
      <c r="AD45" s="18">
        <f>AD35</f>
      </c>
      <c r="AE45" s="18">
        <f>AE35</f>
      </c>
      <c r="AF45" s="18">
        <f>AF35</f>
      </c>
      <c r="AG45" s="18">
        <f>AG35</f>
      </c>
      <c r="AH45" s="18">
        <f>AH35</f>
      </c>
      <c r="AI45" s="18">
        <f>AI35</f>
      </c>
      <c r="AJ45" s="18">
        <f>AJ35</f>
      </c>
      <c r="AK45" s="18">
        <f>AK35</f>
      </c>
      <c r="AL45" s="18">
        <f>AL35</f>
      </c>
      <c r="AM45" s="19"/>
    </row>
    <row r="46" ht="12.75" customHeight="1" spans="2:39" x14ac:dyDescent="0.25">
      <c r="B46" s="16"/>
      <c r="C46" s="17"/>
      <c r="D46" s="17" t="s">
        <v>44</v>
      </c>
      <c r="E46" s="17"/>
      <c r="F46" s="17"/>
      <c r="G46" s="18">
        <f>G39</f>
      </c>
      <c r="H46" s="18">
        <f>H39</f>
      </c>
      <c r="I46" s="18">
        <f>I39</f>
      </c>
      <c r="J46" s="18">
        <f>J39</f>
      </c>
      <c r="K46" s="18">
        <f>K39</f>
      </c>
      <c r="L46" s="18">
        <f>L39</f>
      </c>
      <c r="M46" s="18">
        <f>M39</f>
      </c>
      <c r="N46" s="18">
        <f>N39</f>
      </c>
      <c r="O46" s="18">
        <f>O39</f>
      </c>
      <c r="P46" s="18">
        <f>P39</f>
      </c>
      <c r="Q46" s="18">
        <f>Q39</f>
      </c>
      <c r="R46" s="18">
        <f>R39</f>
      </c>
      <c r="S46" s="18">
        <f>S39</f>
      </c>
      <c r="T46" s="18">
        <f>T39</f>
      </c>
      <c r="U46" s="18">
        <f>U39</f>
      </c>
      <c r="V46" s="18">
        <f>V39</f>
      </c>
      <c r="W46" s="18">
        <f>W39</f>
      </c>
      <c r="X46" s="18">
        <f>X39</f>
      </c>
      <c r="Y46" s="18">
        <f>Y39</f>
      </c>
      <c r="Z46" s="18">
        <f>Z39</f>
      </c>
      <c r="AA46" s="18">
        <f>AA39</f>
      </c>
      <c r="AB46" s="18">
        <f>AB39</f>
      </c>
      <c r="AC46" s="18">
        <f>AC39</f>
      </c>
      <c r="AD46" s="18">
        <f>AD39</f>
      </c>
      <c r="AE46" s="18">
        <f>AE39</f>
      </c>
      <c r="AF46" s="18">
        <f>AF39</f>
      </c>
      <c r="AG46" s="18">
        <f>AG39</f>
      </c>
      <c r="AH46" s="18">
        <f>AH39</f>
      </c>
      <c r="AI46" s="18">
        <f>AI39</f>
      </c>
      <c r="AJ46" s="18">
        <f>AJ39</f>
      </c>
      <c r="AK46" s="18">
        <f>AK39</f>
      </c>
      <c r="AL46" s="18">
        <f>AL39</f>
      </c>
      <c r="AM46" s="19"/>
    </row>
    <row r="47" ht="12.75" customHeight="1" spans="2:39" x14ac:dyDescent="0.25">
      <c r="B47" s="20"/>
      <c r="C47" s="21"/>
      <c r="D47" s="21" t="s">
        <v>45</v>
      </c>
      <c r="E47" s="21"/>
      <c r="F47" s="21"/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2">
        <f>AK43+AK44+AK45+AK46</f>
      </c>
      <c r="AL47" s="22">
        <f>AL43+AL44+AL45+AL46</f>
      </c>
      <c r="AM47" s="23"/>
    </row>
    <row r="49" ht="12.75" customHeight="1" spans="2:39" x14ac:dyDescent="0.25">
      <c r="B49" s="11" t="s">
        <v>46</v>
      </c>
      <c r="C49" s="12"/>
      <c r="D49" s="12"/>
      <c r="E49" s="12"/>
      <c r="F49" s="12"/>
      <c r="G49" s="52" t="s">
        <v>7</v>
      </c>
      <c r="H49" s="52" t="s">
        <v>8</v>
      </c>
      <c r="I49" s="52" t="s">
        <v>9</v>
      </c>
      <c r="J49" s="52" t="s">
        <v>10</v>
      </c>
      <c r="K49" s="52" t="s">
        <v>11</v>
      </c>
      <c r="L49" s="52" t="s">
        <v>12</v>
      </c>
      <c r="M49" s="52" t="s">
        <v>13</v>
      </c>
      <c r="N49" s="52" t="s">
        <v>14</v>
      </c>
      <c r="O49" s="52" t="s">
        <v>15</v>
      </c>
      <c r="P49" s="52" t="s">
        <v>16</v>
      </c>
      <c r="Q49" s="52" t="s">
        <v>17</v>
      </c>
      <c r="R49" s="52" t="s">
        <v>18</v>
      </c>
      <c r="S49" s="52" t="s">
        <v>19</v>
      </c>
      <c r="T49" s="52" t="s">
        <v>20</v>
      </c>
      <c r="U49" s="52" t="s">
        <v>21</v>
      </c>
      <c r="V49" s="52" t="s">
        <v>22</v>
      </c>
      <c r="W49" s="52" t="s">
        <v>23</v>
      </c>
      <c r="X49" s="52" t="s">
        <v>24</v>
      </c>
      <c r="Y49" s="52" t="s">
        <v>25</v>
      </c>
      <c r="Z49" s="52" t="s">
        <v>26</v>
      </c>
      <c r="AA49" s="52" t="s">
        <v>27</v>
      </c>
      <c r="AB49" s="52" t="s">
        <v>28</v>
      </c>
      <c r="AC49" s="52" t="s">
        <v>29</v>
      </c>
      <c r="AD49" s="52" t="s">
        <v>30</v>
      </c>
      <c r="AE49" s="52" t="s">
        <v>31</v>
      </c>
      <c r="AF49" s="52" t="s">
        <v>32</v>
      </c>
      <c r="AG49" s="52" t="s">
        <v>33</v>
      </c>
      <c r="AH49" s="52" t="s">
        <v>34</v>
      </c>
      <c r="AI49" s="52" t="s">
        <v>35</v>
      </c>
      <c r="AJ49" s="52" t="s">
        <v>36</v>
      </c>
      <c r="AK49" s="52" t="s">
        <v>37</v>
      </c>
      <c r="AL49" s="52" t="s">
        <v>38</v>
      </c>
      <c r="AM49" s="15"/>
    </row>
    <row r="50" ht="12.75" customHeight="1" spans="2:39" x14ac:dyDescent="0.25">
      <c r="B50" s="16"/>
      <c r="C50" s="17"/>
      <c r="D50" s="17" t="s">
        <v>41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16"/>
      <c r="C51" s="17"/>
      <c r="D51" s="17" t="s">
        <v>42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16"/>
      <c r="C52" s="17"/>
      <c r="D52" s="17" t="s">
        <v>43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44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20"/>
      <c r="C54" s="21"/>
      <c r="D54" s="21" t="s">
        <v>45</v>
      </c>
      <c r="E54" s="21"/>
      <c r="F54" s="21"/>
      <c r="G54" s="22">
        <f>G50+G51+G52+G53</f>
      </c>
      <c r="H54" s="22">
        <f>H50+H51+H52+H53</f>
      </c>
      <c r="I54" s="22">
        <f>I50+I51+I52+I53</f>
      </c>
      <c r="J54" s="22">
        <f>J50+J51+J52+J53</f>
      </c>
      <c r="K54" s="22">
        <f>K50+K51+K52+K53</f>
      </c>
      <c r="L54" s="22">
        <f>L50+L51+L52+L53</f>
      </c>
      <c r="M54" s="22">
        <f>M50+M51+M52+M53</f>
      </c>
      <c r="N54" s="22">
        <f>N50+N51+N52+N53</f>
      </c>
      <c r="O54" s="22">
        <f>O50+O51+O52+O53</f>
      </c>
      <c r="P54" s="22">
        <f>P50+P51+P52+P53</f>
      </c>
      <c r="Q54" s="22">
        <f>Q50+Q51+Q52+Q53</f>
      </c>
      <c r="R54" s="22">
        <f>R50+R51+R52+R53</f>
      </c>
      <c r="S54" s="22">
        <f>S50+S51+S52+S53</f>
      </c>
      <c r="T54" s="22">
        <f>T50+T51+T52+T53</f>
      </c>
      <c r="U54" s="22">
        <f>U50+U51+U52+U53</f>
      </c>
      <c r="V54" s="22">
        <f>V50+V51+V52+V53</f>
      </c>
      <c r="W54" s="22">
        <f>W50+W51+W52+W53</f>
      </c>
      <c r="X54" s="22">
        <f>X50+X51+X52+X53</f>
      </c>
      <c r="Y54" s="22">
        <f>Y50+Y51+Y52+Y53</f>
      </c>
      <c r="Z54" s="22">
        <f>Z50+Z51+Z52+Z53</f>
      </c>
      <c r="AA54" s="22">
        <f>AA50+AA51+AA52+AA53</f>
      </c>
      <c r="AB54" s="22">
        <f>AB50+AB51+AB52+AB53</f>
      </c>
      <c r="AC54" s="22">
        <f>AC50+AC51+AC52+AC53</f>
      </c>
      <c r="AD54" s="22">
        <f>AD50+AD51+AD52+AD53</f>
      </c>
      <c r="AE54" s="22">
        <f>AE50+AE51+AE52+AE53</f>
      </c>
      <c r="AF54" s="22">
        <f>AF50+AF51+AF52+AF53</f>
      </c>
      <c r="AG54" s="22">
        <f>AG50+AG51+AG52+AG53</f>
      </c>
      <c r="AH54" s="22">
        <f>AH50+AH51+AH52+AH53</f>
      </c>
      <c r="AI54" s="22">
        <f>AI50+AI51+AI52+AI53</f>
      </c>
      <c r="AJ54" s="22">
        <f>AJ50+AJ51+AJ52+AJ53</f>
      </c>
      <c r="AK54" s="22">
        <f>AK50+AK51+AK52+AK53</f>
      </c>
      <c r="AL54" s="22">
        <f>AL50+AL51+AL52+AL53</f>
      </c>
      <c r="AM54" s="23"/>
    </row>
    <row r="56" ht="12.75" customHeight="1" spans="2:39" x14ac:dyDescent="0.25">
      <c r="B56" s="11" t="s">
        <v>47</v>
      </c>
      <c r="C56" s="12"/>
      <c r="D56" s="12"/>
      <c r="E56" s="12"/>
      <c r="F56" s="12"/>
      <c r="G56" s="52" t="s">
        <v>7</v>
      </c>
      <c r="H56" s="52" t="s">
        <v>8</v>
      </c>
      <c r="I56" s="52" t="s">
        <v>9</v>
      </c>
      <c r="J56" s="52" t="s">
        <v>10</v>
      </c>
      <c r="K56" s="52" t="s">
        <v>11</v>
      </c>
      <c r="L56" s="52" t="s">
        <v>12</v>
      </c>
      <c r="M56" s="52" t="s">
        <v>13</v>
      </c>
      <c r="N56" s="52" t="s">
        <v>14</v>
      </c>
      <c r="O56" s="52" t="s">
        <v>15</v>
      </c>
      <c r="P56" s="52" t="s">
        <v>16</v>
      </c>
      <c r="Q56" s="52" t="s">
        <v>17</v>
      </c>
      <c r="R56" s="52" t="s">
        <v>18</v>
      </c>
      <c r="S56" s="52" t="s">
        <v>19</v>
      </c>
      <c r="T56" s="52" t="s">
        <v>20</v>
      </c>
      <c r="U56" s="52" t="s">
        <v>21</v>
      </c>
      <c r="V56" s="52" t="s">
        <v>22</v>
      </c>
      <c r="W56" s="52" t="s">
        <v>23</v>
      </c>
      <c r="X56" s="52" t="s">
        <v>24</v>
      </c>
      <c r="Y56" s="52" t="s">
        <v>25</v>
      </c>
      <c r="Z56" s="52" t="s">
        <v>26</v>
      </c>
      <c r="AA56" s="52" t="s">
        <v>27</v>
      </c>
      <c r="AB56" s="52" t="s">
        <v>28</v>
      </c>
      <c r="AC56" s="52" t="s">
        <v>29</v>
      </c>
      <c r="AD56" s="52" t="s">
        <v>30</v>
      </c>
      <c r="AE56" s="52" t="s">
        <v>31</v>
      </c>
      <c r="AF56" s="52" t="s">
        <v>32</v>
      </c>
      <c r="AG56" s="52" t="s">
        <v>33</v>
      </c>
      <c r="AH56" s="52" t="s">
        <v>34</v>
      </c>
      <c r="AI56" s="52" t="s">
        <v>35</v>
      </c>
      <c r="AJ56" s="52" t="s">
        <v>36</v>
      </c>
      <c r="AK56" s="52" t="s">
        <v>37</v>
      </c>
      <c r="AL56" s="52" t="s">
        <v>38</v>
      </c>
      <c r="AM56" s="15"/>
    </row>
    <row r="57" ht="12.75" customHeight="1" spans="2:39" x14ac:dyDescent="0.25">
      <c r="B57" s="16"/>
      <c r="C57" s="17"/>
      <c r="D57" s="17" t="s">
        <v>41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16"/>
      <c r="C58" s="17"/>
      <c r="D58" s="17" t="s">
        <v>42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16"/>
      <c r="C59" s="17"/>
      <c r="D59" s="17" t="s">
        <v>43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44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20"/>
      <c r="C61" s="21"/>
      <c r="D61" s="21" t="s">
        <v>45</v>
      </c>
      <c r="E61" s="21"/>
      <c r="F61" s="21"/>
      <c r="G61" s="25">
        <f>G57+G58+G59+G60</f>
      </c>
      <c r="H61" s="25">
        <f>H57+H58+H59+H60</f>
      </c>
      <c r="I61" s="25">
        <f>I57+I58+I59+I60</f>
      </c>
      <c r="J61" s="25">
        <f>J57+J58+J59+J60</f>
      </c>
      <c r="K61" s="25">
        <f>K57+K58+K59+K60</f>
      </c>
      <c r="L61" s="25">
        <f>L57+L58+L59+L60</f>
      </c>
      <c r="M61" s="25">
        <f>M57+M58+M59+M60</f>
      </c>
      <c r="N61" s="25">
        <f>N57+N58+N59+N60</f>
      </c>
      <c r="O61" s="25">
        <f>O57+O58+O59+O60</f>
      </c>
      <c r="P61" s="25">
        <f>P57+P58+P59+P60</f>
      </c>
      <c r="Q61" s="25">
        <f>Q57+Q58+Q59+Q60</f>
      </c>
      <c r="R61" s="25">
        <f>R57+R58+R59+R60</f>
      </c>
      <c r="S61" s="25">
        <f>S57+S58+S59+S60</f>
      </c>
      <c r="T61" s="25">
        <f>T57+T58+T59+T60</f>
      </c>
      <c r="U61" s="25">
        <f>U57+U58+U59+U60</f>
      </c>
      <c r="V61" s="25">
        <f>V57+V58+V59+V60</f>
      </c>
      <c r="W61" s="25">
        <f>W57+W58+W59+W60</f>
      </c>
      <c r="X61" s="25">
        <f>X57+X58+X59+X60</f>
      </c>
      <c r="Y61" s="25">
        <f>Y57+Y58+Y59+Y60</f>
      </c>
      <c r="Z61" s="25">
        <f>Z57+Z58+Z59+Z60</f>
      </c>
      <c r="AA61" s="25">
        <f>AA57+AA58+AA59+AA60</f>
      </c>
      <c r="AB61" s="25">
        <f>AB57+AB58+AB59+AB60</f>
      </c>
      <c r="AC61" s="25">
        <f>AC57+AC58+AC59+AC60</f>
      </c>
      <c r="AD61" s="25">
        <f>AD57+AD58+AD59+AD60</f>
      </c>
      <c r="AE61" s="25">
        <f>AE57+AE58+AE59+AE60</f>
      </c>
      <c r="AF61" s="25">
        <f>AF57+AF58+AF59+AF60</f>
      </c>
      <c r="AG61" s="25">
        <f>AG57+AG58+AG59+AG60</f>
      </c>
      <c r="AH61" s="25">
        <f>AH57+AH58+AH59+AH60</f>
      </c>
      <c r="AI61" s="25">
        <f>AI57+AI58+AI59+AI60</f>
      </c>
      <c r="AJ61" s="25">
        <f>AJ57+AJ58+AJ59+AJ60</f>
      </c>
      <c r="AK61" s="25">
        <f>AK57+AK58+AK59+AK60</f>
      </c>
      <c r="AL61" s="25">
        <f>AL57+AL58+AL59+AL60</f>
      </c>
      <c r="AM61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1858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49</v>
      </c>
      <c r="D9" s="32" t="s">
        <v>1824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>
        <v>515.91</v>
      </c>
      <c r="AA9" s="36">
        <f>271.47+7.74</f>
        <v>279.21000000000004</v>
      </c>
      <c r="AB9" s="33">
        <v>237.96</v>
      </c>
      <c r="AC9" s="33">
        <v>401.84</v>
      </c>
      <c r="AD9" s="33">
        <v>1014.46</v>
      </c>
      <c r="AE9" s="33">
        <v>1515.41</v>
      </c>
      <c r="AF9" s="33">
        <v>2056.12</v>
      </c>
      <c r="AG9" s="33">
        <v>2340.68</v>
      </c>
      <c r="AH9" s="33">
        <v>1805.81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49</v>
      </c>
      <c r="D10" s="32" t="s">
        <v>1825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3">
        <v>60.03</v>
      </c>
      <c r="Z10" s="33">
        <v>-4.08</v>
      </c>
      <c r="AA10" s="33">
        <v>49.76</v>
      </c>
      <c r="AB10" s="33">
        <v>49.72</v>
      </c>
      <c r="AC10" s="33">
        <v>53.52</v>
      </c>
      <c r="AD10" s="33">
        <v>54.72</v>
      </c>
      <c r="AE10" s="33">
        <v>73.84</v>
      </c>
      <c r="AF10" s="33">
        <v>113.2</v>
      </c>
      <c r="AG10" s="33">
        <v>133.98</v>
      </c>
      <c r="AH10" s="33">
        <v>624.06</v>
      </c>
      <c r="AI10" s="32"/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65</v>
      </c>
      <c r="D15" s="32" t="s">
        <v>1859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>
        <v>-180.56</v>
      </c>
      <c r="Z15" s="33">
        <v>-159.3</v>
      </c>
      <c r="AA15" s="33">
        <v>-138.04</v>
      </c>
      <c r="AB15" s="33">
        <v>-116.78</v>
      </c>
      <c r="AC15" s="33">
        <v>-95.52</v>
      </c>
      <c r="AD15" s="33">
        <v>-35.6</v>
      </c>
      <c r="AE15" s="33">
        <v>25.36</v>
      </c>
      <c r="AF15" s="33">
        <v>23.27</v>
      </c>
      <c r="AG15" s="33">
        <v>31.89</v>
      </c>
      <c r="AH15" s="33">
        <v>32.46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65</v>
      </c>
      <c r="D16" s="32" t="s">
        <v>1860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869.19</v>
      </c>
      <c r="AB16" s="33">
        <v>115.19</v>
      </c>
      <c r="AC16" s="32"/>
      <c r="AD16" s="32"/>
      <c r="AE16" s="32"/>
      <c r="AF16" s="32"/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65</v>
      </c>
      <c r="D17" s="32" t="s">
        <v>1861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>
        <v>91.57</v>
      </c>
      <c r="Z17" s="33">
        <v>46.33</v>
      </c>
      <c r="AA17" s="33">
        <v>132.41</v>
      </c>
      <c r="AB17" s="33">
        <v>118.23</v>
      </c>
      <c r="AC17" s="33">
        <v>91.16</v>
      </c>
      <c r="AD17" s="33">
        <v>56.87</v>
      </c>
      <c r="AE17" s="33">
        <v>41.86</v>
      </c>
      <c r="AF17" s="33">
        <v>26.88</v>
      </c>
      <c r="AG17" s="33">
        <v>35.96</v>
      </c>
      <c r="AH17" s="33">
        <v>50.19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65</v>
      </c>
      <c r="D18" s="32" t="s">
        <v>1862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6">
        <f>14.18+68.23</f>
        <v>82.41</v>
      </c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65</v>
      </c>
      <c r="D19" s="32" t="s">
        <v>1863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6">
        <f>0.00+121.69</f>
        <v>121.69</v>
      </c>
      <c r="AE19" s="33">
        <v>38.06</v>
      </c>
      <c r="AF19" s="33">
        <v>31.89</v>
      </c>
      <c r="AG19" s="33">
        <v>31.89</v>
      </c>
      <c r="AH19" s="33">
        <v>31.89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65</v>
      </c>
      <c r="D20" s="32" t="s">
        <v>1864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3">
        <v>290</v>
      </c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65</v>
      </c>
      <c r="D21" s="32" t="s">
        <v>1865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>
        <v>22.09</v>
      </c>
      <c r="Z21" s="33">
        <v>0.17</v>
      </c>
      <c r="AA21" s="33">
        <v>22.42</v>
      </c>
      <c r="AB21" s="33">
        <v>22.49</v>
      </c>
      <c r="AC21" s="33">
        <v>22.49</v>
      </c>
      <c r="AD21" s="33">
        <v>0</v>
      </c>
      <c r="AE21" s="32"/>
      <c r="AF21" s="32"/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65</v>
      </c>
      <c r="D22" s="32" t="s">
        <v>1866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3">
        <v>135.8</v>
      </c>
      <c r="Z22" s="33">
        <v>54.65</v>
      </c>
      <c r="AA22" s="33">
        <v>194.35</v>
      </c>
      <c r="AB22" s="33">
        <v>76.07</v>
      </c>
      <c r="AC22" s="33">
        <v>22.63</v>
      </c>
      <c r="AD22" s="33">
        <v>33.18</v>
      </c>
      <c r="AE22" s="33">
        <v>33.42</v>
      </c>
      <c r="AF22" s="33">
        <v>23.49</v>
      </c>
      <c r="AG22" s="33">
        <v>33.17</v>
      </c>
      <c r="AH22" s="33">
        <v>33.29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65</v>
      </c>
      <c r="D23" s="32" t="s">
        <v>1867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3">
        <v>21.26</v>
      </c>
      <c r="Z23" s="33">
        <v>0</v>
      </c>
      <c r="AA23" s="33">
        <v>21.26</v>
      </c>
      <c r="AB23" s="33">
        <v>21.26</v>
      </c>
      <c r="AC23" s="33">
        <v>21.26</v>
      </c>
      <c r="AD23" s="33">
        <v>0</v>
      </c>
      <c r="AE23" s="32"/>
      <c r="AF23" s="32"/>
      <c r="AG23" s="32"/>
      <c r="AH23" s="32"/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65</v>
      </c>
      <c r="D24" s="32" t="s">
        <v>1868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>
        <v>48.45</v>
      </c>
      <c r="AC24" s="33">
        <v>38.27</v>
      </c>
      <c r="AD24" s="33">
        <v>42.9</v>
      </c>
      <c r="AE24" s="33">
        <v>42.56</v>
      </c>
      <c r="AF24" s="33">
        <v>42.61</v>
      </c>
      <c r="AG24" s="33">
        <v>41.22</v>
      </c>
      <c r="AH24" s="33">
        <v>41.7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65</v>
      </c>
      <c r="D25" s="32" t="s">
        <v>1869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3">
        <v>290</v>
      </c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65</v>
      </c>
      <c r="D26" s="32" t="s">
        <v>1870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49.68</v>
      </c>
      <c r="AC26" s="33">
        <v>28.48</v>
      </c>
      <c r="AD26" s="33">
        <v>31.89</v>
      </c>
      <c r="AE26" s="33">
        <v>31.89</v>
      </c>
      <c r="AF26" s="33">
        <v>-31.89</v>
      </c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65</v>
      </c>
      <c r="D27" s="32" t="s">
        <v>1871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3">
        <v>290</v>
      </c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65</v>
      </c>
      <c r="D28" s="32" t="s">
        <v>1872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3">
        <v>950.18</v>
      </c>
      <c r="Z28" s="33">
        <v>372</v>
      </c>
      <c r="AA28" s="33">
        <v>1367.61</v>
      </c>
      <c r="AB28" s="36">
        <f>-146.37+1221.24</f>
        <v>1074.87</v>
      </c>
      <c r="AC28" s="36">
        <f>866.80+146.37</f>
        <v>1013.17</v>
      </c>
      <c r="AD28" s="33">
        <v>645.29</v>
      </c>
      <c r="AE28" s="33">
        <v>645.71</v>
      </c>
      <c r="AF28" s="33">
        <v>708.86</v>
      </c>
      <c r="AG28" s="33">
        <v>742.7</v>
      </c>
      <c r="AH28" s="33">
        <v>644.68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65</v>
      </c>
      <c r="D29" s="32" t="s">
        <v>1873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3">
        <v>31.09</v>
      </c>
      <c r="Z29" s="33">
        <v>-0.37</v>
      </c>
      <c r="AA29" s="33">
        <v>30.47</v>
      </c>
      <c r="AB29" s="36">
        <f>0.18+30.47</f>
        <v>30.65</v>
      </c>
      <c r="AC29" s="33">
        <v>31.02</v>
      </c>
      <c r="AD29" s="33">
        <v>31.08</v>
      </c>
      <c r="AE29" s="33">
        <v>30.91</v>
      </c>
      <c r="AF29" s="33">
        <v>27.48</v>
      </c>
      <c r="AG29" s="33">
        <v>30.92</v>
      </c>
      <c r="AH29" s="33">
        <v>31.89</v>
      </c>
      <c r="AI29" s="32"/>
      <c r="AJ29" s="34">
        <f>SUM(E29:AI29)</f>
      </c>
      <c r="AK29" s="35"/>
    </row>
    <row r="30" ht="12.75" customHeight="1" spans="2:37" x14ac:dyDescent="0.25"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ht="12.75" customHeight="1" spans="2:37" x14ac:dyDescent="0.25">
      <c r="B31" s="20" t="s">
        <v>85</v>
      </c>
      <c r="C31" s="21"/>
      <c r="D31" s="21"/>
      <c r="E31" s="22">
        <f>SUM(E15:E29)</f>
      </c>
      <c r="F31" s="22">
        <f>SUM(F15:F29)</f>
      </c>
      <c r="G31" s="22">
        <f>SUM(G15:G29)</f>
      </c>
      <c r="H31" s="22">
        <f>SUM(H15:H29)</f>
      </c>
      <c r="I31" s="22">
        <f>SUM(I15:I29)</f>
      </c>
      <c r="J31" s="22">
        <f>SUM(J15:J29)</f>
      </c>
      <c r="K31" s="22">
        <f>SUM(K15:K29)</f>
      </c>
      <c r="L31" s="22">
        <f>SUM(L15:L29)</f>
      </c>
      <c r="M31" s="22">
        <f>SUM(M15:M29)</f>
      </c>
      <c r="N31" s="22">
        <f>SUM(N15:N29)</f>
      </c>
      <c r="O31" s="22">
        <f>SUM(O15:O29)</f>
      </c>
      <c r="P31" s="22">
        <f>SUM(P15:P29)</f>
      </c>
      <c r="Q31" s="22">
        <f>SUM(Q15:Q29)</f>
      </c>
      <c r="R31" s="22">
        <f>SUM(R15:R29)</f>
      </c>
      <c r="S31" s="22">
        <f>SUM(S15:S29)</f>
      </c>
      <c r="T31" s="22">
        <f>SUM(T15:T29)</f>
      </c>
      <c r="U31" s="22">
        <f>SUM(U15:U29)</f>
      </c>
      <c r="V31" s="22">
        <f>SUM(V15:V29)</f>
      </c>
      <c r="W31" s="22">
        <f>SUM(W15:W29)</f>
      </c>
      <c r="X31" s="22">
        <f>SUM(X15:X29)</f>
      </c>
      <c r="Y31" s="22">
        <f>SUM(Y15:Y29)</f>
      </c>
      <c r="Z31" s="22">
        <f>SUM(Z15:Z29)</f>
      </c>
      <c r="AA31" s="22">
        <f>SUM(AA15:AA29)</f>
      </c>
      <c r="AB31" s="22">
        <f>SUM(AB15:AB29)</f>
      </c>
      <c r="AC31" s="22">
        <f>SUM(AC15:AC29)</f>
      </c>
      <c r="AD31" s="22">
        <f>SUM(AD15:AD29)</f>
      </c>
      <c r="AE31" s="22">
        <f>SUM(AE15:AE29)</f>
      </c>
      <c r="AF31" s="22">
        <f>SUM(AF15:AF29)</f>
      </c>
      <c r="AG31" s="22">
        <f>SUM(AG15:AG29)</f>
      </c>
      <c r="AH31" s="22">
        <f>SUM(AH15:AH29)</f>
      </c>
      <c r="AI31" s="22">
        <f>SUM(AI15:AI29)</f>
      </c>
      <c r="AJ31" s="22">
        <f>SUM(AJ15:AJ29)</f>
      </c>
      <c r="AK31" s="23"/>
    </row>
    <row r="33" ht="12.75" customHeight="1" spans="2:37" x14ac:dyDescent="0.25">
      <c r="B33" s="26" t="s">
        <v>43</v>
      </c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9"/>
    </row>
    <row r="34" ht="12.75" customHeight="1" spans="2:37" x14ac:dyDescent="0.25">
      <c r="B34" s="30" t="s">
        <v>43</v>
      </c>
      <c r="C34" s="31" t="s">
        <v>86</v>
      </c>
      <c r="D34" s="32" t="s">
        <v>1874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6">
        <f>281.80+824.98</f>
        <v>1106.78</v>
      </c>
      <c r="Y34" s="36">
        <f>297.40+762.65</f>
        <v>1060.05</v>
      </c>
      <c r="Z34" s="36">
        <f>-764.26+805.80</f>
        <v>41.539999999999964</v>
      </c>
      <c r="AA34" s="36">
        <f>268.63+791.42</f>
        <v>1060.05</v>
      </c>
      <c r="AB34" s="36">
        <f>279.02+791.42</f>
        <v>1070.44</v>
      </c>
      <c r="AC34" s="36">
        <f>338.94+762.65</f>
        <v>1101.59</v>
      </c>
      <c r="AD34" s="36">
        <f>348.46+940.04</f>
        <v>1288.5</v>
      </c>
      <c r="AE34" s="36">
        <f>365.59+896.89</f>
        <v>1262.48</v>
      </c>
      <c r="AF34" s="36">
        <f>322.12+872.92</f>
        <v>1195.04</v>
      </c>
      <c r="AG34" s="36">
        <f>400.62+1126.33</f>
        <v>1526.9499999999998</v>
      </c>
      <c r="AH34" s="36">
        <f>391.45+929.65</f>
        <v>1321.1</v>
      </c>
      <c r="AI34" s="32"/>
      <c r="AJ34" s="34">
        <f>SUM(E34:AI34)</f>
      </c>
      <c r="AK34" s="35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89</v>
      </c>
      <c r="C36" s="21"/>
      <c r="D36" s="21"/>
      <c r="E36" s="22">
        <f>SUM(E34:E34)</f>
      </c>
      <c r="F36" s="22">
        <f>SUM(F34:F34)</f>
      </c>
      <c r="G36" s="22">
        <f>SUM(G34:G34)</f>
      </c>
      <c r="H36" s="22">
        <f>SUM(H34:H34)</f>
      </c>
      <c r="I36" s="22">
        <f>SUM(I34:I34)</f>
      </c>
      <c r="J36" s="22">
        <f>SUM(J34:J34)</f>
      </c>
      <c r="K36" s="22">
        <f>SUM(K34:K34)</f>
      </c>
      <c r="L36" s="22">
        <f>SUM(L34:L34)</f>
      </c>
      <c r="M36" s="22">
        <f>SUM(M34:M34)</f>
      </c>
      <c r="N36" s="22">
        <f>SUM(N34:N34)</f>
      </c>
      <c r="O36" s="22">
        <f>SUM(O34:O34)</f>
      </c>
      <c r="P36" s="22">
        <f>SUM(P34:P34)</f>
      </c>
      <c r="Q36" s="22">
        <f>SUM(Q34:Q34)</f>
      </c>
      <c r="R36" s="22">
        <f>SUM(R34:R34)</f>
      </c>
      <c r="S36" s="22">
        <f>SUM(S34:S34)</f>
      </c>
      <c r="T36" s="22">
        <f>SUM(T34:T34)</f>
      </c>
      <c r="U36" s="22">
        <f>SUM(U34:U34)</f>
      </c>
      <c r="V36" s="22">
        <f>SUM(V34:V34)</f>
      </c>
      <c r="W36" s="22">
        <f>SUM(W34:W34)</f>
      </c>
      <c r="X36" s="22">
        <f>SUM(X34:X34)</f>
      </c>
      <c r="Y36" s="22">
        <f>SUM(Y34:Y34)</f>
      </c>
      <c r="Z36" s="22">
        <f>SUM(Z34:Z34)</f>
      </c>
      <c r="AA36" s="22">
        <f>SUM(AA34:AA34)</f>
      </c>
      <c r="AB36" s="22">
        <f>SUM(AB34:AB34)</f>
      </c>
      <c r="AC36" s="22">
        <f>SUM(AC34:AC34)</f>
      </c>
      <c r="AD36" s="22">
        <f>SUM(AD34:AD34)</f>
      </c>
      <c r="AE36" s="22">
        <f>SUM(AE34:AE34)</f>
      </c>
      <c r="AF36" s="22">
        <f>SUM(AF34:AF34)</f>
      </c>
      <c r="AG36" s="22">
        <f>SUM(AG34:AG34)</f>
      </c>
      <c r="AH36" s="22">
        <f>SUM(AH34:AH34)</f>
      </c>
      <c r="AI36" s="22">
        <f>SUM(AI34:AI34)</f>
      </c>
      <c r="AJ36" s="22">
        <f>SUM(AJ34:AJ34)</f>
      </c>
      <c r="AK36" s="23"/>
    </row>
    <row r="38" ht="12.75" customHeight="1" spans="2:37" x14ac:dyDescent="0.25">
      <c r="B38" s="26" t="s">
        <v>44</v>
      </c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9"/>
    </row>
    <row r="39" ht="12.75" customHeight="1" spans="2:37" x14ac:dyDescent="0.25">
      <c r="B39" s="37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40"/>
    </row>
    <row r="40" ht="12.75" customHeight="1" spans="2:37" x14ac:dyDescent="0.25">
      <c r="B40" s="20" t="s">
        <v>90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3"/>
    </row>
    <row r="43" ht="12.75" customHeight="1" spans="2:37" x14ac:dyDescent="0.25">
      <c r="B43" s="11" t="s">
        <v>40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>
        <f>E12</f>
      </c>
      <c r="F44" s="18">
        <f>F12</f>
      </c>
      <c r="G44" s="18">
        <f>G12</f>
      </c>
      <c r="H44" s="18">
        <f>H12</f>
      </c>
      <c r="I44" s="18">
        <f>I12</f>
      </c>
      <c r="J44" s="18">
        <f>J12</f>
      </c>
      <c r="K44" s="18">
        <f>K12</f>
      </c>
      <c r="L44" s="18">
        <f>L12</f>
      </c>
      <c r="M44" s="18">
        <f>M12</f>
      </c>
      <c r="N44" s="18">
        <f>N12</f>
      </c>
      <c r="O44" s="18">
        <f>O12</f>
      </c>
      <c r="P44" s="18">
        <f>P12</f>
      </c>
      <c r="Q44" s="18">
        <f>Q12</f>
      </c>
      <c r="R44" s="18">
        <f>R12</f>
      </c>
      <c r="S44" s="18">
        <f>S12</f>
      </c>
      <c r="T44" s="18">
        <f>T12</f>
      </c>
      <c r="U44" s="18">
        <f>U12</f>
      </c>
      <c r="V44" s="18">
        <f>V12</f>
      </c>
      <c r="W44" s="18">
        <f>W12</f>
      </c>
      <c r="X44" s="18">
        <f>X12</f>
      </c>
      <c r="Y44" s="18">
        <f>Y12</f>
      </c>
      <c r="Z44" s="18">
        <f>Z12</f>
      </c>
      <c r="AA44" s="18">
        <f>AA12</f>
      </c>
      <c r="AB44" s="18">
        <f>AB12</f>
      </c>
      <c r="AC44" s="18">
        <f>AC12</f>
      </c>
      <c r="AD44" s="18">
        <f>AD12</f>
      </c>
      <c r="AE44" s="18">
        <f>AE12</f>
      </c>
      <c r="AF44" s="18">
        <f>AF12</f>
      </c>
      <c r="AG44" s="18">
        <f>AG12</f>
      </c>
      <c r="AH44" s="18">
        <f>AH12</f>
      </c>
      <c r="AI44" s="18">
        <f>AI12</f>
      </c>
      <c r="AJ44" s="18">
        <f>AJ12</f>
      </c>
      <c r="AK44" s="19"/>
    </row>
    <row r="45" ht="12.75" customHeight="1" spans="2:37" x14ac:dyDescent="0.25">
      <c r="B45" s="16" t="s">
        <v>42</v>
      </c>
      <c r="C45" s="17"/>
      <c r="D45" s="17"/>
      <c r="E45" s="18">
        <f>E31</f>
      </c>
      <c r="F45" s="18">
        <f>F31</f>
      </c>
      <c r="G45" s="18">
        <f>G31</f>
      </c>
      <c r="H45" s="18">
        <f>H31</f>
      </c>
      <c r="I45" s="18">
        <f>I31</f>
      </c>
      <c r="J45" s="18">
        <f>J31</f>
      </c>
      <c r="K45" s="18">
        <f>K31</f>
      </c>
      <c r="L45" s="18">
        <f>L31</f>
      </c>
      <c r="M45" s="18">
        <f>M31</f>
      </c>
      <c r="N45" s="18">
        <f>N31</f>
      </c>
      <c r="O45" s="18">
        <f>O31</f>
      </c>
      <c r="P45" s="18">
        <f>P31</f>
      </c>
      <c r="Q45" s="18">
        <f>Q31</f>
      </c>
      <c r="R45" s="18">
        <f>R31</f>
      </c>
      <c r="S45" s="18">
        <f>S31</f>
      </c>
      <c r="T45" s="18">
        <f>T31</f>
      </c>
      <c r="U45" s="18">
        <f>U31</f>
      </c>
      <c r="V45" s="18">
        <f>V31</f>
      </c>
      <c r="W45" s="18">
        <f>W31</f>
      </c>
      <c r="X45" s="18">
        <f>X31</f>
      </c>
      <c r="Y45" s="18">
        <f>Y31</f>
      </c>
      <c r="Z45" s="18">
        <f>Z31</f>
      </c>
      <c r="AA45" s="18">
        <f>AA31</f>
      </c>
      <c r="AB45" s="18">
        <f>AB31</f>
      </c>
      <c r="AC45" s="18">
        <f>AC31</f>
      </c>
      <c r="AD45" s="18">
        <f>AD31</f>
      </c>
      <c r="AE45" s="18">
        <f>AE31</f>
      </c>
      <c r="AF45" s="18">
        <f>AF31</f>
      </c>
      <c r="AG45" s="18">
        <f>AG31</f>
      </c>
      <c r="AH45" s="18">
        <f>AH31</f>
      </c>
      <c r="AI45" s="18">
        <f>AI31</f>
      </c>
      <c r="AJ45" s="18">
        <f>AJ31</f>
      </c>
      <c r="AK45" s="19"/>
    </row>
    <row r="46" ht="12.75" customHeight="1" spans="2:37" x14ac:dyDescent="0.25">
      <c r="B46" s="16" t="s">
        <v>43</v>
      </c>
      <c r="C46" s="17"/>
      <c r="D46" s="17"/>
      <c r="E46" s="18">
        <f>E36</f>
      </c>
      <c r="F46" s="18">
        <f>F36</f>
      </c>
      <c r="G46" s="18">
        <f>G36</f>
      </c>
      <c r="H46" s="18">
        <f>H36</f>
      </c>
      <c r="I46" s="18">
        <f>I36</f>
      </c>
      <c r="J46" s="18">
        <f>J36</f>
      </c>
      <c r="K46" s="18">
        <f>K36</f>
      </c>
      <c r="L46" s="18">
        <f>L36</f>
      </c>
      <c r="M46" s="18">
        <f>M36</f>
      </c>
      <c r="N46" s="18">
        <f>N36</f>
      </c>
      <c r="O46" s="18">
        <f>O36</f>
      </c>
      <c r="P46" s="18">
        <f>P36</f>
      </c>
      <c r="Q46" s="18">
        <f>Q36</f>
      </c>
      <c r="R46" s="18">
        <f>R36</f>
      </c>
      <c r="S46" s="18">
        <f>S36</f>
      </c>
      <c r="T46" s="18">
        <f>T36</f>
      </c>
      <c r="U46" s="18">
        <f>U36</f>
      </c>
      <c r="V46" s="18">
        <f>V36</f>
      </c>
      <c r="W46" s="18">
        <f>W36</f>
      </c>
      <c r="X46" s="18">
        <f>X36</f>
      </c>
      <c r="Y46" s="18">
        <f>Y36</f>
      </c>
      <c r="Z46" s="18">
        <f>Z36</f>
      </c>
      <c r="AA46" s="18">
        <f>AA36</f>
      </c>
      <c r="AB46" s="18">
        <f>AB36</f>
      </c>
      <c r="AC46" s="18">
        <f>AC36</f>
      </c>
      <c r="AD46" s="18">
        <f>AD36</f>
      </c>
      <c r="AE46" s="18">
        <f>AE36</f>
      </c>
      <c r="AF46" s="18">
        <f>AF36</f>
      </c>
      <c r="AG46" s="18">
        <f>AG36</f>
      </c>
      <c r="AH46" s="18">
        <f>AH36</f>
      </c>
      <c r="AI46" s="18">
        <f>AI36</f>
      </c>
      <c r="AJ46" s="18">
        <f>AJ36</f>
      </c>
      <c r="AK46" s="19"/>
    </row>
    <row r="47" ht="12.75" customHeight="1" spans="2:37" x14ac:dyDescent="0.25">
      <c r="B47" s="16" t="s">
        <v>44</v>
      </c>
      <c r="C47" s="17"/>
      <c r="D47" s="17"/>
      <c r="E47" s="18">
        <f>E40</f>
      </c>
      <c r="F47" s="18">
        <f>F40</f>
      </c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46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42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43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44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20" t="s">
        <v>45</v>
      </c>
      <c r="C55" s="21"/>
      <c r="D55" s="21"/>
      <c r="E55" s="22">
        <f>E51+E52+E53+E54</f>
      </c>
      <c r="F55" s="22">
        <f>F51+F52+F53+F54</f>
      </c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3"/>
    </row>
    <row r="57" ht="12.75" customHeight="1" spans="2:37" x14ac:dyDescent="0.25">
      <c r="B57" s="11" t="s">
        <v>47</v>
      </c>
      <c r="C57" s="12"/>
      <c r="D57" s="13"/>
      <c r="E57" s="14" t="s">
        <v>7</v>
      </c>
      <c r="F57" s="14" t="s">
        <v>8</v>
      </c>
      <c r="G57" s="14" t="s">
        <v>9</v>
      </c>
      <c r="H57" s="14" t="s">
        <v>10</v>
      </c>
      <c r="I57" s="14" t="s">
        <v>11</v>
      </c>
      <c r="J57" s="14" t="s">
        <v>12</v>
      </c>
      <c r="K57" s="14" t="s">
        <v>13</v>
      </c>
      <c r="L57" s="14" t="s">
        <v>14</v>
      </c>
      <c r="M57" s="14" t="s">
        <v>15</v>
      </c>
      <c r="N57" s="14" t="s">
        <v>16</v>
      </c>
      <c r="O57" s="14" t="s">
        <v>17</v>
      </c>
      <c r="P57" s="14" t="s">
        <v>18</v>
      </c>
      <c r="Q57" s="14" t="s">
        <v>19</v>
      </c>
      <c r="R57" s="14" t="s">
        <v>20</v>
      </c>
      <c r="S57" s="14" t="s">
        <v>21</v>
      </c>
      <c r="T57" s="14" t="s">
        <v>22</v>
      </c>
      <c r="U57" s="14" t="s">
        <v>23</v>
      </c>
      <c r="V57" s="14" t="s">
        <v>24</v>
      </c>
      <c r="W57" s="14" t="s">
        <v>25</v>
      </c>
      <c r="X57" s="14" t="s">
        <v>26</v>
      </c>
      <c r="Y57" s="14" t="s">
        <v>27</v>
      </c>
      <c r="Z57" s="14" t="s">
        <v>28</v>
      </c>
      <c r="AA57" s="14" t="s">
        <v>29</v>
      </c>
      <c r="AB57" s="14" t="s">
        <v>30</v>
      </c>
      <c r="AC57" s="14" t="s">
        <v>31</v>
      </c>
      <c r="AD57" s="14" t="s">
        <v>32</v>
      </c>
      <c r="AE57" s="14" t="s">
        <v>33</v>
      </c>
      <c r="AF57" s="14" t="s">
        <v>34</v>
      </c>
      <c r="AG57" s="14" t="s">
        <v>35</v>
      </c>
      <c r="AH57" s="14" t="s">
        <v>36</v>
      </c>
      <c r="AI57" s="14" t="s">
        <v>37</v>
      </c>
      <c r="AJ57" s="14" t="s">
        <v>38</v>
      </c>
      <c r="AK57" s="15"/>
    </row>
    <row r="58" ht="12.75" customHeight="1" spans="2:37" x14ac:dyDescent="0.25">
      <c r="B58" s="16" t="s">
        <v>41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42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43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44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20" t="s">
        <v>45</v>
      </c>
      <c r="C62" s="21"/>
      <c r="D62" s="21"/>
      <c r="E62" s="25">
        <f>E58+E59+E60+E61</f>
      </c>
      <c r="F62" s="25">
        <f>F58+F59+F60+F61</f>
      </c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3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1858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3</v>
      </c>
      <c r="X8" s="44" t="s">
        <v>3</v>
      </c>
      <c r="Y8" s="44" t="s">
        <v>3</v>
      </c>
      <c r="Z8" s="44" t="s">
        <v>1875</v>
      </c>
      <c r="AA8" s="44" t="s">
        <v>1857</v>
      </c>
      <c r="AB8" s="44" t="s">
        <v>1876</v>
      </c>
      <c r="AC8" s="44" t="s">
        <v>1877</v>
      </c>
      <c r="AD8" s="44" t="s">
        <v>1878</v>
      </c>
      <c r="AE8" s="44" t="s">
        <v>1879</v>
      </c>
      <c r="AF8" s="44" t="s">
        <v>1880</v>
      </c>
      <c r="AG8" s="44" t="s">
        <v>1881</v>
      </c>
      <c r="AH8" s="44" t="s">
        <v>1882</v>
      </c>
      <c r="AI8" s="44" t="s">
        <v>1883</v>
      </c>
      <c r="AJ8" s="44" t="s">
        <v>1884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1858</v>
      </c>
      <c r="D10" s="50" t="s">
        <v>41</v>
      </c>
      <c r="E10" s="32" t="s">
        <v>49</v>
      </c>
      <c r="F10" s="32" t="s">
        <v>1824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3">
        <v>515.91</v>
      </c>
      <c r="AC10" s="33">
        <f>271.47+7.74</f>
        <v>279.21000000000004</v>
      </c>
      <c r="AD10" s="33">
        <v>237.96</v>
      </c>
      <c r="AE10" s="33">
        <v>401.84</v>
      </c>
      <c r="AF10" s="33">
        <v>1014.46</v>
      </c>
      <c r="AG10" s="33">
        <v>1515.41</v>
      </c>
      <c r="AH10" s="33">
        <v>2056.12</v>
      </c>
      <c r="AI10" s="33">
        <v>2340.68</v>
      </c>
      <c r="AJ10" s="33">
        <v>1805.81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1858</v>
      </c>
      <c r="D11" s="50" t="s">
        <v>41</v>
      </c>
      <c r="E11" s="32" t="s">
        <v>49</v>
      </c>
      <c r="F11" s="32" t="s">
        <v>1825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>
        <v>60.03</v>
      </c>
      <c r="AB11" s="33">
        <v>-4.08</v>
      </c>
      <c r="AC11" s="33">
        <v>49.76</v>
      </c>
      <c r="AD11" s="33">
        <v>49.72</v>
      </c>
      <c r="AE11" s="33">
        <v>53.52</v>
      </c>
      <c r="AF11" s="33">
        <v>54.72</v>
      </c>
      <c r="AG11" s="33">
        <v>73.84</v>
      </c>
      <c r="AH11" s="33">
        <v>113.2</v>
      </c>
      <c r="AI11" s="33">
        <v>133.98</v>
      </c>
      <c r="AJ11" s="33">
        <v>624.06</v>
      </c>
      <c r="AK11" s="32"/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1858</v>
      </c>
      <c r="D16" s="50" t="s">
        <v>42</v>
      </c>
      <c r="E16" s="32" t="s">
        <v>65</v>
      </c>
      <c r="F16" s="32" t="s">
        <v>1859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>
        <v>-180.56</v>
      </c>
      <c r="AB16" s="33">
        <v>-159.3</v>
      </c>
      <c r="AC16" s="33">
        <v>-138.04</v>
      </c>
      <c r="AD16" s="33">
        <v>-116.78</v>
      </c>
      <c r="AE16" s="33">
        <v>-95.52</v>
      </c>
      <c r="AF16" s="33">
        <v>-35.6</v>
      </c>
      <c r="AG16" s="33">
        <v>25.36</v>
      </c>
      <c r="AH16" s="33">
        <v>23.27</v>
      </c>
      <c r="AI16" s="33">
        <v>31.89</v>
      </c>
      <c r="AJ16" s="33">
        <v>32.46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1858</v>
      </c>
      <c r="D17" s="50" t="s">
        <v>42</v>
      </c>
      <c r="E17" s="32" t="s">
        <v>65</v>
      </c>
      <c r="F17" s="32" t="s">
        <v>1860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3">
        <v>869.19</v>
      </c>
      <c r="AD17" s="33">
        <v>115.19</v>
      </c>
      <c r="AE17" s="32"/>
      <c r="AF17" s="32"/>
      <c r="AG17" s="32"/>
      <c r="AH17" s="32"/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1858</v>
      </c>
      <c r="D18" s="50" t="s">
        <v>42</v>
      </c>
      <c r="E18" s="32" t="s">
        <v>65</v>
      </c>
      <c r="F18" s="32" t="s">
        <v>1861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>
        <v>91.57</v>
      </c>
      <c r="AB18" s="33">
        <v>46.33</v>
      </c>
      <c r="AC18" s="33">
        <v>132.41</v>
      </c>
      <c r="AD18" s="33">
        <v>118.23</v>
      </c>
      <c r="AE18" s="33">
        <v>91.16</v>
      </c>
      <c r="AF18" s="33">
        <v>56.87</v>
      </c>
      <c r="AG18" s="33">
        <v>41.86</v>
      </c>
      <c r="AH18" s="33">
        <v>26.88</v>
      </c>
      <c r="AI18" s="33">
        <v>35.96</v>
      </c>
      <c r="AJ18" s="33">
        <v>50.19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1858</v>
      </c>
      <c r="D19" s="50" t="s">
        <v>42</v>
      </c>
      <c r="E19" s="32" t="s">
        <v>65</v>
      </c>
      <c r="F19" s="32" t="s">
        <v>1862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3">
        <f>14.18+68.23</f>
        <v>82.41</v>
      </c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1858</v>
      </c>
      <c r="D20" s="50" t="s">
        <v>42</v>
      </c>
      <c r="E20" s="32" t="s">
        <v>65</v>
      </c>
      <c r="F20" s="32" t="s">
        <v>1863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>
        <f>0.00+121.69</f>
        <v>121.69</v>
      </c>
      <c r="AG20" s="33">
        <v>38.06</v>
      </c>
      <c r="AH20" s="33">
        <v>31.89</v>
      </c>
      <c r="AI20" s="33">
        <v>31.89</v>
      </c>
      <c r="AJ20" s="33">
        <v>31.89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1858</v>
      </c>
      <c r="D21" s="50" t="s">
        <v>42</v>
      </c>
      <c r="E21" s="32" t="s">
        <v>65</v>
      </c>
      <c r="F21" s="32" t="s">
        <v>1864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>
        <v>290</v>
      </c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1858</v>
      </c>
      <c r="D22" s="50" t="s">
        <v>42</v>
      </c>
      <c r="E22" s="32" t="s">
        <v>65</v>
      </c>
      <c r="F22" s="32" t="s">
        <v>1865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>
        <v>22.09</v>
      </c>
      <c r="AB22" s="33">
        <v>0.17</v>
      </c>
      <c r="AC22" s="33">
        <v>22.42</v>
      </c>
      <c r="AD22" s="33">
        <v>22.49</v>
      </c>
      <c r="AE22" s="33">
        <v>22.49</v>
      </c>
      <c r="AF22" s="33">
        <v>0</v>
      </c>
      <c r="AG22" s="32"/>
      <c r="AH22" s="32"/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1858</v>
      </c>
      <c r="D23" s="50" t="s">
        <v>42</v>
      </c>
      <c r="E23" s="32" t="s">
        <v>65</v>
      </c>
      <c r="F23" s="32" t="s">
        <v>1866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>
        <v>135.8</v>
      </c>
      <c r="AB23" s="33">
        <v>54.65</v>
      </c>
      <c r="AC23" s="33">
        <v>194.35</v>
      </c>
      <c r="AD23" s="33">
        <v>76.07</v>
      </c>
      <c r="AE23" s="33">
        <v>22.63</v>
      </c>
      <c r="AF23" s="33">
        <v>33.18</v>
      </c>
      <c r="AG23" s="33">
        <v>33.42</v>
      </c>
      <c r="AH23" s="33">
        <v>23.49</v>
      </c>
      <c r="AI23" s="33">
        <v>33.17</v>
      </c>
      <c r="AJ23" s="33">
        <v>33.29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1858</v>
      </c>
      <c r="D24" s="50" t="s">
        <v>42</v>
      </c>
      <c r="E24" s="32" t="s">
        <v>65</v>
      </c>
      <c r="F24" s="32" t="s">
        <v>1867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>
        <v>21.26</v>
      </c>
      <c r="AB24" s="33">
        <v>0</v>
      </c>
      <c r="AC24" s="33">
        <v>21.26</v>
      </c>
      <c r="AD24" s="33">
        <v>21.26</v>
      </c>
      <c r="AE24" s="33">
        <v>21.26</v>
      </c>
      <c r="AF24" s="33">
        <v>0</v>
      </c>
      <c r="AG24" s="32"/>
      <c r="AH24" s="32"/>
      <c r="AI24" s="32"/>
      <c r="AJ24" s="32"/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1858</v>
      </c>
      <c r="D25" s="50" t="s">
        <v>42</v>
      </c>
      <c r="E25" s="32" t="s">
        <v>65</v>
      </c>
      <c r="F25" s="32" t="s">
        <v>1868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3">
        <v>48.45</v>
      </c>
      <c r="AE25" s="33">
        <v>38.27</v>
      </c>
      <c r="AF25" s="33">
        <v>42.9</v>
      </c>
      <c r="AG25" s="33">
        <v>42.56</v>
      </c>
      <c r="AH25" s="33">
        <v>42.61</v>
      </c>
      <c r="AI25" s="33">
        <v>41.22</v>
      </c>
      <c r="AJ25" s="33">
        <v>41.7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1858</v>
      </c>
      <c r="D26" s="50" t="s">
        <v>42</v>
      </c>
      <c r="E26" s="32" t="s">
        <v>65</v>
      </c>
      <c r="F26" s="32" t="s">
        <v>1869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3">
        <v>290</v>
      </c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1858</v>
      </c>
      <c r="D27" s="50" t="s">
        <v>42</v>
      </c>
      <c r="E27" s="32" t="s">
        <v>65</v>
      </c>
      <c r="F27" s="32" t="s">
        <v>1870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3">
        <v>49.68</v>
      </c>
      <c r="AE27" s="33">
        <v>28.48</v>
      </c>
      <c r="AF27" s="33">
        <v>31.89</v>
      </c>
      <c r="AG27" s="33">
        <v>31.89</v>
      </c>
      <c r="AH27" s="33">
        <v>-31.89</v>
      </c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1858</v>
      </c>
      <c r="D28" s="50" t="s">
        <v>42</v>
      </c>
      <c r="E28" s="32" t="s">
        <v>65</v>
      </c>
      <c r="F28" s="32" t="s">
        <v>1871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3">
        <v>290</v>
      </c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1858</v>
      </c>
      <c r="D29" s="50" t="s">
        <v>42</v>
      </c>
      <c r="E29" s="32" t="s">
        <v>65</v>
      </c>
      <c r="F29" s="32" t="s">
        <v>1872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>
        <v>950.18</v>
      </c>
      <c r="AB29" s="33">
        <v>372</v>
      </c>
      <c r="AC29" s="33">
        <v>1367.61</v>
      </c>
      <c r="AD29" s="33">
        <f>-146.37+1221.24</f>
        <v>1074.87</v>
      </c>
      <c r="AE29" s="33">
        <f>866.80+146.37</f>
        <v>1013.17</v>
      </c>
      <c r="AF29" s="33">
        <v>645.29</v>
      </c>
      <c r="AG29" s="33">
        <v>645.71</v>
      </c>
      <c r="AH29" s="33">
        <v>708.86</v>
      </c>
      <c r="AI29" s="33">
        <v>742.7</v>
      </c>
      <c r="AJ29" s="33">
        <v>644.68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1858</v>
      </c>
      <c r="D30" s="50" t="s">
        <v>42</v>
      </c>
      <c r="E30" s="32" t="s">
        <v>65</v>
      </c>
      <c r="F30" s="32" t="s">
        <v>1873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>
        <v>31.09</v>
      </c>
      <c r="AB30" s="33">
        <v>-0.37</v>
      </c>
      <c r="AC30" s="33">
        <v>30.47</v>
      </c>
      <c r="AD30" s="33">
        <f>0.18+30.47</f>
        <v>30.65</v>
      </c>
      <c r="AE30" s="33">
        <v>31.02</v>
      </c>
      <c r="AF30" s="33">
        <v>31.08</v>
      </c>
      <c r="AG30" s="33">
        <v>30.91</v>
      </c>
      <c r="AH30" s="33">
        <v>27.48</v>
      </c>
      <c r="AI30" s="33">
        <v>30.92</v>
      </c>
      <c r="AJ30" s="33">
        <v>31.89</v>
      </c>
      <c r="AK30" s="32"/>
      <c r="AL30" s="34">
        <f>SUM(G30:AK30)</f>
      </c>
      <c r="AM30" s="35"/>
    </row>
    <row r="31" ht="13.5" customHeight="1" spans="2:39" x14ac:dyDescent="0.25">
      <c r="B31" s="5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ht="13.5" customHeight="1" spans="2:39" x14ac:dyDescent="0.25">
      <c r="B32" s="20"/>
      <c r="C32" s="21"/>
      <c r="D32" s="21" t="s">
        <v>85</v>
      </c>
      <c r="E32" s="21"/>
      <c r="F32" s="21"/>
      <c r="G32" s="22">
        <f>SUM(G16:G30)</f>
      </c>
      <c r="H32" s="22">
        <f>SUM(H16:H30)</f>
      </c>
      <c r="I32" s="22">
        <f>SUM(I16:I30)</f>
      </c>
      <c r="J32" s="22">
        <f>SUM(J16:J30)</f>
      </c>
      <c r="K32" s="22">
        <f>SUM(K16:K30)</f>
      </c>
      <c r="L32" s="22">
        <f>SUM(L16:L30)</f>
      </c>
      <c r="M32" s="22">
        <f>SUM(M16:M30)</f>
      </c>
      <c r="N32" s="22">
        <f>SUM(N16:N30)</f>
      </c>
      <c r="O32" s="22">
        <f>SUM(O16:O30)</f>
      </c>
      <c r="P32" s="22">
        <f>SUM(P16:P30)</f>
      </c>
      <c r="Q32" s="22">
        <f>SUM(Q16:Q30)</f>
      </c>
      <c r="R32" s="22">
        <f>SUM(R16:R30)</f>
      </c>
      <c r="S32" s="22">
        <f>SUM(S16:S30)</f>
      </c>
      <c r="T32" s="22">
        <f>SUM(T16:T30)</f>
      </c>
      <c r="U32" s="22">
        <f>SUM(U16:U30)</f>
      </c>
      <c r="V32" s="22">
        <f>SUM(V16:V30)</f>
      </c>
      <c r="W32" s="22">
        <f>SUM(W16:W30)</f>
      </c>
      <c r="X32" s="22">
        <f>SUM(X16:X30)</f>
      </c>
      <c r="Y32" s="22">
        <f>SUM(Y16:Y30)</f>
      </c>
      <c r="Z32" s="22">
        <f>SUM(Z16:Z30)</f>
      </c>
      <c r="AA32" s="22">
        <f>SUM(AA16:AA30)</f>
      </c>
      <c r="AB32" s="22">
        <f>SUM(AB16:AB30)</f>
      </c>
      <c r="AC32" s="22">
        <f>SUM(AC16:AC30)</f>
      </c>
      <c r="AD32" s="22">
        <f>SUM(AD16:AD30)</f>
      </c>
      <c r="AE32" s="22">
        <f>SUM(AE16:AE30)</f>
      </c>
      <c r="AF32" s="22">
        <f>SUM(AF16:AF30)</f>
      </c>
      <c r="AG32" s="22">
        <f>SUM(AG16:AG30)</f>
      </c>
      <c r="AH32" s="22">
        <f>SUM(AH16:AH30)</f>
      </c>
      <c r="AI32" s="22">
        <f>SUM(AI16:AI30)</f>
      </c>
      <c r="AJ32" s="22">
        <f>SUM(AJ16:AJ30)</f>
      </c>
      <c r="AK32" s="22">
        <f>SUM(AK16:AK30)</f>
      </c>
      <c r="AL32" s="22">
        <f>SUM(AL16:AL30)</f>
      </c>
      <c r="AM32" s="23"/>
    </row>
    <row r="34" ht="13.5" customHeight="1" spans="2:39" x14ac:dyDescent="0.25">
      <c r="B34" s="46"/>
      <c r="C34" s="28"/>
      <c r="D34" s="47" t="s">
        <v>43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/>
    </row>
    <row r="35" ht="13.5" customHeight="1" spans="2:39" x14ac:dyDescent="0.25">
      <c r="B35" s="48" t="s">
        <v>3</v>
      </c>
      <c r="C35" s="49" t="s">
        <v>1858</v>
      </c>
      <c r="D35" s="50" t="s">
        <v>43</v>
      </c>
      <c r="E35" s="32" t="s">
        <v>86</v>
      </c>
      <c r="F35" s="32" t="s">
        <v>1874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3">
        <f>281.80+824.98</f>
        <v>1106.78</v>
      </c>
      <c r="AA35" s="33">
        <f>297.40+762.65</f>
        <v>1060.05</v>
      </c>
      <c r="AB35" s="33">
        <f>-764.26+805.80</f>
        <v>41.539999999999964</v>
      </c>
      <c r="AC35" s="33">
        <f>268.63+791.42</f>
        <v>1060.05</v>
      </c>
      <c r="AD35" s="33">
        <f>279.02+791.42</f>
        <v>1070.44</v>
      </c>
      <c r="AE35" s="33">
        <f>338.94+762.65</f>
        <v>1101.59</v>
      </c>
      <c r="AF35" s="33">
        <f>348.46+940.04</f>
        <v>1288.5</v>
      </c>
      <c r="AG35" s="33">
        <f>365.59+896.89</f>
        <v>1262.48</v>
      </c>
      <c r="AH35" s="33">
        <f>322.12+872.92</f>
        <v>1195.04</v>
      </c>
      <c r="AI35" s="33">
        <f>400.62+1126.33</f>
        <v>1526.9499999999998</v>
      </c>
      <c r="AJ35" s="33">
        <f>391.45+929.65</f>
        <v>1321.1</v>
      </c>
      <c r="AK35" s="32"/>
      <c r="AL35" s="34">
        <f>SUM(G35:AK35)</f>
      </c>
      <c r="AM35" s="35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89</v>
      </c>
      <c r="E37" s="21"/>
      <c r="F37" s="21"/>
      <c r="G37" s="22">
        <f>SUM(G35:G35)</f>
      </c>
      <c r="H37" s="22">
        <f>SUM(H35:H35)</f>
      </c>
      <c r="I37" s="22">
        <f>SUM(I35:I35)</f>
      </c>
      <c r="J37" s="22">
        <f>SUM(J35:J35)</f>
      </c>
      <c r="K37" s="22">
        <f>SUM(K35:K35)</f>
      </c>
      <c r="L37" s="22">
        <f>SUM(L35:L35)</f>
      </c>
      <c r="M37" s="22">
        <f>SUM(M35:M35)</f>
      </c>
      <c r="N37" s="22">
        <f>SUM(N35:N35)</f>
      </c>
      <c r="O37" s="22">
        <f>SUM(O35:O35)</f>
      </c>
      <c r="P37" s="22">
        <f>SUM(P35:P35)</f>
      </c>
      <c r="Q37" s="22">
        <f>SUM(Q35:Q35)</f>
      </c>
      <c r="R37" s="22">
        <f>SUM(R35:R35)</f>
      </c>
      <c r="S37" s="22">
        <f>SUM(S35:S35)</f>
      </c>
      <c r="T37" s="22">
        <f>SUM(T35:T35)</f>
      </c>
      <c r="U37" s="22">
        <f>SUM(U35:U35)</f>
      </c>
      <c r="V37" s="22">
        <f>SUM(V35:V35)</f>
      </c>
      <c r="W37" s="22">
        <f>SUM(W35:W35)</f>
      </c>
      <c r="X37" s="22">
        <f>SUM(X35:X35)</f>
      </c>
      <c r="Y37" s="22">
        <f>SUM(Y35:Y35)</f>
      </c>
      <c r="Z37" s="22">
        <f>SUM(Z35:Z35)</f>
      </c>
      <c r="AA37" s="22">
        <f>SUM(AA35:AA35)</f>
      </c>
      <c r="AB37" s="22">
        <f>SUM(AB35:AB35)</f>
      </c>
      <c r="AC37" s="22">
        <f>SUM(AC35:AC35)</f>
      </c>
      <c r="AD37" s="22">
        <f>SUM(AD35:AD35)</f>
      </c>
      <c r="AE37" s="22">
        <f>SUM(AE35:AE35)</f>
      </c>
      <c r="AF37" s="22">
        <f>SUM(AF35:AF35)</f>
      </c>
      <c r="AG37" s="22">
        <f>SUM(AG35:AG35)</f>
      </c>
      <c r="AH37" s="22">
        <f>SUM(AH35:AH35)</f>
      </c>
      <c r="AI37" s="22">
        <f>SUM(AI35:AI35)</f>
      </c>
      <c r="AJ37" s="22">
        <f>SUM(AJ35:AJ35)</f>
      </c>
      <c r="AK37" s="22">
        <f>SUM(AK35:AK35)</f>
      </c>
      <c r="AL37" s="22">
        <f>SUM(AL35:AL35)</f>
      </c>
      <c r="AM37" s="23"/>
    </row>
    <row r="39" ht="13.5" customHeight="1" spans="2:39" x14ac:dyDescent="0.25">
      <c r="B39" s="46"/>
      <c r="C39" s="28"/>
      <c r="D39" s="47" t="s">
        <v>44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9"/>
    </row>
    <row r="40" ht="13.5" customHeight="1" spans="2:39" x14ac:dyDescent="0.25">
      <c r="B40" s="5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0"/>
    </row>
    <row r="41" ht="13.5" customHeight="1" spans="2:39" x14ac:dyDescent="0.25">
      <c r="B41" s="20"/>
      <c r="C41" s="21"/>
      <c r="D41" s="21" t="s">
        <v>90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3"/>
    </row>
    <row r="44" ht="12.75" customHeight="1" spans="2:39" x14ac:dyDescent="0.25">
      <c r="B44" s="11" t="s">
        <v>40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>
        <f>G13</f>
      </c>
      <c r="H45" s="18">
        <f>H13</f>
      </c>
      <c r="I45" s="18">
        <f>I13</f>
      </c>
      <c r="J45" s="18">
        <f>J13</f>
      </c>
      <c r="K45" s="18">
        <f>K13</f>
      </c>
      <c r="L45" s="18">
        <f>L13</f>
      </c>
      <c r="M45" s="18">
        <f>M13</f>
      </c>
      <c r="N45" s="18">
        <f>N13</f>
      </c>
      <c r="O45" s="18">
        <f>O13</f>
      </c>
      <c r="P45" s="18">
        <f>P13</f>
      </c>
      <c r="Q45" s="18">
        <f>Q13</f>
      </c>
      <c r="R45" s="18">
        <f>R13</f>
      </c>
      <c r="S45" s="18">
        <f>S13</f>
      </c>
      <c r="T45" s="18">
        <f>T13</f>
      </c>
      <c r="U45" s="18">
        <f>U13</f>
      </c>
      <c r="V45" s="18">
        <f>V13</f>
      </c>
      <c r="W45" s="18">
        <f>W13</f>
      </c>
      <c r="X45" s="18">
        <f>X13</f>
      </c>
      <c r="Y45" s="18">
        <f>Y13</f>
      </c>
      <c r="Z45" s="18">
        <f>Z13</f>
      </c>
      <c r="AA45" s="18">
        <f>AA13</f>
      </c>
      <c r="AB45" s="18">
        <f>AB13</f>
      </c>
      <c r="AC45" s="18">
        <f>AC13</f>
      </c>
      <c r="AD45" s="18">
        <f>AD13</f>
      </c>
      <c r="AE45" s="18">
        <f>AE13</f>
      </c>
      <c r="AF45" s="18">
        <f>AF13</f>
      </c>
      <c r="AG45" s="18">
        <f>AG13</f>
      </c>
      <c r="AH45" s="18">
        <f>AH13</f>
      </c>
      <c r="AI45" s="18">
        <f>AI13</f>
      </c>
      <c r="AJ45" s="18">
        <f>AJ13</f>
      </c>
      <c r="AK45" s="18">
        <f>AK13</f>
      </c>
      <c r="AL45" s="18">
        <f>AL13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>
        <f>G32</f>
      </c>
      <c r="H46" s="18">
        <f>H32</f>
      </c>
      <c r="I46" s="18">
        <f>I32</f>
      </c>
      <c r="J46" s="18">
        <f>J32</f>
      </c>
      <c r="K46" s="18">
        <f>K32</f>
      </c>
      <c r="L46" s="18">
        <f>L32</f>
      </c>
      <c r="M46" s="18">
        <f>M32</f>
      </c>
      <c r="N46" s="18">
        <f>N32</f>
      </c>
      <c r="O46" s="18">
        <f>O32</f>
      </c>
      <c r="P46" s="18">
        <f>P32</f>
      </c>
      <c r="Q46" s="18">
        <f>Q32</f>
      </c>
      <c r="R46" s="18">
        <f>R32</f>
      </c>
      <c r="S46" s="18">
        <f>S32</f>
      </c>
      <c r="T46" s="18">
        <f>T32</f>
      </c>
      <c r="U46" s="18">
        <f>U32</f>
      </c>
      <c r="V46" s="18">
        <f>V32</f>
      </c>
      <c r="W46" s="18">
        <f>W32</f>
      </c>
      <c r="X46" s="18">
        <f>X32</f>
      </c>
      <c r="Y46" s="18">
        <f>Y32</f>
      </c>
      <c r="Z46" s="18">
        <f>Z32</f>
      </c>
      <c r="AA46" s="18">
        <f>AA32</f>
      </c>
      <c r="AB46" s="18">
        <f>AB32</f>
      </c>
      <c r="AC46" s="18">
        <f>AC32</f>
      </c>
      <c r="AD46" s="18">
        <f>AD32</f>
      </c>
      <c r="AE46" s="18">
        <f>AE32</f>
      </c>
      <c r="AF46" s="18">
        <f>AF32</f>
      </c>
      <c r="AG46" s="18">
        <f>AG32</f>
      </c>
      <c r="AH46" s="18">
        <f>AH32</f>
      </c>
      <c r="AI46" s="18">
        <f>AI32</f>
      </c>
      <c r="AJ46" s="18">
        <f>AJ32</f>
      </c>
      <c r="AK46" s="18">
        <f>AK32</f>
      </c>
      <c r="AL46" s="18">
        <f>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>
        <f>G37</f>
      </c>
      <c r="H47" s="18">
        <f>H37</f>
      </c>
      <c r="I47" s="18">
        <f>I37</f>
      </c>
      <c r="J47" s="18">
        <f>J37</f>
      </c>
      <c r="K47" s="18">
        <f>K37</f>
      </c>
      <c r="L47" s="18">
        <f>L37</f>
      </c>
      <c r="M47" s="18">
        <f>M37</f>
      </c>
      <c r="N47" s="18">
        <f>N37</f>
      </c>
      <c r="O47" s="18">
        <f>O37</f>
      </c>
      <c r="P47" s="18">
        <f>P37</f>
      </c>
      <c r="Q47" s="18">
        <f>Q37</f>
      </c>
      <c r="R47" s="18">
        <f>R37</f>
      </c>
      <c r="S47" s="18">
        <f>S37</f>
      </c>
      <c r="T47" s="18">
        <f>T37</f>
      </c>
      <c r="U47" s="18">
        <f>U37</f>
      </c>
      <c r="V47" s="18">
        <f>V37</f>
      </c>
      <c r="W47" s="18">
        <f>W37</f>
      </c>
      <c r="X47" s="18">
        <f>X37</f>
      </c>
      <c r="Y47" s="18">
        <f>Y37</f>
      </c>
      <c r="Z47" s="18">
        <f>Z37</f>
      </c>
      <c r="AA47" s="18">
        <f>AA37</f>
      </c>
      <c r="AB47" s="18">
        <f>AB37</f>
      </c>
      <c r="AC47" s="18">
        <f>AC37</f>
      </c>
      <c r="AD47" s="18">
        <f>AD37</f>
      </c>
      <c r="AE47" s="18">
        <f>AE37</f>
      </c>
      <c r="AF47" s="18">
        <f>AF37</f>
      </c>
      <c r="AG47" s="18">
        <f>AG37</f>
      </c>
      <c r="AH47" s="18">
        <f>AH37</f>
      </c>
      <c r="AI47" s="18">
        <f>AI37</f>
      </c>
      <c r="AJ47" s="18">
        <f>AJ37</f>
      </c>
      <c r="AK47" s="18">
        <f>AK37</f>
      </c>
      <c r="AL47" s="18">
        <f>AL37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>
        <f>G41</f>
      </c>
      <c r="H48" s="18">
        <f>H41</f>
      </c>
      <c r="I48" s="18">
        <f>I41</f>
      </c>
      <c r="J48" s="18">
        <f>J41</f>
      </c>
      <c r="K48" s="18">
        <f>K41</f>
      </c>
      <c r="L48" s="18">
        <f>L41</f>
      </c>
      <c r="M48" s="18">
        <f>M41</f>
      </c>
      <c r="N48" s="18">
        <f>N41</f>
      </c>
      <c r="O48" s="18">
        <f>O41</f>
      </c>
      <c r="P48" s="18">
        <f>P41</f>
      </c>
      <c r="Q48" s="18">
        <f>Q41</f>
      </c>
      <c r="R48" s="18">
        <f>R41</f>
      </c>
      <c r="S48" s="18">
        <f>S41</f>
      </c>
      <c r="T48" s="18">
        <f>T41</f>
      </c>
      <c r="U48" s="18">
        <f>U41</f>
      </c>
      <c r="V48" s="18">
        <f>V41</f>
      </c>
      <c r="W48" s="18">
        <f>W41</f>
      </c>
      <c r="X48" s="18">
        <f>X41</f>
      </c>
      <c r="Y48" s="18">
        <f>Y41</f>
      </c>
      <c r="Z48" s="18">
        <f>Z41</f>
      </c>
      <c r="AA48" s="18">
        <f>AA41</f>
      </c>
      <c r="AB48" s="18">
        <f>AB41</f>
      </c>
      <c r="AC48" s="18">
        <f>AC41</f>
      </c>
      <c r="AD48" s="18">
        <f>AD41</f>
      </c>
      <c r="AE48" s="18">
        <f>AE41</f>
      </c>
      <c r="AF48" s="18">
        <f>AF41</f>
      </c>
      <c r="AG48" s="18">
        <f>AG41</f>
      </c>
      <c r="AH48" s="18">
        <f>AH41</f>
      </c>
      <c r="AI48" s="18">
        <f>AI41</f>
      </c>
      <c r="AJ48" s="18">
        <f>AJ41</f>
      </c>
      <c r="AK48" s="18">
        <f>AK41</f>
      </c>
      <c r="AL48" s="18">
        <f>AL41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46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2">
        <f>G52+G53+G54+G55</f>
      </c>
      <c r="H56" s="22">
        <f>H52+H53+H54+H55</f>
      </c>
      <c r="I56" s="22">
        <f>I52+I53+I54+I55</f>
      </c>
      <c r="J56" s="22">
        <f>J52+J53+J54+J55</f>
      </c>
      <c r="K56" s="22">
        <f>K52+K53+K54+K55</f>
      </c>
      <c r="L56" s="22">
        <f>L52+L53+L54+L55</f>
      </c>
      <c r="M56" s="22">
        <f>M52+M53+M54+M55</f>
      </c>
      <c r="N56" s="22">
        <f>N52+N53+N54+N55</f>
      </c>
      <c r="O56" s="22">
        <f>O52+O53+O54+O55</f>
      </c>
      <c r="P56" s="22">
        <f>P52+P53+P54+P55</f>
      </c>
      <c r="Q56" s="22">
        <f>Q52+Q53+Q54+Q55</f>
      </c>
      <c r="R56" s="22">
        <f>R52+R53+R54+R55</f>
      </c>
      <c r="S56" s="22">
        <f>S52+S53+S54+S55</f>
      </c>
      <c r="T56" s="22">
        <f>T52+T53+T54+T55</f>
      </c>
      <c r="U56" s="22">
        <f>U52+U53+U54+U55</f>
      </c>
      <c r="V56" s="22">
        <f>V52+V53+V54+V55</f>
      </c>
      <c r="W56" s="22">
        <f>W52+W53+W54+W55</f>
      </c>
      <c r="X56" s="22">
        <f>X52+X53+X54+X55</f>
      </c>
      <c r="Y56" s="22">
        <f>Y52+Y53+Y54+Y55</f>
      </c>
      <c r="Z56" s="22">
        <f>Z52+Z53+Z54+Z55</f>
      </c>
      <c r="AA56" s="22">
        <f>AA52+AA53+AA54+AA55</f>
      </c>
      <c r="AB56" s="22">
        <f>AB52+AB53+AB54+AB55</f>
      </c>
      <c r="AC56" s="22">
        <f>AC52+AC53+AC54+AC55</f>
      </c>
      <c r="AD56" s="22">
        <f>AD52+AD53+AD54+AD55</f>
      </c>
      <c r="AE56" s="22">
        <f>AE52+AE53+AE54+AE55</f>
      </c>
      <c r="AF56" s="22">
        <f>AF52+AF53+AF54+AF55</f>
      </c>
      <c r="AG56" s="22">
        <f>AG52+AG53+AG54+AG55</f>
      </c>
      <c r="AH56" s="22">
        <f>AH52+AH53+AH54+AH55</f>
      </c>
      <c r="AI56" s="22">
        <f>AI52+AI53+AI54+AI55</f>
      </c>
      <c r="AJ56" s="22">
        <f>AJ52+AJ53+AJ54+AJ55</f>
      </c>
      <c r="AK56" s="22">
        <f>AK52+AK53+AK54+AK55</f>
      </c>
      <c r="AL56" s="22">
        <f>AL52+AL53+AL54+AL55</f>
      </c>
      <c r="AM56" s="23"/>
    </row>
    <row r="58" ht="12.75" customHeight="1" spans="2:39" x14ac:dyDescent="0.25">
      <c r="B58" s="11" t="s">
        <v>47</v>
      </c>
      <c r="C58" s="12"/>
      <c r="D58" s="12"/>
      <c r="E58" s="12"/>
      <c r="F58" s="12"/>
      <c r="G58" s="52" t="s">
        <v>7</v>
      </c>
      <c r="H58" s="52" t="s">
        <v>8</v>
      </c>
      <c r="I58" s="52" t="s">
        <v>9</v>
      </c>
      <c r="J58" s="52" t="s">
        <v>10</v>
      </c>
      <c r="K58" s="52" t="s">
        <v>11</v>
      </c>
      <c r="L58" s="52" t="s">
        <v>12</v>
      </c>
      <c r="M58" s="52" t="s">
        <v>13</v>
      </c>
      <c r="N58" s="52" t="s">
        <v>14</v>
      </c>
      <c r="O58" s="52" t="s">
        <v>15</v>
      </c>
      <c r="P58" s="52" t="s">
        <v>16</v>
      </c>
      <c r="Q58" s="52" t="s">
        <v>17</v>
      </c>
      <c r="R58" s="52" t="s">
        <v>18</v>
      </c>
      <c r="S58" s="52" t="s">
        <v>19</v>
      </c>
      <c r="T58" s="52" t="s">
        <v>20</v>
      </c>
      <c r="U58" s="52" t="s">
        <v>21</v>
      </c>
      <c r="V58" s="52" t="s">
        <v>22</v>
      </c>
      <c r="W58" s="52" t="s">
        <v>23</v>
      </c>
      <c r="X58" s="52" t="s">
        <v>24</v>
      </c>
      <c r="Y58" s="52" t="s">
        <v>25</v>
      </c>
      <c r="Z58" s="52" t="s">
        <v>26</v>
      </c>
      <c r="AA58" s="52" t="s">
        <v>27</v>
      </c>
      <c r="AB58" s="52" t="s">
        <v>28</v>
      </c>
      <c r="AC58" s="52" t="s">
        <v>29</v>
      </c>
      <c r="AD58" s="52" t="s">
        <v>30</v>
      </c>
      <c r="AE58" s="52" t="s">
        <v>31</v>
      </c>
      <c r="AF58" s="52" t="s">
        <v>32</v>
      </c>
      <c r="AG58" s="52" t="s">
        <v>33</v>
      </c>
      <c r="AH58" s="52" t="s">
        <v>34</v>
      </c>
      <c r="AI58" s="52" t="s">
        <v>35</v>
      </c>
      <c r="AJ58" s="52" t="s">
        <v>36</v>
      </c>
      <c r="AK58" s="52" t="s">
        <v>37</v>
      </c>
      <c r="AL58" s="52" t="s">
        <v>38</v>
      </c>
      <c r="AM58" s="15"/>
    </row>
    <row r="59" ht="12.75" customHeight="1" spans="2:39" x14ac:dyDescent="0.25">
      <c r="B59" s="16"/>
      <c r="C59" s="17"/>
      <c r="D59" s="17" t="s">
        <v>41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42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43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44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20"/>
      <c r="C63" s="21"/>
      <c r="D63" s="21" t="s">
        <v>45</v>
      </c>
      <c r="E63" s="21"/>
      <c r="F63" s="21"/>
      <c r="G63" s="25">
        <f>G59+G60+G61+G62</f>
      </c>
      <c r="H63" s="25">
        <f>H59+H60+H61+H62</f>
      </c>
      <c r="I63" s="25">
        <f>I59+I60+I61+I62</f>
      </c>
      <c r="J63" s="25">
        <f>J59+J60+J61+J62</f>
      </c>
      <c r="K63" s="25">
        <f>K59+K60+K61+K62</f>
      </c>
      <c r="L63" s="25">
        <f>L59+L60+L61+L62</f>
      </c>
      <c r="M63" s="25">
        <f>M59+M60+M61+M62</f>
      </c>
      <c r="N63" s="25">
        <f>N59+N60+N61+N62</f>
      </c>
      <c r="O63" s="25">
        <f>O59+O60+O61+O62</f>
      </c>
      <c r="P63" s="25">
        <f>P59+P60+P61+P62</f>
      </c>
      <c r="Q63" s="25">
        <f>Q59+Q60+Q61+Q62</f>
      </c>
      <c r="R63" s="25">
        <f>R59+R60+R61+R62</f>
      </c>
      <c r="S63" s="25">
        <f>S59+S60+S61+S62</f>
      </c>
      <c r="T63" s="25">
        <f>T59+T60+T61+T62</f>
      </c>
      <c r="U63" s="25">
        <f>U59+U60+U61+U62</f>
      </c>
      <c r="V63" s="25">
        <f>V59+V60+V61+V62</f>
      </c>
      <c r="W63" s="25">
        <f>W59+W60+W61+W62</f>
      </c>
      <c r="X63" s="25">
        <f>X59+X60+X61+X62</f>
      </c>
      <c r="Y63" s="25">
        <f>Y59+Y60+Y61+Y62</f>
      </c>
      <c r="Z63" s="25">
        <f>Z59+Z60+Z61+Z62</f>
      </c>
      <c r="AA63" s="25">
        <f>AA59+AA60+AA61+AA62</f>
      </c>
      <c r="AB63" s="25">
        <f>AB59+AB60+AB61+AB62</f>
      </c>
      <c r="AC63" s="25">
        <f>AC59+AC60+AC61+AC62</f>
      </c>
      <c r="AD63" s="25">
        <f>AD59+AD60+AD61+AD62</f>
      </c>
      <c r="AE63" s="25">
        <f>AE59+AE60+AE61+AE62</f>
      </c>
      <c r="AF63" s="25">
        <f>AF59+AF60+AF61+AF62</f>
      </c>
      <c r="AG63" s="25">
        <f>AG59+AG60+AG61+AG62</f>
      </c>
      <c r="AH63" s="25">
        <f>AH59+AH60+AH61+AH62</f>
      </c>
      <c r="AI63" s="25">
        <f>AI59+AI60+AI61+AI62</f>
      </c>
      <c r="AJ63" s="25">
        <f>AJ59+AJ60+AJ61+AJ62</f>
      </c>
      <c r="AK63" s="25">
        <f>AK59+AK60+AK61+AK62</f>
      </c>
      <c r="AL63" s="25">
        <f>AL59+AL60+AL61+AL62</f>
      </c>
      <c r="AM63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1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1885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1886</v>
      </c>
      <c r="E9" s="32"/>
      <c r="F9" s="32"/>
      <c r="G9" s="32"/>
      <c r="H9" s="33">
        <v>27.51</v>
      </c>
      <c r="I9" s="33">
        <v>44.61</v>
      </c>
      <c r="J9" s="33">
        <v>24.35</v>
      </c>
      <c r="K9" s="33">
        <v>22.32</v>
      </c>
      <c r="L9" s="33">
        <v>14.16</v>
      </c>
      <c r="M9" s="33">
        <v>12.1</v>
      </c>
      <c r="N9" s="33">
        <v>10.83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1887</v>
      </c>
      <c r="E10" s="32"/>
      <c r="F10" s="32"/>
      <c r="G10" s="32"/>
      <c r="H10" s="33">
        <v>31.1</v>
      </c>
      <c r="I10" s="33">
        <v>38.64</v>
      </c>
      <c r="J10" s="33">
        <v>35.87</v>
      </c>
      <c r="K10" s="33">
        <v>31.1</v>
      </c>
      <c r="L10" s="33">
        <v>31.1</v>
      </c>
      <c r="M10" s="33">
        <v>31.1</v>
      </c>
      <c r="N10" s="33">
        <v>31.1</v>
      </c>
      <c r="O10" s="33">
        <v>31.12</v>
      </c>
      <c r="P10" s="33">
        <v>31.12</v>
      </c>
      <c r="Q10" s="33">
        <v>31.12</v>
      </c>
      <c r="R10" s="33">
        <v>31.12</v>
      </c>
      <c r="S10" s="33">
        <v>31.12</v>
      </c>
      <c r="T10" s="33">
        <v>39.43</v>
      </c>
      <c r="U10" s="33">
        <v>33.13</v>
      </c>
      <c r="V10" s="33">
        <v>34.84</v>
      </c>
      <c r="W10" s="33">
        <v>31.11</v>
      </c>
      <c r="X10" s="33">
        <v>31.11</v>
      </c>
      <c r="Y10" s="33">
        <v>31.11</v>
      </c>
      <c r="Z10" s="33">
        <v>31.11</v>
      </c>
      <c r="AA10" s="33">
        <v>31.12</v>
      </c>
      <c r="AB10" s="33">
        <v>31.12</v>
      </c>
      <c r="AC10" s="33">
        <v>31.12</v>
      </c>
      <c r="AD10" s="33">
        <v>31.12</v>
      </c>
      <c r="AE10" s="33">
        <v>33.39</v>
      </c>
      <c r="AF10" s="33">
        <v>33.38</v>
      </c>
      <c r="AG10" s="33">
        <v>35.53</v>
      </c>
      <c r="AH10" s="33">
        <v>35.49</v>
      </c>
      <c r="AI10" s="32"/>
      <c r="AJ10" s="34">
        <f>SUM(E10:AI10)</f>
      </c>
      <c r="AK10" s="35"/>
    </row>
    <row r="11" ht="12.75" customHeight="1" spans="2:37" x14ac:dyDescent="0.25">
      <c r="B11" s="30" t="s">
        <v>41</v>
      </c>
      <c r="C11" s="31" t="s">
        <v>3</v>
      </c>
      <c r="D11" s="32" t="s">
        <v>1888</v>
      </c>
      <c r="E11" s="32"/>
      <c r="F11" s="32"/>
      <c r="G11" s="32"/>
      <c r="H11" s="33">
        <v>82</v>
      </c>
      <c r="I11" s="33">
        <v>83.84</v>
      </c>
      <c r="J11" s="33">
        <v>66.91</v>
      </c>
      <c r="K11" s="33">
        <v>69.33</v>
      </c>
      <c r="L11" s="33">
        <v>64.53</v>
      </c>
      <c r="M11" s="33">
        <v>52.6</v>
      </c>
      <c r="N11" s="33">
        <v>47.86</v>
      </c>
      <c r="O11" s="33">
        <v>50.25</v>
      </c>
      <c r="P11" s="33">
        <v>43.31</v>
      </c>
      <c r="Q11" s="33">
        <v>45.55</v>
      </c>
      <c r="R11" s="33">
        <v>45.88</v>
      </c>
      <c r="S11" s="33">
        <v>60.47</v>
      </c>
      <c r="T11" s="33">
        <v>62.25</v>
      </c>
      <c r="U11" s="33">
        <v>63.53</v>
      </c>
      <c r="V11" s="33">
        <v>57.16</v>
      </c>
      <c r="W11" s="33">
        <v>58.27</v>
      </c>
      <c r="X11" s="33">
        <v>52.09</v>
      </c>
      <c r="Y11" s="33">
        <v>47.95</v>
      </c>
      <c r="Z11" s="33">
        <v>45.92</v>
      </c>
      <c r="AA11" s="33">
        <v>48.08</v>
      </c>
      <c r="AB11" s="33">
        <v>46.57</v>
      </c>
      <c r="AC11" s="33">
        <v>44.61</v>
      </c>
      <c r="AD11" s="33">
        <v>42.36</v>
      </c>
      <c r="AE11" s="33">
        <v>58.11</v>
      </c>
      <c r="AF11" s="33">
        <v>60.22</v>
      </c>
      <c r="AG11" s="33">
        <v>59.82</v>
      </c>
      <c r="AH11" s="33">
        <v>59.52</v>
      </c>
      <c r="AI11" s="32"/>
      <c r="AJ11" s="34">
        <f>SUM(E11:AI11)</f>
      </c>
      <c r="AK11" s="35"/>
    </row>
    <row r="12" ht="12.75" customHeight="1" spans="2:37" x14ac:dyDescent="0.25">
      <c r="B12" s="30" t="s">
        <v>41</v>
      </c>
      <c r="C12" s="31" t="s">
        <v>3</v>
      </c>
      <c r="D12" s="32" t="s">
        <v>1889</v>
      </c>
      <c r="E12" s="32"/>
      <c r="F12" s="32"/>
      <c r="G12" s="32"/>
      <c r="H12" s="33">
        <v>2046.65</v>
      </c>
      <c r="I12" s="33">
        <v>2031.82</v>
      </c>
      <c r="J12" s="33">
        <v>1580.26</v>
      </c>
      <c r="K12" s="33">
        <v>1465.45</v>
      </c>
      <c r="L12" s="33">
        <v>1017.32</v>
      </c>
      <c r="M12" s="33">
        <v>518.99</v>
      </c>
      <c r="N12" s="33">
        <v>125.85</v>
      </c>
      <c r="O12" s="33">
        <v>276.06</v>
      </c>
      <c r="P12" s="33">
        <v>332.24</v>
      </c>
      <c r="Q12" s="33">
        <v>234.94</v>
      </c>
      <c r="R12" s="33">
        <v>306.85</v>
      </c>
      <c r="S12" s="33">
        <v>1508.14</v>
      </c>
      <c r="T12" s="33">
        <v>1691.87</v>
      </c>
      <c r="U12" s="33">
        <v>1687.89</v>
      </c>
      <c r="V12" s="33">
        <v>1198.25</v>
      </c>
      <c r="W12" s="33">
        <v>970.25</v>
      </c>
      <c r="X12" s="33">
        <v>765.39</v>
      </c>
      <c r="Y12" s="33">
        <v>464.57</v>
      </c>
      <c r="Z12" s="33">
        <v>243.94</v>
      </c>
      <c r="AA12" s="33">
        <v>191.32</v>
      </c>
      <c r="AB12" s="33">
        <v>231.08</v>
      </c>
      <c r="AC12" s="33">
        <v>270.39</v>
      </c>
      <c r="AD12" s="33">
        <v>687.11</v>
      </c>
      <c r="AE12" s="33">
        <v>1260.1</v>
      </c>
      <c r="AF12" s="33">
        <v>1424.33</v>
      </c>
      <c r="AG12" s="33">
        <v>1395.11</v>
      </c>
      <c r="AH12" s="33">
        <v>1157.15</v>
      </c>
      <c r="AI12" s="32"/>
      <c r="AJ12" s="34">
        <f>SUM(E12:AI12)</f>
      </c>
      <c r="AK12" s="35"/>
    </row>
    <row r="13" ht="12.75" customHeight="1" spans="2:37" x14ac:dyDescent="0.25">
      <c r="B13" s="30" t="s">
        <v>41</v>
      </c>
      <c r="C13" s="31" t="s">
        <v>3</v>
      </c>
      <c r="D13" s="32" t="s">
        <v>1890</v>
      </c>
      <c r="E13" s="32"/>
      <c r="F13" s="32"/>
      <c r="G13" s="32"/>
      <c r="H13" s="33">
        <v>2277.95</v>
      </c>
      <c r="I13" s="33">
        <v>2188.01</v>
      </c>
      <c r="J13" s="33">
        <v>1924.54</v>
      </c>
      <c r="K13" s="33">
        <v>1829.44</v>
      </c>
      <c r="L13" s="33">
        <v>1448.61</v>
      </c>
      <c r="M13" s="33">
        <v>791.36</v>
      </c>
      <c r="N13" s="33">
        <v>210.2</v>
      </c>
      <c r="O13" s="33">
        <v>202.73</v>
      </c>
      <c r="P13" s="33">
        <v>255.96</v>
      </c>
      <c r="Q13" s="33">
        <v>233.94</v>
      </c>
      <c r="R13" s="33">
        <v>742.89</v>
      </c>
      <c r="S13" s="33">
        <v>1608.7</v>
      </c>
      <c r="T13" s="33">
        <v>1612.44</v>
      </c>
      <c r="U13" s="33">
        <v>1401.75</v>
      </c>
      <c r="V13" s="33">
        <v>1197.11</v>
      </c>
      <c r="W13" s="33">
        <v>1064.07</v>
      </c>
      <c r="X13" s="33">
        <v>722.93</v>
      </c>
      <c r="Y13" s="33">
        <v>556.18</v>
      </c>
      <c r="Z13" s="33">
        <v>309.83</v>
      </c>
      <c r="AA13" s="33">
        <v>263.84</v>
      </c>
      <c r="AB13" s="33">
        <v>193.85</v>
      </c>
      <c r="AC13" s="33">
        <v>209.36</v>
      </c>
      <c r="AD13" s="33">
        <v>926.39</v>
      </c>
      <c r="AE13" s="33">
        <v>1462.86</v>
      </c>
      <c r="AF13" s="33">
        <v>1360.52</v>
      </c>
      <c r="AG13" s="33">
        <v>1288.02</v>
      </c>
      <c r="AH13" s="33">
        <v>1184.38</v>
      </c>
      <c r="AI13" s="32"/>
      <c r="AJ13" s="34">
        <f>SUM(E13:AI13)</f>
      </c>
      <c r="AK13" s="35"/>
    </row>
    <row r="14" ht="12.75" customHeight="1" spans="2:37" x14ac:dyDescent="0.25">
      <c r="B14" s="30" t="s">
        <v>41</v>
      </c>
      <c r="C14" s="31" t="s">
        <v>3</v>
      </c>
      <c r="D14" s="32" t="s">
        <v>1891</v>
      </c>
      <c r="E14" s="32"/>
      <c r="F14" s="32"/>
      <c r="G14" s="32"/>
      <c r="H14" s="33">
        <v>174.8</v>
      </c>
      <c r="I14" s="33">
        <v>189.67</v>
      </c>
      <c r="J14" s="33">
        <v>136.63</v>
      </c>
      <c r="K14" s="33">
        <v>108.01</v>
      </c>
      <c r="L14" s="33">
        <v>59.02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41</v>
      </c>
      <c r="C15" s="31" t="s">
        <v>3</v>
      </c>
      <c r="D15" s="32" t="s">
        <v>1892</v>
      </c>
      <c r="E15" s="32"/>
      <c r="F15" s="32"/>
      <c r="G15" s="32"/>
      <c r="H15" s="33">
        <v>31.1</v>
      </c>
      <c r="I15" s="33">
        <v>31.1</v>
      </c>
      <c r="J15" s="33">
        <v>31.1</v>
      </c>
      <c r="K15" s="33">
        <v>31.1</v>
      </c>
      <c r="L15" s="33">
        <v>31.1</v>
      </c>
      <c r="M15" s="33">
        <v>31.1</v>
      </c>
      <c r="N15" s="33">
        <v>31.1</v>
      </c>
      <c r="O15" s="33">
        <v>31.12</v>
      </c>
      <c r="P15" s="33">
        <v>31.12</v>
      </c>
      <c r="Q15" s="33">
        <v>31.12</v>
      </c>
      <c r="R15" s="33">
        <v>31.12</v>
      </c>
      <c r="S15" s="33">
        <v>31.12</v>
      </c>
      <c r="T15" s="33">
        <v>31.12</v>
      </c>
      <c r="U15" s="33">
        <v>31.12</v>
      </c>
      <c r="V15" s="33">
        <v>31.12</v>
      </c>
      <c r="W15" s="33">
        <v>31.11</v>
      </c>
      <c r="X15" s="33">
        <v>31.11</v>
      </c>
      <c r="Y15" s="33">
        <v>31.11</v>
      </c>
      <c r="Z15" s="33">
        <v>31.11</v>
      </c>
      <c r="AA15" s="33">
        <v>31.12</v>
      </c>
      <c r="AB15" s="33">
        <v>31.12</v>
      </c>
      <c r="AC15" s="33">
        <v>31.12</v>
      </c>
      <c r="AD15" s="33">
        <v>31.12</v>
      </c>
      <c r="AE15" s="33">
        <v>31.12</v>
      </c>
      <c r="AF15" s="33">
        <v>31.12</v>
      </c>
      <c r="AG15" s="33">
        <v>31.12</v>
      </c>
      <c r="AH15" s="33">
        <v>31.12</v>
      </c>
      <c r="AI15" s="32"/>
      <c r="AJ15" s="34">
        <f>SUM(E15:AI15)</f>
      </c>
      <c r="AK15" s="35"/>
    </row>
    <row r="16" ht="12.75" customHeight="1" spans="2:37" x14ac:dyDescent="0.25">
      <c r="B16" s="30" t="s">
        <v>41</v>
      </c>
      <c r="C16" s="31" t="s">
        <v>3</v>
      </c>
      <c r="D16" s="32" t="s">
        <v>1893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3">
        <v>12.1</v>
      </c>
      <c r="Y16" s="33">
        <v>12.1</v>
      </c>
      <c r="Z16" s="33">
        <v>12.1</v>
      </c>
      <c r="AA16" s="33">
        <v>12.11</v>
      </c>
      <c r="AB16" s="33">
        <v>12.11</v>
      </c>
      <c r="AC16" s="33">
        <v>12.11</v>
      </c>
      <c r="AD16" s="33">
        <v>12.11</v>
      </c>
      <c r="AE16" s="33">
        <v>12.11</v>
      </c>
      <c r="AF16" s="33">
        <v>12.11</v>
      </c>
      <c r="AG16" s="33">
        <v>12.11</v>
      </c>
      <c r="AH16" s="33">
        <v>12.11</v>
      </c>
      <c r="AI16" s="32"/>
      <c r="AJ16" s="34">
        <f>SUM(E16:AI16)</f>
      </c>
      <c r="AK16" s="35"/>
    </row>
    <row r="17" ht="12.75" customHeight="1" spans="2:37" x14ac:dyDescent="0.25">
      <c r="B17" s="30" t="s">
        <v>41</v>
      </c>
      <c r="C17" s="31" t="s">
        <v>3</v>
      </c>
      <c r="D17" s="32" t="s">
        <v>1894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6">
        <f>19.07+2.16</f>
        <v>21.23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41</v>
      </c>
      <c r="C18" s="31" t="s">
        <v>3</v>
      </c>
      <c r="D18" s="32" t="s">
        <v>1895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3">
        <v>6.94</v>
      </c>
      <c r="Z18" s="33">
        <v>12.1</v>
      </c>
      <c r="AA18" s="33">
        <v>12.11</v>
      </c>
      <c r="AB18" s="33">
        <v>12.11</v>
      </c>
      <c r="AC18" s="33">
        <v>12.11</v>
      </c>
      <c r="AD18" s="33">
        <v>12.11</v>
      </c>
      <c r="AE18" s="33">
        <v>3.08</v>
      </c>
      <c r="AF18" s="32"/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ht="12.75" customHeight="1" spans="2:37" x14ac:dyDescent="0.25">
      <c r="B20" s="20" t="s">
        <v>64</v>
      </c>
      <c r="C20" s="21"/>
      <c r="D20" s="21"/>
      <c r="E20" s="22">
        <f>SUM(E9:E18)</f>
      </c>
      <c r="F20" s="22">
        <f>SUM(F9:F18)</f>
      </c>
      <c r="G20" s="22">
        <f>SUM(G9:G18)</f>
      </c>
      <c r="H20" s="22">
        <f>SUM(H9:H18)</f>
      </c>
      <c r="I20" s="22">
        <f>SUM(I9:I18)</f>
      </c>
      <c r="J20" s="22">
        <f>SUM(J9:J18)</f>
      </c>
      <c r="K20" s="22">
        <f>SUM(K9:K18)</f>
      </c>
      <c r="L20" s="22">
        <f>SUM(L9:L18)</f>
      </c>
      <c r="M20" s="22">
        <f>SUM(M9:M18)</f>
      </c>
      <c r="N20" s="22">
        <f>SUM(N9:N18)</f>
      </c>
      <c r="O20" s="22">
        <f>SUM(O9:O18)</f>
      </c>
      <c r="P20" s="22">
        <f>SUM(P9:P18)</f>
      </c>
      <c r="Q20" s="22">
        <f>SUM(Q9:Q18)</f>
      </c>
      <c r="R20" s="22">
        <f>SUM(R9:R18)</f>
      </c>
      <c r="S20" s="22">
        <f>SUM(S9:S18)</f>
      </c>
      <c r="T20" s="22">
        <f>SUM(T9:T18)</f>
      </c>
      <c r="U20" s="22">
        <f>SUM(U9:U18)</f>
      </c>
      <c r="V20" s="22">
        <f>SUM(V9:V18)</f>
      </c>
      <c r="W20" s="22">
        <f>SUM(W9:W18)</f>
      </c>
      <c r="X20" s="22">
        <f>SUM(X9:X18)</f>
      </c>
      <c r="Y20" s="22">
        <f>SUM(Y9:Y18)</f>
      </c>
      <c r="Z20" s="22">
        <f>SUM(Z9:Z18)</f>
      </c>
      <c r="AA20" s="22">
        <f>SUM(AA9:AA18)</f>
      </c>
      <c r="AB20" s="22">
        <f>SUM(AB9:AB18)</f>
      </c>
      <c r="AC20" s="22">
        <f>SUM(AC9:AC18)</f>
      </c>
      <c r="AD20" s="22">
        <f>SUM(AD9:AD18)</f>
      </c>
      <c r="AE20" s="22">
        <f>SUM(AE9:AE18)</f>
      </c>
      <c r="AF20" s="22">
        <f>SUM(AF9:AF18)</f>
      </c>
      <c r="AG20" s="22">
        <f>SUM(AG9:AG18)</f>
      </c>
      <c r="AH20" s="22">
        <f>SUM(AH9:AH18)</f>
      </c>
      <c r="AI20" s="22">
        <f>SUM(AI9:AI18)</f>
      </c>
      <c r="AJ20" s="22">
        <f>SUM(AJ9:AJ18)</f>
      </c>
      <c r="AK20" s="23"/>
    </row>
    <row r="22" ht="12.75" customHeight="1" spans="2:37" x14ac:dyDescent="0.25">
      <c r="B22" s="26" t="s">
        <v>42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9"/>
    </row>
    <row r="23" ht="12.75" customHeight="1" spans="2:37" x14ac:dyDescent="0.25">
      <c r="B23" s="30" t="s">
        <v>42</v>
      </c>
      <c r="C23" s="31" t="s">
        <v>3</v>
      </c>
      <c r="D23" s="32" t="s">
        <v>1896</v>
      </c>
      <c r="E23" s="32"/>
      <c r="F23" s="32"/>
      <c r="G23" s="32"/>
      <c r="H23" s="33">
        <v>21.66</v>
      </c>
      <c r="I23" s="33">
        <v>98.5</v>
      </c>
      <c r="J23" s="33">
        <v>109.28</v>
      </c>
      <c r="K23" s="33">
        <v>90.9</v>
      </c>
      <c r="L23" s="33">
        <v>76.28</v>
      </c>
      <c r="M23" s="33">
        <v>21.66</v>
      </c>
      <c r="N23" s="33">
        <v>21.66</v>
      </c>
      <c r="O23" s="33">
        <v>21.66</v>
      </c>
      <c r="P23" s="33">
        <v>22.34</v>
      </c>
      <c r="Q23" s="33">
        <v>23.17</v>
      </c>
      <c r="R23" s="33">
        <v>23.59</v>
      </c>
      <c r="S23" s="33">
        <v>23.15</v>
      </c>
      <c r="T23" s="33">
        <v>23.36</v>
      </c>
      <c r="U23" s="33">
        <v>22.91</v>
      </c>
      <c r="V23" s="33">
        <v>65.71</v>
      </c>
      <c r="W23" s="33">
        <v>33.21</v>
      </c>
      <c r="X23" s="33">
        <v>23.48</v>
      </c>
      <c r="Y23" s="33">
        <v>22.79</v>
      </c>
      <c r="Z23" s="33">
        <v>22.11</v>
      </c>
      <c r="AA23" s="33">
        <v>22.84</v>
      </c>
      <c r="AB23" s="33">
        <v>22.91</v>
      </c>
      <c r="AC23" s="33">
        <v>23.06</v>
      </c>
      <c r="AD23" s="33">
        <v>33.68</v>
      </c>
      <c r="AE23" s="33">
        <v>33.46</v>
      </c>
      <c r="AF23" s="33">
        <v>32.85</v>
      </c>
      <c r="AG23" s="33">
        <v>32.85</v>
      </c>
      <c r="AH23" s="33">
        <v>32.72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1897</v>
      </c>
      <c r="E24" s="32"/>
      <c r="F24" s="32"/>
      <c r="G24" s="32"/>
      <c r="H24" s="33">
        <v>68.27</v>
      </c>
      <c r="I24" s="33">
        <v>90.67</v>
      </c>
      <c r="J24" s="33">
        <v>67.32</v>
      </c>
      <c r="K24" s="33">
        <v>72.94</v>
      </c>
      <c r="L24" s="33">
        <v>26.32</v>
      </c>
      <c r="M24" s="33">
        <v>21.66</v>
      </c>
      <c r="N24" s="33">
        <v>21.66</v>
      </c>
      <c r="O24" s="33">
        <v>21.66</v>
      </c>
      <c r="P24" s="33">
        <v>21.66</v>
      </c>
      <c r="Q24" s="33">
        <v>21.66</v>
      </c>
      <c r="R24" s="33">
        <v>21.66</v>
      </c>
      <c r="S24" s="33">
        <v>63.58</v>
      </c>
      <c r="T24" s="33">
        <v>98.35</v>
      </c>
      <c r="U24" s="33">
        <v>105.5</v>
      </c>
      <c r="V24" s="33">
        <v>86.68</v>
      </c>
      <c r="W24" s="33">
        <v>78.63</v>
      </c>
      <c r="X24" s="33">
        <v>21.66</v>
      </c>
      <c r="Y24" s="33">
        <v>21.66</v>
      </c>
      <c r="Z24" s="33">
        <v>21.66</v>
      </c>
      <c r="AA24" s="33">
        <v>21.66</v>
      </c>
      <c r="AB24" s="33">
        <v>21.66</v>
      </c>
      <c r="AC24" s="33">
        <v>21.66</v>
      </c>
      <c r="AD24" s="33">
        <v>23.2</v>
      </c>
      <c r="AE24" s="33">
        <v>85.53</v>
      </c>
      <c r="AF24" s="33">
        <v>87.69</v>
      </c>
      <c r="AG24" s="33">
        <v>108.66</v>
      </c>
      <c r="AH24" s="33">
        <v>92.13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1898</v>
      </c>
      <c r="E25" s="32"/>
      <c r="F25" s="32"/>
      <c r="G25" s="32"/>
      <c r="H25" s="33">
        <v>110.35</v>
      </c>
      <c r="I25" s="33">
        <v>119.45</v>
      </c>
      <c r="J25" s="33">
        <v>92.69</v>
      </c>
      <c r="K25" s="33">
        <v>88.77</v>
      </c>
      <c r="L25" s="33">
        <v>46.93</v>
      </c>
      <c r="M25" s="33">
        <v>21.66</v>
      </c>
      <c r="N25" s="33">
        <v>21.66</v>
      </c>
      <c r="O25" s="33">
        <v>21.66</v>
      </c>
      <c r="P25" s="33">
        <v>60.93</v>
      </c>
      <c r="Q25" s="33">
        <v>67.07</v>
      </c>
      <c r="R25" s="33">
        <v>63.65</v>
      </c>
      <c r="S25" s="33">
        <v>104.01</v>
      </c>
      <c r="T25" s="33">
        <v>110.59</v>
      </c>
      <c r="U25" s="33">
        <v>129.75</v>
      </c>
      <c r="V25" s="33">
        <v>99.7</v>
      </c>
      <c r="W25" s="33">
        <v>112.74</v>
      </c>
      <c r="X25" s="33">
        <v>46.69</v>
      </c>
      <c r="Y25" s="33">
        <v>21.66</v>
      </c>
      <c r="Z25" s="33">
        <v>21.66</v>
      </c>
      <c r="AA25" s="33">
        <v>21.66</v>
      </c>
      <c r="AB25" s="33">
        <v>21.66</v>
      </c>
      <c r="AC25" s="33">
        <v>21.79</v>
      </c>
      <c r="AD25" s="33">
        <v>21.79</v>
      </c>
      <c r="AE25" s="33">
        <v>32.49</v>
      </c>
      <c r="AF25" s="33">
        <v>32.49</v>
      </c>
      <c r="AG25" s="33">
        <v>32.49</v>
      </c>
      <c r="AH25" s="33">
        <v>32.49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1899</v>
      </c>
      <c r="E26" s="32"/>
      <c r="F26" s="32"/>
      <c r="G26" s="32"/>
      <c r="H26" s="33">
        <v>21.66</v>
      </c>
      <c r="I26" s="33">
        <v>21.66</v>
      </c>
      <c r="J26" s="33">
        <v>21.66</v>
      </c>
      <c r="K26" s="33">
        <v>21.66</v>
      </c>
      <c r="L26" s="33">
        <v>21.66</v>
      </c>
      <c r="M26" s="33">
        <v>21.66</v>
      </c>
      <c r="N26" s="33">
        <v>21.66</v>
      </c>
      <c r="O26" s="33">
        <v>21.66</v>
      </c>
      <c r="P26" s="33">
        <v>21.66</v>
      </c>
      <c r="Q26" s="33">
        <v>21.66</v>
      </c>
      <c r="R26" s="33">
        <v>21.66</v>
      </c>
      <c r="S26" s="33">
        <v>21.66</v>
      </c>
      <c r="T26" s="33">
        <v>21.66</v>
      </c>
      <c r="U26" s="33">
        <v>21.66</v>
      </c>
      <c r="V26" s="33">
        <v>21.66</v>
      </c>
      <c r="W26" s="33">
        <v>21.66</v>
      </c>
      <c r="X26" s="33">
        <v>21.66</v>
      </c>
      <c r="Y26" s="33">
        <v>21.66</v>
      </c>
      <c r="Z26" s="33">
        <v>21.66</v>
      </c>
      <c r="AA26" s="33">
        <v>21.66</v>
      </c>
      <c r="AB26" s="33">
        <v>21.66</v>
      </c>
      <c r="AC26" s="33">
        <v>21.66</v>
      </c>
      <c r="AD26" s="33">
        <v>21.66</v>
      </c>
      <c r="AE26" s="33">
        <v>32.49</v>
      </c>
      <c r="AF26" s="33">
        <v>32.49</v>
      </c>
      <c r="AG26" s="33">
        <v>32.49</v>
      </c>
      <c r="AH26" s="33">
        <v>32.49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1900</v>
      </c>
      <c r="E27" s="32"/>
      <c r="F27" s="32"/>
      <c r="G27" s="32"/>
      <c r="H27" s="33">
        <v>1292.11</v>
      </c>
      <c r="I27" s="33">
        <v>1608.15</v>
      </c>
      <c r="J27" s="33">
        <v>1410.8</v>
      </c>
      <c r="K27" s="33">
        <v>1155.48</v>
      </c>
      <c r="L27" s="33">
        <v>834.7</v>
      </c>
      <c r="M27" s="33">
        <v>1090.19</v>
      </c>
      <c r="N27" s="33">
        <v>1813.96</v>
      </c>
      <c r="O27" s="33">
        <v>1966.43</v>
      </c>
      <c r="P27" s="33">
        <v>1786.34</v>
      </c>
      <c r="Q27" s="33">
        <v>1504.21</v>
      </c>
      <c r="R27" s="33">
        <v>1046.78</v>
      </c>
      <c r="S27" s="33">
        <v>1207.69</v>
      </c>
      <c r="T27" s="33">
        <v>1325.65</v>
      </c>
      <c r="U27" s="33">
        <v>1883.51</v>
      </c>
      <c r="V27" s="33">
        <v>1238.5</v>
      </c>
      <c r="W27" s="33">
        <v>1278.17</v>
      </c>
      <c r="X27" s="33">
        <v>777.7</v>
      </c>
      <c r="Y27" s="33">
        <v>833.52</v>
      </c>
      <c r="Z27" s="33">
        <v>1518.07</v>
      </c>
      <c r="AA27" s="33">
        <v>1899.23</v>
      </c>
      <c r="AB27" s="33">
        <v>1562.22</v>
      </c>
      <c r="AC27" s="33">
        <v>1109.53</v>
      </c>
      <c r="AD27" s="33">
        <v>672.65</v>
      </c>
      <c r="AE27" s="33">
        <v>715.76</v>
      </c>
      <c r="AF27" s="33">
        <v>826.87</v>
      </c>
      <c r="AG27" s="33">
        <v>1046.52</v>
      </c>
      <c r="AH27" s="33">
        <v>974.39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1901</v>
      </c>
      <c r="E28" s="32"/>
      <c r="F28" s="32"/>
      <c r="G28" s="32"/>
      <c r="H28" s="33">
        <v>1701.36</v>
      </c>
      <c r="I28" s="33">
        <v>2236.61</v>
      </c>
      <c r="J28" s="33">
        <v>1793.92</v>
      </c>
      <c r="K28" s="33">
        <v>1380.64</v>
      </c>
      <c r="L28" s="33">
        <v>1116.33</v>
      </c>
      <c r="M28" s="33">
        <v>1273.83</v>
      </c>
      <c r="N28" s="33">
        <v>1970.45</v>
      </c>
      <c r="O28" s="33">
        <v>1719.19</v>
      </c>
      <c r="P28" s="33">
        <v>1381.54</v>
      </c>
      <c r="Q28" s="33">
        <v>1326.64</v>
      </c>
      <c r="R28" s="33">
        <v>1058.77</v>
      </c>
      <c r="S28" s="33">
        <v>1131.13</v>
      </c>
      <c r="T28" s="33">
        <v>1578.83</v>
      </c>
      <c r="U28" s="33">
        <v>2088.15</v>
      </c>
      <c r="V28" s="33">
        <v>1225.43</v>
      </c>
      <c r="W28" s="33">
        <v>1266.2</v>
      </c>
      <c r="X28" s="33">
        <v>979.11</v>
      </c>
      <c r="Y28" s="33">
        <v>1173.84</v>
      </c>
      <c r="Z28" s="33">
        <v>1669.16</v>
      </c>
      <c r="AA28" s="33">
        <v>1656.01</v>
      </c>
      <c r="AB28" s="33">
        <v>1542.36</v>
      </c>
      <c r="AC28" s="33">
        <v>1179.26</v>
      </c>
      <c r="AD28" s="33">
        <v>765.96</v>
      </c>
      <c r="AE28" s="33">
        <v>859.24</v>
      </c>
      <c r="AF28" s="33">
        <v>973.01</v>
      </c>
      <c r="AG28" s="33">
        <v>1104.31</v>
      </c>
      <c r="AH28" s="33">
        <v>985.62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1902</v>
      </c>
      <c r="E29" s="32"/>
      <c r="F29" s="32"/>
      <c r="G29" s="32"/>
      <c r="H29" s="33">
        <v>1159.89</v>
      </c>
      <c r="I29" s="33">
        <v>1441.49</v>
      </c>
      <c r="J29" s="33">
        <v>1152.99</v>
      </c>
      <c r="K29" s="33">
        <v>896.08</v>
      </c>
      <c r="L29" s="33">
        <v>989.65</v>
      </c>
      <c r="M29" s="33">
        <v>1219.76</v>
      </c>
      <c r="N29" s="33">
        <v>1893.28</v>
      </c>
      <c r="O29" s="33">
        <v>2182.61</v>
      </c>
      <c r="P29" s="33">
        <v>1773.09</v>
      </c>
      <c r="Q29" s="33">
        <v>1471.82</v>
      </c>
      <c r="R29" s="33">
        <v>1021.96</v>
      </c>
      <c r="S29" s="33">
        <v>797.56</v>
      </c>
      <c r="T29" s="33">
        <v>1016.44</v>
      </c>
      <c r="U29" s="33">
        <v>1487.48</v>
      </c>
      <c r="V29" s="33">
        <v>821.38</v>
      </c>
      <c r="W29" s="33">
        <v>905.87</v>
      </c>
      <c r="X29" s="33">
        <v>852.6</v>
      </c>
      <c r="Y29" s="33">
        <v>1023.08</v>
      </c>
      <c r="Z29" s="33">
        <v>1713.39</v>
      </c>
      <c r="AA29" s="33">
        <v>1981.8</v>
      </c>
      <c r="AB29" s="33">
        <v>1586.26</v>
      </c>
      <c r="AC29" s="33">
        <v>1164.37</v>
      </c>
      <c r="AD29" s="33">
        <v>670.49</v>
      </c>
      <c r="AE29" s="33">
        <v>639.35</v>
      </c>
      <c r="AF29" s="33">
        <v>808.37</v>
      </c>
      <c r="AG29" s="33">
        <v>825.72</v>
      </c>
      <c r="AH29" s="33">
        <v>633.96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1903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6">
        <f>0.00+57.56</f>
        <v>57.56</v>
      </c>
      <c r="X30" s="33">
        <v>21.66</v>
      </c>
      <c r="Y30" s="33">
        <v>21.66</v>
      </c>
      <c r="Z30" s="33">
        <v>21.66</v>
      </c>
      <c r="AA30" s="33">
        <v>21.66</v>
      </c>
      <c r="AB30" s="33">
        <v>21.66</v>
      </c>
      <c r="AC30" s="33">
        <v>21.66</v>
      </c>
      <c r="AD30" s="33">
        <v>32.49</v>
      </c>
      <c r="AE30" s="33">
        <v>32.49</v>
      </c>
      <c r="AF30" s="33">
        <v>32.49</v>
      </c>
      <c r="AG30" s="33">
        <v>32.49</v>
      </c>
      <c r="AH30" s="33">
        <v>32.49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1904</v>
      </c>
      <c r="E31" s="32"/>
      <c r="F31" s="32"/>
      <c r="G31" s="32"/>
      <c r="H31" s="33">
        <v>348.18</v>
      </c>
      <c r="I31" s="33">
        <v>393.63</v>
      </c>
      <c r="J31" s="33">
        <v>314.06</v>
      </c>
      <c r="K31" s="33">
        <v>282.45</v>
      </c>
      <c r="L31" s="33">
        <v>351.49</v>
      </c>
      <c r="M31" s="33">
        <v>404.97</v>
      </c>
      <c r="N31" s="33">
        <v>625.5</v>
      </c>
      <c r="O31" s="33">
        <v>725.9</v>
      </c>
      <c r="P31" s="33">
        <v>613.46</v>
      </c>
      <c r="Q31" s="33">
        <v>525.1</v>
      </c>
      <c r="R31" s="33">
        <v>335.93</v>
      </c>
      <c r="S31" s="33">
        <v>277.25</v>
      </c>
      <c r="T31" s="33">
        <v>317.11</v>
      </c>
      <c r="U31" s="33">
        <v>433.27</v>
      </c>
      <c r="V31" s="33">
        <v>333.91</v>
      </c>
      <c r="W31" s="33">
        <v>312.96</v>
      </c>
      <c r="X31" s="33">
        <v>316.93</v>
      </c>
      <c r="Y31" s="33">
        <v>445.54</v>
      </c>
      <c r="Z31" s="33">
        <v>631.95</v>
      </c>
      <c r="AA31" s="33">
        <v>804.36</v>
      </c>
      <c r="AB31" s="33">
        <v>633.11</v>
      </c>
      <c r="AC31" s="33">
        <v>491.62</v>
      </c>
      <c r="AD31" s="33">
        <v>317.68</v>
      </c>
      <c r="AE31" s="33">
        <v>267.08</v>
      </c>
      <c r="AF31" s="33">
        <v>378.16</v>
      </c>
      <c r="AG31" s="33">
        <v>219.29</v>
      </c>
      <c r="AH31" s="33">
        <v>195.36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1905</v>
      </c>
      <c r="E32" s="32"/>
      <c r="F32" s="32"/>
      <c r="G32" s="32"/>
      <c r="H32" s="33">
        <v>1241.36</v>
      </c>
      <c r="I32" s="33">
        <v>1648.26</v>
      </c>
      <c r="J32" s="33">
        <v>1300.85</v>
      </c>
      <c r="K32" s="33">
        <v>1052.59</v>
      </c>
      <c r="L32" s="33">
        <v>861.43</v>
      </c>
      <c r="M32" s="33">
        <v>613.87</v>
      </c>
      <c r="N32" s="33">
        <v>960.58</v>
      </c>
      <c r="O32" s="33">
        <v>1190.1</v>
      </c>
      <c r="P32" s="33">
        <v>953.71</v>
      </c>
      <c r="Q32" s="33">
        <v>728.42</v>
      </c>
      <c r="R32" s="33">
        <v>533.56</v>
      </c>
      <c r="S32" s="33">
        <v>991.23</v>
      </c>
      <c r="T32" s="33">
        <v>1079.62</v>
      </c>
      <c r="U32" s="33">
        <v>1358.47</v>
      </c>
      <c r="V32" s="33">
        <v>900.98</v>
      </c>
      <c r="W32" s="33">
        <v>1046.94</v>
      </c>
      <c r="X32" s="33">
        <v>609.1</v>
      </c>
      <c r="Y32" s="33">
        <v>504.07</v>
      </c>
      <c r="Z32" s="33">
        <v>846.78</v>
      </c>
      <c r="AA32" s="33">
        <v>1136.8</v>
      </c>
      <c r="AB32" s="33">
        <v>1107.04</v>
      </c>
      <c r="AC32" s="33">
        <v>754.62</v>
      </c>
      <c r="AD32" s="33">
        <v>567.25</v>
      </c>
      <c r="AE32" s="33">
        <v>901.41</v>
      </c>
      <c r="AF32" s="33">
        <v>1096.82</v>
      </c>
      <c r="AG32" s="33">
        <v>1094.83</v>
      </c>
      <c r="AH32" s="33">
        <v>975.95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1906</v>
      </c>
      <c r="E33" s="32"/>
      <c r="F33" s="32"/>
      <c r="G33" s="32"/>
      <c r="H33" s="33">
        <v>82.65</v>
      </c>
      <c r="I33" s="33">
        <v>92.39</v>
      </c>
      <c r="J33" s="33">
        <v>80.43</v>
      </c>
      <c r="K33" s="33">
        <v>88.77</v>
      </c>
      <c r="L33" s="33">
        <v>29.9</v>
      </c>
      <c r="M33" s="33">
        <v>21.66</v>
      </c>
      <c r="N33" s="33">
        <v>21.66</v>
      </c>
      <c r="O33" s="33">
        <v>21.66</v>
      </c>
      <c r="P33" s="33">
        <v>21.66</v>
      </c>
      <c r="Q33" s="33">
        <v>21.66</v>
      </c>
      <c r="R33" s="33">
        <v>21.66</v>
      </c>
      <c r="S33" s="33">
        <v>88.15</v>
      </c>
      <c r="T33" s="33">
        <v>97.57</v>
      </c>
      <c r="U33" s="33">
        <v>118.75</v>
      </c>
      <c r="V33" s="33">
        <v>98.35</v>
      </c>
      <c r="W33" s="33">
        <v>28.23</v>
      </c>
      <c r="X33" s="33">
        <v>21.66</v>
      </c>
      <c r="Y33" s="33">
        <v>21.66</v>
      </c>
      <c r="Z33" s="33">
        <v>21.66</v>
      </c>
      <c r="AA33" s="33">
        <v>21.66</v>
      </c>
      <c r="AB33" s="33">
        <v>21.66</v>
      </c>
      <c r="AC33" s="33">
        <v>21.66</v>
      </c>
      <c r="AD33" s="33">
        <v>21.66</v>
      </c>
      <c r="AE33" s="33">
        <v>32.49</v>
      </c>
      <c r="AF33" s="33">
        <v>32.49</v>
      </c>
      <c r="AG33" s="33">
        <v>32.49</v>
      </c>
      <c r="AH33" s="33">
        <v>32.49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1907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6">
        <f>51.18+0.00</f>
        <v>51.18</v>
      </c>
      <c r="V34" s="33">
        <v>21.66</v>
      </c>
      <c r="W34" s="33">
        <v>32.99</v>
      </c>
      <c r="X34" s="33">
        <v>67.31</v>
      </c>
      <c r="Y34" s="33">
        <v>118.21</v>
      </c>
      <c r="Z34" s="33">
        <v>180.88</v>
      </c>
      <c r="AA34" s="33">
        <v>223.29</v>
      </c>
      <c r="AB34" s="36">
        <f>0.00+241.62</f>
        <v>241.62</v>
      </c>
      <c r="AC34" s="32"/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1908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6">
        <f>58.35+0.00</f>
        <v>58.35</v>
      </c>
      <c r="W35" s="33">
        <v>26.08</v>
      </c>
      <c r="X35" s="33">
        <v>26.76</v>
      </c>
      <c r="Y35" s="36">
        <f>107.15+12.08+0.00</f>
        <v>119.23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1909</v>
      </c>
      <c r="E36" s="32"/>
      <c r="F36" s="32"/>
      <c r="G36" s="32"/>
      <c r="H36" s="32"/>
      <c r="I36" s="32"/>
      <c r="J36" s="32"/>
      <c r="K36" s="32"/>
      <c r="L36" s="32"/>
      <c r="M36" s="32"/>
      <c r="N36" s="36">
        <f>50.67+0.00</f>
        <v>50.67</v>
      </c>
      <c r="O36" s="33">
        <v>39.85</v>
      </c>
      <c r="P36" s="33">
        <v>120.57</v>
      </c>
      <c r="Q36" s="36">
        <f>92.98+0.00</f>
        <v>92.98</v>
      </c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1910</v>
      </c>
      <c r="E37" s="32"/>
      <c r="F37" s="32"/>
      <c r="G37" s="32"/>
      <c r="H37" s="33">
        <v>21.66</v>
      </c>
      <c r="I37" s="33">
        <v>21.66</v>
      </c>
      <c r="J37" s="33">
        <v>21.66</v>
      </c>
      <c r="K37" s="33">
        <v>21.66</v>
      </c>
      <c r="L37" s="33">
        <v>21.66</v>
      </c>
      <c r="M37" s="33">
        <v>21.66</v>
      </c>
      <c r="N37" s="33">
        <v>21.66</v>
      </c>
      <c r="O37" s="33">
        <v>21.66</v>
      </c>
      <c r="P37" s="33">
        <v>21.66</v>
      </c>
      <c r="Q37" s="33">
        <v>21.66</v>
      </c>
      <c r="R37" s="33">
        <v>21.66</v>
      </c>
      <c r="S37" s="33">
        <v>21.66</v>
      </c>
      <c r="T37" s="33">
        <v>21.66</v>
      </c>
      <c r="U37" s="33">
        <v>21.66</v>
      </c>
      <c r="V37" s="33">
        <v>21.66</v>
      </c>
      <c r="W37" s="33">
        <v>21.66</v>
      </c>
      <c r="X37" s="33">
        <v>21.66</v>
      </c>
      <c r="Y37" s="33">
        <v>21.66</v>
      </c>
      <c r="Z37" s="33">
        <v>21.66</v>
      </c>
      <c r="AA37" s="33">
        <v>21.66</v>
      </c>
      <c r="AB37" s="33">
        <v>21.66</v>
      </c>
      <c r="AC37" s="33">
        <v>21.66</v>
      </c>
      <c r="AD37" s="33">
        <v>49.69</v>
      </c>
      <c r="AE37" s="33">
        <v>76.45</v>
      </c>
      <c r="AF37" s="33">
        <v>92.61</v>
      </c>
      <c r="AG37" s="33">
        <v>90.18</v>
      </c>
      <c r="AH37" s="33">
        <v>58.35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1911</v>
      </c>
      <c r="E38" s="32"/>
      <c r="F38" s="32"/>
      <c r="G38" s="32"/>
      <c r="H38" s="33">
        <v>90.99</v>
      </c>
      <c r="I38" s="33">
        <v>106.86</v>
      </c>
      <c r="J38" s="33">
        <v>89.1</v>
      </c>
      <c r="K38" s="33">
        <v>82.87</v>
      </c>
      <c r="L38" s="33">
        <v>26.62</v>
      </c>
      <c r="M38" s="33">
        <v>21.66</v>
      </c>
      <c r="N38" s="33">
        <v>21.66</v>
      </c>
      <c r="O38" s="33">
        <v>21.66</v>
      </c>
      <c r="P38" s="33">
        <v>21.66</v>
      </c>
      <c r="Q38" s="33">
        <v>21.66</v>
      </c>
      <c r="R38" s="33">
        <v>21.66</v>
      </c>
      <c r="S38" s="33">
        <v>45.91</v>
      </c>
      <c r="T38" s="33">
        <v>94.05</v>
      </c>
      <c r="U38" s="33">
        <v>99.48</v>
      </c>
      <c r="V38" s="33">
        <v>86.68</v>
      </c>
      <c r="W38" s="33">
        <v>64.6</v>
      </c>
      <c r="X38" s="33">
        <v>21.66</v>
      </c>
      <c r="Y38" s="33">
        <v>21.66</v>
      </c>
      <c r="Z38" s="33">
        <v>21.66</v>
      </c>
      <c r="AA38" s="33">
        <v>21.66</v>
      </c>
      <c r="AB38" s="33">
        <v>21.66</v>
      </c>
      <c r="AC38" s="33">
        <v>21.66</v>
      </c>
      <c r="AD38" s="33">
        <v>21.66</v>
      </c>
      <c r="AE38" s="33">
        <v>32.49</v>
      </c>
      <c r="AF38" s="33">
        <v>77.52</v>
      </c>
      <c r="AG38" s="33">
        <v>97.59</v>
      </c>
      <c r="AH38" s="33">
        <v>78.58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1912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6">
        <f>171.53+0.00+50.43+0.00</f>
        <v>221.96</v>
      </c>
      <c r="AC39" s="32"/>
      <c r="AD39" s="32"/>
      <c r="AE39" s="32"/>
      <c r="AF39" s="32"/>
      <c r="AG39" s="32"/>
      <c r="AH39" s="32"/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1913</v>
      </c>
      <c r="E40" s="32"/>
      <c r="F40" s="32"/>
      <c r="G40" s="32"/>
      <c r="H40" s="33">
        <v>21.66</v>
      </c>
      <c r="I40" s="33">
        <v>21.66</v>
      </c>
      <c r="J40" s="33">
        <v>21.66</v>
      </c>
      <c r="K40" s="33">
        <v>21.66</v>
      </c>
      <c r="L40" s="33">
        <v>21.66</v>
      </c>
      <c r="M40" s="33">
        <v>21.66</v>
      </c>
      <c r="N40" s="33">
        <v>21.66</v>
      </c>
      <c r="O40" s="33">
        <v>21.66</v>
      </c>
      <c r="P40" s="33">
        <v>21.66</v>
      </c>
      <c r="Q40" s="33">
        <v>21.66</v>
      </c>
      <c r="R40" s="33">
        <v>21.66</v>
      </c>
      <c r="S40" s="33">
        <v>46.24</v>
      </c>
      <c r="T40" s="33">
        <v>109.46</v>
      </c>
      <c r="U40" s="33">
        <v>44.42</v>
      </c>
      <c r="V40" s="33">
        <v>65.29</v>
      </c>
      <c r="W40" s="33">
        <v>62.43</v>
      </c>
      <c r="X40" s="33">
        <v>98.77</v>
      </c>
      <c r="Y40" s="33">
        <v>53.01</v>
      </c>
      <c r="Z40" s="33">
        <v>21.66</v>
      </c>
      <c r="AA40" s="33">
        <v>21.66</v>
      </c>
      <c r="AB40" s="33">
        <v>21.66</v>
      </c>
      <c r="AC40" s="33">
        <v>21.66</v>
      </c>
      <c r="AD40" s="33">
        <v>34.05</v>
      </c>
      <c r="AE40" s="33">
        <v>74.32</v>
      </c>
      <c r="AF40" s="33">
        <v>59.33</v>
      </c>
      <c r="AG40" s="33">
        <v>69.68</v>
      </c>
      <c r="AH40" s="33">
        <v>88.93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1914</v>
      </c>
      <c r="E41" s="32"/>
      <c r="F41" s="32"/>
      <c r="G41" s="32"/>
      <c r="H41" s="33">
        <v>842.44</v>
      </c>
      <c r="I41" s="33">
        <v>1046.02</v>
      </c>
      <c r="J41" s="33">
        <v>879.5</v>
      </c>
      <c r="K41" s="33">
        <v>636.63</v>
      </c>
      <c r="L41" s="33">
        <v>719.49</v>
      </c>
      <c r="M41" s="33">
        <v>1109.78</v>
      </c>
      <c r="N41" s="33">
        <v>1772.74</v>
      </c>
      <c r="O41" s="33">
        <v>2106.37</v>
      </c>
      <c r="P41" s="33">
        <v>1747.42</v>
      </c>
      <c r="Q41" s="33">
        <v>1498.18</v>
      </c>
      <c r="R41" s="33">
        <v>850.24</v>
      </c>
      <c r="S41" s="33">
        <v>620.41</v>
      </c>
      <c r="T41" s="33">
        <v>761.31</v>
      </c>
      <c r="U41" s="33">
        <v>890.31</v>
      </c>
      <c r="V41" s="33">
        <v>578.77</v>
      </c>
      <c r="W41" s="33">
        <v>616.43</v>
      </c>
      <c r="X41" s="33">
        <v>652.71</v>
      </c>
      <c r="Y41" s="33">
        <v>767.07</v>
      </c>
      <c r="Z41" s="33">
        <v>1459.03</v>
      </c>
      <c r="AA41" s="33">
        <v>1590.47</v>
      </c>
      <c r="AB41" s="33">
        <v>1410.06</v>
      </c>
      <c r="AC41" s="33">
        <v>1018.17</v>
      </c>
      <c r="AD41" s="33">
        <v>632.9</v>
      </c>
      <c r="AE41" s="33">
        <v>597.73</v>
      </c>
      <c r="AF41" s="33">
        <v>674.31</v>
      </c>
      <c r="AG41" s="33">
        <v>638.73</v>
      </c>
      <c r="AH41" s="33">
        <v>541.6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1915</v>
      </c>
      <c r="E42" s="32"/>
      <c r="F42" s="32"/>
      <c r="G42" s="32"/>
      <c r="H42" s="33">
        <v>140.47</v>
      </c>
      <c r="I42" s="33">
        <v>118.27</v>
      </c>
      <c r="J42" s="36">
        <f>97.98+26.79+0.00</f>
        <v>124.77000000000001</v>
      </c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1916</v>
      </c>
      <c r="E43" s="32"/>
      <c r="F43" s="32"/>
      <c r="G43" s="32"/>
      <c r="H43" s="33">
        <v>84.24</v>
      </c>
      <c r="I43" s="33">
        <v>127.78</v>
      </c>
      <c r="J43" s="33">
        <v>128.21</v>
      </c>
      <c r="K43" s="33">
        <v>109.28</v>
      </c>
      <c r="L43" s="33">
        <v>34.44</v>
      </c>
      <c r="M43" s="33">
        <v>21.78</v>
      </c>
      <c r="N43" s="33">
        <v>21.66</v>
      </c>
      <c r="O43" s="33">
        <v>21.66</v>
      </c>
      <c r="P43" s="33">
        <v>21.66</v>
      </c>
      <c r="Q43" s="33">
        <v>140.49</v>
      </c>
      <c r="R43" s="33">
        <v>83.55</v>
      </c>
      <c r="S43" s="33">
        <v>128.37</v>
      </c>
      <c r="T43" s="33">
        <v>97.91</v>
      </c>
      <c r="U43" s="33">
        <v>123.95</v>
      </c>
      <c r="V43" s="33">
        <v>106.16</v>
      </c>
      <c r="W43" s="33">
        <v>107.29</v>
      </c>
      <c r="X43" s="33">
        <v>26.08</v>
      </c>
      <c r="Y43" s="33">
        <v>21.66</v>
      </c>
      <c r="Z43" s="33">
        <v>21.66</v>
      </c>
      <c r="AA43" s="33">
        <v>21.66</v>
      </c>
      <c r="AB43" s="33">
        <v>21.66</v>
      </c>
      <c r="AC43" s="33">
        <v>21.66</v>
      </c>
      <c r="AD43" s="33">
        <v>21.66</v>
      </c>
      <c r="AE43" s="33">
        <v>101.3</v>
      </c>
      <c r="AF43" s="33">
        <v>106.66</v>
      </c>
      <c r="AG43" s="33">
        <v>140.38</v>
      </c>
      <c r="AH43" s="33">
        <v>112.09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1917</v>
      </c>
      <c r="E44" s="32"/>
      <c r="F44" s="32"/>
      <c r="G44" s="32"/>
      <c r="H44" s="33">
        <v>45.56</v>
      </c>
      <c r="I44" s="33">
        <v>45.36</v>
      </c>
      <c r="J44" s="33">
        <v>43.3</v>
      </c>
      <c r="K44" s="33">
        <v>45.95</v>
      </c>
      <c r="L44" s="33">
        <v>46.79</v>
      </c>
      <c r="M44" s="33">
        <v>45.54</v>
      </c>
      <c r="N44" s="33">
        <v>46.3</v>
      </c>
      <c r="O44" s="33">
        <v>49.26</v>
      </c>
      <c r="P44" s="33">
        <v>45.67</v>
      </c>
      <c r="Q44" s="33">
        <v>46.93</v>
      </c>
      <c r="R44" s="33">
        <v>44.84</v>
      </c>
      <c r="S44" s="33">
        <v>47.61</v>
      </c>
      <c r="T44" s="33">
        <v>48.62</v>
      </c>
      <c r="U44" s="33">
        <v>51.37</v>
      </c>
      <c r="V44" s="33">
        <v>43.73</v>
      </c>
      <c r="W44" s="33">
        <v>47.61</v>
      </c>
      <c r="X44" s="33">
        <v>48.38</v>
      </c>
      <c r="Y44" s="33">
        <v>43.55</v>
      </c>
      <c r="Z44" s="33">
        <v>45.54</v>
      </c>
      <c r="AA44" s="33">
        <v>47.78</v>
      </c>
      <c r="AB44" s="33">
        <v>42.54</v>
      </c>
      <c r="AC44" s="33">
        <v>43.17</v>
      </c>
      <c r="AD44" s="33">
        <v>41.73</v>
      </c>
      <c r="AE44" s="33">
        <v>42.97</v>
      </c>
      <c r="AF44" s="33">
        <v>43.27</v>
      </c>
      <c r="AG44" s="33">
        <v>43.1</v>
      </c>
      <c r="AH44" s="33">
        <v>42.52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1918</v>
      </c>
      <c r="E45" s="32"/>
      <c r="F45" s="32"/>
      <c r="G45" s="32"/>
      <c r="H45" s="33">
        <v>21.66</v>
      </c>
      <c r="I45" s="33">
        <v>43.16</v>
      </c>
      <c r="J45" s="33">
        <v>62.08</v>
      </c>
      <c r="K45" s="33">
        <v>21.66</v>
      </c>
      <c r="L45" s="33">
        <v>29.11</v>
      </c>
      <c r="M45" s="33">
        <v>100.06</v>
      </c>
      <c r="N45" s="33">
        <v>21.66</v>
      </c>
      <c r="O45" s="33">
        <v>21.66</v>
      </c>
      <c r="P45" s="33">
        <v>21.66</v>
      </c>
      <c r="Q45" s="33">
        <v>21.66</v>
      </c>
      <c r="R45" s="33">
        <v>21.66</v>
      </c>
      <c r="S45" s="33">
        <v>134.73</v>
      </c>
      <c r="T45" s="33">
        <v>138.62</v>
      </c>
      <c r="U45" s="33">
        <v>105.19</v>
      </c>
      <c r="V45" s="33">
        <v>129.77</v>
      </c>
      <c r="W45" s="33">
        <v>148.62</v>
      </c>
      <c r="X45" s="33">
        <v>49.39</v>
      </c>
      <c r="Y45" s="33">
        <v>21.66</v>
      </c>
      <c r="Z45" s="33">
        <v>21.66</v>
      </c>
      <c r="AA45" s="33">
        <v>21.66</v>
      </c>
      <c r="AB45" s="33">
        <v>21.66</v>
      </c>
      <c r="AC45" s="33">
        <v>21.66</v>
      </c>
      <c r="AD45" s="33">
        <v>21.66</v>
      </c>
      <c r="AE45" s="33">
        <v>81.93</v>
      </c>
      <c r="AF45" s="33">
        <v>146.22</v>
      </c>
      <c r="AG45" s="33">
        <v>115.4</v>
      </c>
      <c r="AH45" s="33">
        <v>122.02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1919</v>
      </c>
      <c r="E46" s="32"/>
      <c r="F46" s="32"/>
      <c r="G46" s="32"/>
      <c r="H46" s="33">
        <v>785.24</v>
      </c>
      <c r="I46" s="33">
        <v>1158.12</v>
      </c>
      <c r="J46" s="33">
        <v>910.96</v>
      </c>
      <c r="K46" s="33">
        <v>680.01</v>
      </c>
      <c r="L46" s="33">
        <v>679.9</v>
      </c>
      <c r="M46" s="33">
        <v>809.87</v>
      </c>
      <c r="N46" s="33">
        <v>1552.18</v>
      </c>
      <c r="O46" s="33">
        <v>1831.37</v>
      </c>
      <c r="P46" s="33">
        <v>1401.02</v>
      </c>
      <c r="Q46" s="33">
        <v>1174.25</v>
      </c>
      <c r="R46" s="33">
        <v>775.87</v>
      </c>
      <c r="S46" s="33">
        <v>673.62</v>
      </c>
      <c r="T46" s="33">
        <v>842.31</v>
      </c>
      <c r="U46" s="33">
        <v>999.17</v>
      </c>
      <c r="V46" s="33">
        <v>599.07</v>
      </c>
      <c r="W46" s="33">
        <v>642.81</v>
      </c>
      <c r="X46" s="33">
        <v>638.6</v>
      </c>
      <c r="Y46" s="33">
        <v>925.09</v>
      </c>
      <c r="Z46" s="33">
        <v>1603.14</v>
      </c>
      <c r="AA46" s="33">
        <v>1838.76</v>
      </c>
      <c r="AB46" s="33">
        <v>1653.62</v>
      </c>
      <c r="AC46" s="33">
        <v>1130.13</v>
      </c>
      <c r="AD46" s="33">
        <v>609.35</v>
      </c>
      <c r="AE46" s="33">
        <v>627.17</v>
      </c>
      <c r="AF46" s="33">
        <v>675.99</v>
      </c>
      <c r="AG46" s="33">
        <v>722.59</v>
      </c>
      <c r="AH46" s="33">
        <v>529.87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1920</v>
      </c>
      <c r="E47" s="32"/>
      <c r="F47" s="32"/>
      <c r="G47" s="32"/>
      <c r="H47" s="33">
        <v>68.28</v>
      </c>
      <c r="I47" s="33">
        <v>53.37</v>
      </c>
      <c r="J47" s="33">
        <v>79.27</v>
      </c>
      <c r="K47" s="33">
        <v>61.83</v>
      </c>
      <c r="L47" s="33">
        <v>24.51</v>
      </c>
      <c r="M47" s="33">
        <v>21.66</v>
      </c>
      <c r="N47" s="33">
        <v>21.66</v>
      </c>
      <c r="O47" s="33">
        <v>21.66</v>
      </c>
      <c r="P47" s="33">
        <v>21.66</v>
      </c>
      <c r="Q47" s="33">
        <v>21.66</v>
      </c>
      <c r="R47" s="33">
        <v>21.66</v>
      </c>
      <c r="S47" s="33">
        <v>93.49</v>
      </c>
      <c r="T47" s="33">
        <v>77.97</v>
      </c>
      <c r="U47" s="33">
        <v>96.64</v>
      </c>
      <c r="V47" s="33">
        <v>79.31</v>
      </c>
      <c r="W47" s="33">
        <v>76.71</v>
      </c>
      <c r="X47" s="33">
        <v>27.09</v>
      </c>
      <c r="Y47" s="33">
        <v>27.27</v>
      </c>
      <c r="Z47" s="33">
        <v>27.27</v>
      </c>
      <c r="AA47" s="33">
        <v>27.68</v>
      </c>
      <c r="AB47" s="33">
        <v>27.68</v>
      </c>
      <c r="AC47" s="33">
        <v>27.27</v>
      </c>
      <c r="AD47" s="33">
        <v>27.4</v>
      </c>
      <c r="AE47" s="33">
        <v>78.1</v>
      </c>
      <c r="AF47" s="33">
        <v>84.09</v>
      </c>
      <c r="AG47" s="33">
        <v>93.78</v>
      </c>
      <c r="AH47" s="33">
        <v>71.33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1921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6">
        <f>0.00+63.53</f>
        <v>63.53</v>
      </c>
      <c r="AE48" s="33">
        <v>32.49</v>
      </c>
      <c r="AF48" s="33">
        <v>32.49</v>
      </c>
      <c r="AG48" s="33">
        <v>32.49</v>
      </c>
      <c r="AH48" s="33">
        <v>32.49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1922</v>
      </c>
      <c r="E49" s="32"/>
      <c r="F49" s="32"/>
      <c r="G49" s="32"/>
      <c r="H49" s="36">
        <f>749.23+153.39+140.79</f>
        <v>1043.41</v>
      </c>
      <c r="I49" s="36">
        <f>751.96+153.95+197.76</f>
        <v>1103.67</v>
      </c>
      <c r="J49" s="36">
        <f>137.13+740.93+151.70</f>
        <v>1029.76</v>
      </c>
      <c r="K49" s="36">
        <f>740.93+100.42+151.69</f>
        <v>993.04</v>
      </c>
      <c r="L49" s="36">
        <f>82.94+151.73+741.01</f>
        <v>975.68</v>
      </c>
      <c r="M49" s="36">
        <f>741.40+170.30+151.80</f>
        <v>1063.5</v>
      </c>
      <c r="N49" s="36">
        <f>272.75+151.81+741.41</f>
        <v>1165.97</v>
      </c>
      <c r="O49" s="36">
        <f>151.81+300.53+741.40</f>
        <v>1193.74</v>
      </c>
      <c r="P49" s="36">
        <f>294.51+696.22+196.99</f>
        <v>1187.72</v>
      </c>
      <c r="Q49" s="36">
        <f>741.40+151.81+251.61</f>
        <v>1144.8200000000002</v>
      </c>
      <c r="R49" s="36">
        <f>152.79+152.01+742.37</f>
        <v>1047.17</v>
      </c>
      <c r="S49" s="36">
        <f>756.61+96.19+154.71</f>
        <v>1007.51</v>
      </c>
      <c r="T49" s="36">
        <f>128.36+756.61+154.71</f>
        <v>1039.68</v>
      </c>
      <c r="U49" s="36">
        <f>154.71+756.61+220.89</f>
        <v>1132.21</v>
      </c>
      <c r="V49" s="36">
        <f>154.71+756.61+111.34</f>
        <v>1022.6600000000001</v>
      </c>
      <c r="W49" s="36">
        <f>154.71+756.61+150.62</f>
        <v>1061.94</v>
      </c>
      <c r="X49" s="36">
        <f>155.57+75.38+760.74</f>
        <v>991.69</v>
      </c>
      <c r="Y49" s="36">
        <f>154.84+168.01+756.63</f>
        <v>1079.48</v>
      </c>
      <c r="Z49" s="36">
        <f>155.76+271.86+761.16</f>
        <v>1188.78</v>
      </c>
      <c r="AA49" s="36">
        <f>152.87+354.61+746.98</f>
        <v>1254.46</v>
      </c>
      <c r="AB49" s="36">
        <f>746.97+152.86+321.85</f>
        <v>1221.68</v>
      </c>
      <c r="AC49" s="36">
        <f>250.77+746.98+152.87</f>
        <v>1150.62</v>
      </c>
      <c r="AD49" s="36">
        <f>153.23+748.89+121.89</f>
        <v>1024.01</v>
      </c>
      <c r="AE49" s="36">
        <f>755.03+120.40+154.43</f>
        <v>1029.86</v>
      </c>
      <c r="AF49" s="36">
        <f>154.43+755.03+181.47</f>
        <v>1090.93</v>
      </c>
      <c r="AG49" s="36">
        <f>754.82+215.75+154.39</f>
        <v>1124.96</v>
      </c>
      <c r="AH49" s="36">
        <f>96.89+154.39+754.83</f>
        <v>1006.11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1923</v>
      </c>
      <c r="E50" s="32"/>
      <c r="F50" s="32"/>
      <c r="G50" s="32"/>
      <c r="H50" s="33">
        <v>21.66</v>
      </c>
      <c r="I50" s="33">
        <v>22.08</v>
      </c>
      <c r="J50" s="33">
        <v>21.66</v>
      </c>
      <c r="K50" s="33">
        <v>21.66</v>
      </c>
      <c r="L50" s="33">
        <v>21.66</v>
      </c>
      <c r="M50" s="33">
        <v>21.66</v>
      </c>
      <c r="N50" s="33">
        <v>21.66</v>
      </c>
      <c r="O50" s="33">
        <v>21.66</v>
      </c>
      <c r="P50" s="33">
        <v>21.66</v>
      </c>
      <c r="Q50" s="33">
        <v>21.66</v>
      </c>
      <c r="R50" s="33">
        <v>21.66</v>
      </c>
      <c r="S50" s="33">
        <v>32.44</v>
      </c>
      <c r="T50" s="33">
        <v>53.49</v>
      </c>
      <c r="U50" s="33">
        <v>81.25</v>
      </c>
      <c r="V50" s="33">
        <v>60.84</v>
      </c>
      <c r="W50" s="33">
        <v>58.26</v>
      </c>
      <c r="X50" s="33">
        <v>21.66</v>
      </c>
      <c r="Y50" s="33">
        <v>21.66</v>
      </c>
      <c r="Z50" s="33">
        <v>21.66</v>
      </c>
      <c r="AA50" s="33">
        <v>21.66</v>
      </c>
      <c r="AB50" s="33">
        <v>21.66</v>
      </c>
      <c r="AC50" s="33">
        <v>21.66</v>
      </c>
      <c r="AD50" s="33">
        <v>21.66</v>
      </c>
      <c r="AE50" s="33">
        <v>32.49</v>
      </c>
      <c r="AF50" s="33">
        <v>32.49</v>
      </c>
      <c r="AG50" s="33">
        <v>32.49</v>
      </c>
      <c r="AH50" s="33">
        <v>42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1924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6">
        <f>46.87+0.00</f>
        <v>46.87</v>
      </c>
      <c r="Z51" s="33">
        <v>143.39</v>
      </c>
      <c r="AA51" s="33">
        <v>69.45</v>
      </c>
      <c r="AB51" s="33">
        <v>230.51</v>
      </c>
      <c r="AC51" s="36">
        <f>0.00+117.61</f>
        <v>117.61</v>
      </c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1925</v>
      </c>
      <c r="E52" s="32"/>
      <c r="F52" s="32"/>
      <c r="G52" s="32"/>
      <c r="H52" s="33">
        <v>1225.87</v>
      </c>
      <c r="I52" s="33">
        <v>1404.98</v>
      </c>
      <c r="J52" s="33">
        <v>1141.11</v>
      </c>
      <c r="K52" s="33">
        <v>1061.29</v>
      </c>
      <c r="L52" s="33">
        <v>1419.24</v>
      </c>
      <c r="M52" s="33">
        <v>1215.9</v>
      </c>
      <c r="N52" s="33">
        <v>2033.96</v>
      </c>
      <c r="O52" s="33">
        <v>2350.53</v>
      </c>
      <c r="P52" s="33">
        <v>1779.79</v>
      </c>
      <c r="Q52" s="33">
        <v>1586.96</v>
      </c>
      <c r="R52" s="33">
        <v>1180.93</v>
      </c>
      <c r="S52" s="33">
        <v>925.55</v>
      </c>
      <c r="T52" s="33">
        <v>1121.88</v>
      </c>
      <c r="U52" s="33">
        <v>1538.97</v>
      </c>
      <c r="V52" s="33">
        <v>1014.88</v>
      </c>
      <c r="W52" s="33">
        <v>1120.24</v>
      </c>
      <c r="X52" s="33">
        <v>967.55</v>
      </c>
      <c r="Y52" s="33">
        <v>922.06</v>
      </c>
      <c r="Z52" s="33">
        <v>1538.26</v>
      </c>
      <c r="AA52" s="33">
        <v>1632.92</v>
      </c>
      <c r="AB52" s="33">
        <v>1516.76</v>
      </c>
      <c r="AC52" s="33">
        <v>1168.97</v>
      </c>
      <c r="AD52" s="33">
        <v>760.9</v>
      </c>
      <c r="AE52" s="33">
        <v>796.93</v>
      </c>
      <c r="AF52" s="33">
        <v>999.9</v>
      </c>
      <c r="AG52" s="33">
        <v>1161.38</v>
      </c>
      <c r="AH52" s="33">
        <v>1131.76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1926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6">
        <f>0.00+89.93</f>
        <v>89.93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1927</v>
      </c>
      <c r="E54" s="32"/>
      <c r="F54" s="32"/>
      <c r="G54" s="32"/>
      <c r="H54" s="32"/>
      <c r="I54" s="33">
        <v>70.67</v>
      </c>
      <c r="J54" s="33">
        <v>70.67</v>
      </c>
      <c r="K54" s="33">
        <v>70.67</v>
      </c>
      <c r="L54" s="33">
        <v>70.67</v>
      </c>
      <c r="M54" s="33">
        <v>70.69</v>
      </c>
      <c r="N54" s="33">
        <v>70.72</v>
      </c>
      <c r="O54" s="33">
        <v>70.72</v>
      </c>
      <c r="P54" s="33">
        <v>70.72</v>
      </c>
      <c r="Q54" s="33">
        <v>70.72</v>
      </c>
      <c r="R54" s="33">
        <v>70.72</v>
      </c>
      <c r="S54" s="33">
        <v>71.69</v>
      </c>
      <c r="T54" s="33">
        <v>72.4</v>
      </c>
      <c r="U54" s="33">
        <v>72.4</v>
      </c>
      <c r="V54" s="33">
        <v>72.4</v>
      </c>
      <c r="W54" s="33">
        <v>72.4</v>
      </c>
      <c r="X54" s="33">
        <v>72.4</v>
      </c>
      <c r="Y54" s="33">
        <v>71.72</v>
      </c>
      <c r="Z54" s="33">
        <v>71.33</v>
      </c>
      <c r="AA54" s="33">
        <v>71.33</v>
      </c>
      <c r="AB54" s="33">
        <v>71.33</v>
      </c>
      <c r="AC54" s="33">
        <v>71.33</v>
      </c>
      <c r="AD54" s="33">
        <v>71.33</v>
      </c>
      <c r="AE54" s="33">
        <v>71.94</v>
      </c>
      <c r="AF54" s="33">
        <v>72.19</v>
      </c>
      <c r="AG54" s="33">
        <v>72.18</v>
      </c>
      <c r="AH54" s="33">
        <v>72.17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1928</v>
      </c>
      <c r="E55" s="32"/>
      <c r="F55" s="32"/>
      <c r="G55" s="32"/>
      <c r="H55" s="33">
        <v>50.52</v>
      </c>
      <c r="I55" s="33">
        <v>56</v>
      </c>
      <c r="J55" s="33">
        <v>60.45</v>
      </c>
      <c r="K55" s="33">
        <v>56.22</v>
      </c>
      <c r="L55" s="33">
        <v>51.04</v>
      </c>
      <c r="M55" s="33">
        <v>67.63</v>
      </c>
      <c r="N55" s="33">
        <v>66.24</v>
      </c>
      <c r="O55" s="33">
        <v>65.84</v>
      </c>
      <c r="P55" s="33">
        <v>65.1</v>
      </c>
      <c r="Q55" s="33">
        <v>59.94</v>
      </c>
      <c r="R55" s="33">
        <v>60.5</v>
      </c>
      <c r="S55" s="33">
        <v>57.13</v>
      </c>
      <c r="T55" s="33">
        <v>64.82</v>
      </c>
      <c r="U55" s="33">
        <v>75.69</v>
      </c>
      <c r="V55" s="33">
        <v>69.59</v>
      </c>
      <c r="W55" s="33">
        <v>70.6</v>
      </c>
      <c r="X55" s="33">
        <v>52.82</v>
      </c>
      <c r="Y55" s="33">
        <v>61.68</v>
      </c>
      <c r="Z55" s="33">
        <v>62.51</v>
      </c>
      <c r="AA55" s="33">
        <v>65.34</v>
      </c>
      <c r="AB55" s="33">
        <v>29.3</v>
      </c>
      <c r="AC55" s="33">
        <v>28.81</v>
      </c>
      <c r="AD55" s="33">
        <v>22.08</v>
      </c>
      <c r="AE55" s="33">
        <v>32.49</v>
      </c>
      <c r="AF55" s="33">
        <v>32.49</v>
      </c>
      <c r="AG55" s="33">
        <v>32.49</v>
      </c>
      <c r="AH55" s="33">
        <v>32.49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1929</v>
      </c>
      <c r="E56" s="32"/>
      <c r="F56" s="32"/>
      <c r="G56" s="32"/>
      <c r="H56" s="33">
        <v>21.66</v>
      </c>
      <c r="I56" s="33">
        <v>22.08</v>
      </c>
      <c r="J56" s="33">
        <v>21.66</v>
      </c>
      <c r="K56" s="33">
        <v>21.66</v>
      </c>
      <c r="L56" s="33">
        <v>21.66</v>
      </c>
      <c r="M56" s="33">
        <v>21.66</v>
      </c>
      <c r="N56" s="33">
        <v>21.66</v>
      </c>
      <c r="O56" s="33">
        <v>21.66</v>
      </c>
      <c r="P56" s="33">
        <v>21.66</v>
      </c>
      <c r="Q56" s="33">
        <v>21.66</v>
      </c>
      <c r="R56" s="33">
        <v>21.66</v>
      </c>
      <c r="S56" s="33">
        <v>21.66</v>
      </c>
      <c r="T56" s="33">
        <v>21.66</v>
      </c>
      <c r="U56" s="33">
        <v>21.66</v>
      </c>
      <c r="V56" s="33">
        <v>21.66</v>
      </c>
      <c r="W56" s="33">
        <v>21.66</v>
      </c>
      <c r="X56" s="33">
        <v>21.66</v>
      </c>
      <c r="Y56" s="33">
        <v>21.66</v>
      </c>
      <c r="Z56" s="33">
        <v>21.66</v>
      </c>
      <c r="AA56" s="33">
        <v>21.66</v>
      </c>
      <c r="AB56" s="33">
        <v>21.66</v>
      </c>
      <c r="AC56" s="33">
        <v>21.66</v>
      </c>
      <c r="AD56" s="33">
        <v>21.66</v>
      </c>
      <c r="AE56" s="33">
        <v>32.49</v>
      </c>
      <c r="AF56" s="33">
        <v>32.49</v>
      </c>
      <c r="AG56" s="33">
        <v>32.49</v>
      </c>
      <c r="AH56" s="33">
        <v>32.49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1930</v>
      </c>
      <c r="E57" s="32"/>
      <c r="F57" s="32"/>
      <c r="G57" s="32"/>
      <c r="H57" s="32"/>
      <c r="I57" s="32"/>
      <c r="J57" s="32"/>
      <c r="K57" s="32"/>
      <c r="L57" s="32"/>
      <c r="M57" s="32"/>
      <c r="N57" s="36">
        <f>0.00+102.95</f>
        <v>102.95</v>
      </c>
      <c r="O57" s="33">
        <v>174.96</v>
      </c>
      <c r="P57" s="33">
        <v>150.29</v>
      </c>
      <c r="Q57" s="36">
        <f>0.00+97.08</f>
        <v>97.08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1931</v>
      </c>
      <c r="E58" s="32"/>
      <c r="F58" s="32"/>
      <c r="G58" s="32"/>
      <c r="H58" s="33">
        <v>66.38</v>
      </c>
      <c r="I58" s="33">
        <v>98.31</v>
      </c>
      <c r="J58" s="33">
        <v>84.98</v>
      </c>
      <c r="K58" s="33">
        <v>62.89</v>
      </c>
      <c r="L58" s="33">
        <v>21.66</v>
      </c>
      <c r="M58" s="33">
        <v>21.66</v>
      </c>
      <c r="N58" s="33">
        <v>21.66</v>
      </c>
      <c r="O58" s="33">
        <v>21.66</v>
      </c>
      <c r="P58" s="33">
        <v>21.66</v>
      </c>
      <c r="Q58" s="33">
        <v>21.66</v>
      </c>
      <c r="R58" s="33">
        <v>21.66</v>
      </c>
      <c r="S58" s="33">
        <v>21.66</v>
      </c>
      <c r="T58" s="33">
        <v>21.66</v>
      </c>
      <c r="U58" s="33">
        <v>21.66</v>
      </c>
      <c r="V58" s="33">
        <v>21.66</v>
      </c>
      <c r="W58" s="33">
        <v>21.66</v>
      </c>
      <c r="X58" s="33">
        <v>21.66</v>
      </c>
      <c r="Y58" s="33">
        <v>21.66</v>
      </c>
      <c r="Z58" s="33">
        <v>21.66</v>
      </c>
      <c r="AA58" s="33">
        <v>21.66</v>
      </c>
      <c r="AB58" s="33">
        <v>21.66</v>
      </c>
      <c r="AC58" s="33">
        <v>21.66</v>
      </c>
      <c r="AD58" s="33">
        <v>32.49</v>
      </c>
      <c r="AE58" s="33">
        <v>32.49</v>
      </c>
      <c r="AF58" s="33">
        <v>32.49</v>
      </c>
      <c r="AG58" s="33">
        <v>32.49</v>
      </c>
      <c r="AH58" s="33">
        <v>32.49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1932</v>
      </c>
      <c r="E59" s="32"/>
      <c r="F59" s="32"/>
      <c r="G59" s="32"/>
      <c r="H59" s="33">
        <v>501.37</v>
      </c>
      <c r="I59" s="33">
        <v>475.85</v>
      </c>
      <c r="J59" s="33">
        <v>367.99</v>
      </c>
      <c r="K59" s="33">
        <v>349.66</v>
      </c>
      <c r="L59" s="33">
        <v>313.01</v>
      </c>
      <c r="M59" s="33">
        <v>331.29</v>
      </c>
      <c r="N59" s="33">
        <v>740.24</v>
      </c>
      <c r="O59" s="33">
        <v>937.18</v>
      </c>
      <c r="P59" s="33">
        <v>790.19</v>
      </c>
      <c r="Q59" s="33">
        <v>595.72</v>
      </c>
      <c r="R59" s="33">
        <v>335.46</v>
      </c>
      <c r="S59" s="33">
        <v>250.58</v>
      </c>
      <c r="T59" s="33">
        <v>276.88</v>
      </c>
      <c r="U59" s="33">
        <v>328</v>
      </c>
      <c r="V59" s="33">
        <v>256.88</v>
      </c>
      <c r="W59" s="33">
        <v>277.55</v>
      </c>
      <c r="X59" s="33">
        <v>293.27</v>
      </c>
      <c r="Y59" s="33">
        <v>366.08</v>
      </c>
      <c r="Z59" s="33">
        <v>500.8</v>
      </c>
      <c r="AA59" s="33">
        <v>596.48</v>
      </c>
      <c r="AB59" s="33">
        <v>545.9</v>
      </c>
      <c r="AC59" s="33">
        <v>424.59</v>
      </c>
      <c r="AD59" s="33">
        <v>238.65</v>
      </c>
      <c r="AE59" s="33">
        <v>224.35</v>
      </c>
      <c r="AF59" s="33">
        <v>309.06</v>
      </c>
      <c r="AG59" s="33">
        <v>343.27</v>
      </c>
      <c r="AH59" s="33">
        <v>214.98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1933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6">
        <f>53.19+0.00</f>
        <v>53.19</v>
      </c>
      <c r="AG60" s="33">
        <v>32.49</v>
      </c>
      <c r="AH60" s="33">
        <v>32.49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1934</v>
      </c>
      <c r="E61" s="32"/>
      <c r="F61" s="32"/>
      <c r="G61" s="32"/>
      <c r="H61" s="33">
        <v>1418.01</v>
      </c>
      <c r="I61" s="33">
        <v>1973.12</v>
      </c>
      <c r="J61" s="33">
        <v>1424.9</v>
      </c>
      <c r="K61" s="33">
        <v>1223.8</v>
      </c>
      <c r="L61" s="33">
        <v>1181.2</v>
      </c>
      <c r="M61" s="33">
        <v>1466.34</v>
      </c>
      <c r="N61" s="33">
        <v>2342.56</v>
      </c>
      <c r="O61" s="33">
        <v>2732.82</v>
      </c>
      <c r="P61" s="33">
        <v>1928.21</v>
      </c>
      <c r="Q61" s="33">
        <v>1610.47</v>
      </c>
      <c r="R61" s="33">
        <v>1089.58</v>
      </c>
      <c r="S61" s="33">
        <v>902.84</v>
      </c>
      <c r="T61" s="33">
        <v>1019.86</v>
      </c>
      <c r="U61" s="33">
        <v>1548.18</v>
      </c>
      <c r="V61" s="33">
        <v>1053.64</v>
      </c>
      <c r="W61" s="33">
        <v>1162.88</v>
      </c>
      <c r="X61" s="33">
        <v>982.74</v>
      </c>
      <c r="Y61" s="33">
        <v>1216.29</v>
      </c>
      <c r="Z61" s="33">
        <v>2004.59</v>
      </c>
      <c r="AA61" s="33">
        <v>2406.78</v>
      </c>
      <c r="AB61" s="33">
        <v>2180.66</v>
      </c>
      <c r="AC61" s="33">
        <v>1651.8</v>
      </c>
      <c r="AD61" s="33">
        <v>944.72</v>
      </c>
      <c r="AE61" s="33">
        <v>878.27</v>
      </c>
      <c r="AF61" s="33">
        <v>968.19</v>
      </c>
      <c r="AG61" s="33">
        <v>871.48</v>
      </c>
      <c r="AH61" s="33">
        <v>794.18</v>
      </c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1935</v>
      </c>
      <c r="E62" s="32"/>
      <c r="F62" s="32"/>
      <c r="G62" s="32"/>
      <c r="H62" s="33">
        <v>1185.09</v>
      </c>
      <c r="I62" s="33">
        <v>1611.9</v>
      </c>
      <c r="J62" s="33">
        <v>1235.16</v>
      </c>
      <c r="K62" s="33">
        <v>864.09</v>
      </c>
      <c r="L62" s="33">
        <v>706.77</v>
      </c>
      <c r="M62" s="33">
        <v>715.07</v>
      </c>
      <c r="N62" s="33">
        <v>1110.72</v>
      </c>
      <c r="O62" s="33">
        <v>1332.91</v>
      </c>
      <c r="P62" s="33">
        <v>1175.63</v>
      </c>
      <c r="Q62" s="33">
        <v>1091.19</v>
      </c>
      <c r="R62" s="33">
        <v>806.51</v>
      </c>
      <c r="S62" s="33">
        <v>794.69</v>
      </c>
      <c r="T62" s="33">
        <v>1003.21</v>
      </c>
      <c r="U62" s="33">
        <v>1282.07</v>
      </c>
      <c r="V62" s="33">
        <v>854.3</v>
      </c>
      <c r="W62" s="33">
        <v>765.89</v>
      </c>
      <c r="X62" s="33">
        <v>689.75</v>
      </c>
      <c r="Y62" s="33">
        <v>749.19</v>
      </c>
      <c r="Z62" s="33">
        <v>1173.73</v>
      </c>
      <c r="AA62" s="33">
        <v>1306.12</v>
      </c>
      <c r="AB62" s="33">
        <v>1102.33</v>
      </c>
      <c r="AC62" s="33">
        <v>749.19</v>
      </c>
      <c r="AD62" s="33">
        <v>552.12</v>
      </c>
      <c r="AE62" s="33">
        <v>662.59</v>
      </c>
      <c r="AF62" s="33">
        <v>1002.09</v>
      </c>
      <c r="AG62" s="33">
        <v>958.35</v>
      </c>
      <c r="AH62" s="33">
        <v>793.15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1936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6">
        <f>81.46+0.00</f>
        <v>81.46</v>
      </c>
      <c r="X63" s="33">
        <v>32.17</v>
      </c>
      <c r="Y63" s="33">
        <v>21.66</v>
      </c>
      <c r="Z63" s="33">
        <v>21.66</v>
      </c>
      <c r="AA63" s="33">
        <v>21.66</v>
      </c>
      <c r="AB63" s="33">
        <v>21.66</v>
      </c>
      <c r="AC63" s="33">
        <v>21.66</v>
      </c>
      <c r="AD63" s="36">
        <f>21.66+0.00+0.72</f>
        <v>22.38</v>
      </c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1937</v>
      </c>
      <c r="E64" s="32"/>
      <c r="F64" s="32"/>
      <c r="G64" s="32"/>
      <c r="H64" s="33">
        <v>21.66</v>
      </c>
      <c r="I64" s="33">
        <v>38.88</v>
      </c>
      <c r="J64" s="33">
        <v>105.5</v>
      </c>
      <c r="K64" s="33">
        <v>21.66</v>
      </c>
      <c r="L64" s="33">
        <v>21.66</v>
      </c>
      <c r="M64" s="33">
        <v>21.66</v>
      </c>
      <c r="N64" s="33">
        <v>21.66</v>
      </c>
      <c r="O64" s="33">
        <v>21.66</v>
      </c>
      <c r="P64" s="33">
        <v>21.66</v>
      </c>
      <c r="Q64" s="33">
        <v>21.66</v>
      </c>
      <c r="R64" s="33">
        <v>21.66</v>
      </c>
      <c r="S64" s="33">
        <v>21.66</v>
      </c>
      <c r="T64" s="33">
        <v>23.92</v>
      </c>
      <c r="U64" s="33">
        <v>42.06</v>
      </c>
      <c r="V64" s="33">
        <v>21.66</v>
      </c>
      <c r="W64" s="33">
        <v>21.66</v>
      </c>
      <c r="X64" s="33">
        <v>80</v>
      </c>
      <c r="Y64" s="33">
        <v>21.66</v>
      </c>
      <c r="Z64" s="33">
        <v>21.66</v>
      </c>
      <c r="AA64" s="33">
        <v>21.66</v>
      </c>
      <c r="AB64" s="33">
        <v>21.66</v>
      </c>
      <c r="AC64" s="36">
        <f>21.66+0.00</f>
        <v>21.66</v>
      </c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1938</v>
      </c>
      <c r="E65" s="32"/>
      <c r="F65" s="32"/>
      <c r="G65" s="32"/>
      <c r="H65" s="33">
        <v>357.86</v>
      </c>
      <c r="I65" s="33">
        <v>367.71</v>
      </c>
      <c r="J65" s="33">
        <v>345.91</v>
      </c>
      <c r="K65" s="33">
        <v>353</v>
      </c>
      <c r="L65" s="33">
        <v>386.22</v>
      </c>
      <c r="M65" s="33">
        <v>356.05</v>
      </c>
      <c r="N65" s="33">
        <v>352.07</v>
      </c>
      <c r="O65" s="33">
        <v>377.28</v>
      </c>
      <c r="P65" s="33">
        <v>328.55</v>
      </c>
      <c r="Q65" s="33">
        <v>368.95</v>
      </c>
      <c r="R65" s="33">
        <v>344.65</v>
      </c>
      <c r="S65" s="33">
        <v>361.03</v>
      </c>
      <c r="T65" s="33">
        <v>383.54</v>
      </c>
      <c r="U65" s="33">
        <v>390.22</v>
      </c>
      <c r="V65" s="33">
        <v>350.1</v>
      </c>
      <c r="W65" s="33">
        <v>375.2</v>
      </c>
      <c r="X65" s="33">
        <v>373.26</v>
      </c>
      <c r="Y65" s="33">
        <v>393.99</v>
      </c>
      <c r="Z65" s="33">
        <v>442.62</v>
      </c>
      <c r="AA65" s="33">
        <v>440.9</v>
      </c>
      <c r="AB65" s="33">
        <v>366.01</v>
      </c>
      <c r="AC65" s="33">
        <v>374.97</v>
      </c>
      <c r="AD65" s="33">
        <v>377.73</v>
      </c>
      <c r="AE65" s="33">
        <v>368.8</v>
      </c>
      <c r="AF65" s="33">
        <v>353.82</v>
      </c>
      <c r="AG65" s="33">
        <v>385.34</v>
      </c>
      <c r="AH65" s="33">
        <v>362.56</v>
      </c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1939</v>
      </c>
      <c r="E66" s="32"/>
      <c r="F66" s="32"/>
      <c r="G66" s="32"/>
      <c r="H66" s="33">
        <v>134.77</v>
      </c>
      <c r="I66" s="33">
        <v>150.09</v>
      </c>
      <c r="J66" s="33">
        <v>106.96</v>
      </c>
      <c r="K66" s="33">
        <v>94.08</v>
      </c>
      <c r="L66" s="33">
        <v>32.96</v>
      </c>
      <c r="M66" s="33">
        <v>21.66</v>
      </c>
      <c r="N66" s="33">
        <v>21.66</v>
      </c>
      <c r="O66" s="33">
        <v>21.66</v>
      </c>
      <c r="P66" s="33">
        <v>21.66</v>
      </c>
      <c r="Q66" s="33">
        <v>21.66</v>
      </c>
      <c r="R66" s="33">
        <v>51.3</v>
      </c>
      <c r="S66" s="33">
        <v>99.7</v>
      </c>
      <c r="T66" s="33">
        <v>109.8</v>
      </c>
      <c r="U66" s="33">
        <v>147.52</v>
      </c>
      <c r="V66" s="33">
        <v>98.22</v>
      </c>
      <c r="W66" s="33">
        <v>104.82</v>
      </c>
      <c r="X66" s="33">
        <v>21.66</v>
      </c>
      <c r="Y66" s="33">
        <v>21.66</v>
      </c>
      <c r="Z66" s="33">
        <v>21.66</v>
      </c>
      <c r="AA66" s="33">
        <v>21.66</v>
      </c>
      <c r="AB66" s="33">
        <v>21.66</v>
      </c>
      <c r="AC66" s="33">
        <v>21.66</v>
      </c>
      <c r="AD66" s="33">
        <v>50.9</v>
      </c>
      <c r="AE66" s="33">
        <v>118</v>
      </c>
      <c r="AF66" s="33">
        <v>126.16</v>
      </c>
      <c r="AG66" s="33">
        <v>131.93</v>
      </c>
      <c r="AH66" s="33">
        <v>51.86</v>
      </c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1940</v>
      </c>
      <c r="E67" s="32"/>
      <c r="F67" s="32"/>
      <c r="G67" s="32"/>
      <c r="H67" s="33">
        <v>52.32</v>
      </c>
      <c r="I67" s="36">
        <f>52.10+0.00</f>
        <v>52.1</v>
      </c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1941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6">
        <f>0.00+58.98</f>
        <v>58.98</v>
      </c>
      <c r="AH68" s="33">
        <v>46.53</v>
      </c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1942</v>
      </c>
      <c r="E69" s="32"/>
      <c r="F69" s="32"/>
      <c r="G69" s="32"/>
      <c r="H69" s="33">
        <v>78.1</v>
      </c>
      <c r="I69" s="33">
        <v>92.05</v>
      </c>
      <c r="J69" s="33">
        <v>67.96</v>
      </c>
      <c r="K69" s="33">
        <v>62.98</v>
      </c>
      <c r="L69" s="33">
        <v>39.42</v>
      </c>
      <c r="M69" s="33">
        <v>21.66</v>
      </c>
      <c r="N69" s="33">
        <v>21.66</v>
      </c>
      <c r="O69" s="33">
        <v>21.66</v>
      </c>
      <c r="P69" s="33">
        <v>21.66</v>
      </c>
      <c r="Q69" s="33">
        <v>21.66</v>
      </c>
      <c r="R69" s="33">
        <v>21.66</v>
      </c>
      <c r="S69" s="33">
        <v>41.05</v>
      </c>
      <c r="T69" s="33">
        <v>80.11</v>
      </c>
      <c r="U69" s="33">
        <v>85.21</v>
      </c>
      <c r="V69" s="33">
        <v>70.02</v>
      </c>
      <c r="W69" s="33">
        <v>71.29</v>
      </c>
      <c r="X69" s="33">
        <v>46.12</v>
      </c>
      <c r="Y69" s="33">
        <v>21.66</v>
      </c>
      <c r="Z69" s="33">
        <v>21.66</v>
      </c>
      <c r="AA69" s="33">
        <v>21.66</v>
      </c>
      <c r="AB69" s="33">
        <v>21.66</v>
      </c>
      <c r="AC69" s="33">
        <v>21.66</v>
      </c>
      <c r="AD69" s="33">
        <v>21.66</v>
      </c>
      <c r="AE69" s="33">
        <v>85.76</v>
      </c>
      <c r="AF69" s="33">
        <v>82.9</v>
      </c>
      <c r="AG69" s="33">
        <v>86.19</v>
      </c>
      <c r="AH69" s="33">
        <v>81.89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1943</v>
      </c>
      <c r="E70" s="32"/>
      <c r="F70" s="32"/>
      <c r="G70" s="32"/>
      <c r="H70" s="33">
        <v>21.66</v>
      </c>
      <c r="I70" s="33">
        <v>21.66</v>
      </c>
      <c r="J70" s="33">
        <v>21.66</v>
      </c>
      <c r="K70" s="33">
        <v>21.66</v>
      </c>
      <c r="L70" s="33">
        <v>21.66</v>
      </c>
      <c r="M70" s="33">
        <v>21.66</v>
      </c>
      <c r="N70" s="33">
        <v>21.66</v>
      </c>
      <c r="O70" s="33">
        <v>21.66</v>
      </c>
      <c r="P70" s="33">
        <v>21.66</v>
      </c>
      <c r="Q70" s="33">
        <v>21.66</v>
      </c>
      <c r="R70" s="33">
        <v>21.66</v>
      </c>
      <c r="S70" s="33">
        <v>21.66</v>
      </c>
      <c r="T70" s="33">
        <v>21.66</v>
      </c>
      <c r="U70" s="33">
        <v>21.66</v>
      </c>
      <c r="V70" s="33">
        <v>21.66</v>
      </c>
      <c r="W70" s="33">
        <v>21.66</v>
      </c>
      <c r="X70" s="33">
        <v>21.66</v>
      </c>
      <c r="Y70" s="33">
        <v>21.66</v>
      </c>
      <c r="Z70" s="33">
        <v>21.66</v>
      </c>
      <c r="AA70" s="33">
        <v>21.66</v>
      </c>
      <c r="AB70" s="33">
        <v>21.66</v>
      </c>
      <c r="AC70" s="33">
        <v>21.66</v>
      </c>
      <c r="AD70" s="33">
        <v>32.49</v>
      </c>
      <c r="AE70" s="33">
        <v>32.49</v>
      </c>
      <c r="AF70" s="33">
        <v>32.49</v>
      </c>
      <c r="AG70" s="33">
        <v>32.49</v>
      </c>
      <c r="AH70" s="33">
        <v>32.49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1944</v>
      </c>
      <c r="E71" s="32"/>
      <c r="F71" s="32"/>
      <c r="G71" s="32"/>
      <c r="H71" s="33">
        <v>144.58</v>
      </c>
      <c r="I71" s="33">
        <v>137.74</v>
      </c>
      <c r="J71" s="33">
        <v>131.49</v>
      </c>
      <c r="K71" s="33">
        <v>124.61</v>
      </c>
      <c r="L71" s="33">
        <v>33.92</v>
      </c>
      <c r="M71" s="33">
        <v>21.66</v>
      </c>
      <c r="N71" s="33">
        <v>21.66</v>
      </c>
      <c r="O71" s="33">
        <v>21.66</v>
      </c>
      <c r="P71" s="33">
        <v>21.66</v>
      </c>
      <c r="Q71" s="33">
        <v>21.66</v>
      </c>
      <c r="R71" s="33">
        <v>40.72</v>
      </c>
      <c r="S71" s="33">
        <v>103.56</v>
      </c>
      <c r="T71" s="33">
        <v>96.89</v>
      </c>
      <c r="U71" s="33">
        <v>115.81</v>
      </c>
      <c r="V71" s="33">
        <v>101.19</v>
      </c>
      <c r="W71" s="33">
        <v>105.16</v>
      </c>
      <c r="X71" s="33">
        <v>21.66</v>
      </c>
      <c r="Y71" s="33">
        <v>21.66</v>
      </c>
      <c r="Z71" s="33">
        <v>21.66</v>
      </c>
      <c r="AA71" s="33">
        <v>21.66</v>
      </c>
      <c r="AB71" s="33">
        <v>21.66</v>
      </c>
      <c r="AC71" s="33">
        <v>21.66</v>
      </c>
      <c r="AD71" s="33">
        <v>29.35</v>
      </c>
      <c r="AE71" s="33">
        <v>53.28</v>
      </c>
      <c r="AF71" s="33">
        <v>39.42</v>
      </c>
      <c r="AG71" s="33">
        <v>32.49</v>
      </c>
      <c r="AH71" s="33">
        <v>32.49</v>
      </c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1945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6">
        <f>0.00+54.15</f>
        <v>54.15</v>
      </c>
      <c r="X72" s="33">
        <v>23.76</v>
      </c>
      <c r="Y72" s="33">
        <v>27.82</v>
      </c>
      <c r="Z72" s="33">
        <v>28.72</v>
      </c>
      <c r="AA72" s="33">
        <v>25.04</v>
      </c>
      <c r="AB72" s="33">
        <v>22.21</v>
      </c>
      <c r="AC72" s="33">
        <v>23.06</v>
      </c>
      <c r="AD72" s="33">
        <v>32.61</v>
      </c>
      <c r="AE72" s="33">
        <v>32.49</v>
      </c>
      <c r="AF72" s="33">
        <v>32.49</v>
      </c>
      <c r="AG72" s="33">
        <v>32.49</v>
      </c>
      <c r="AH72" s="33">
        <v>32.49</v>
      </c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1946</v>
      </c>
      <c r="E73" s="32"/>
      <c r="F73" s="32"/>
      <c r="G73" s="32"/>
      <c r="H73" s="33">
        <v>21.66</v>
      </c>
      <c r="I73" s="33">
        <v>63.42</v>
      </c>
      <c r="J73" s="33">
        <v>79.37</v>
      </c>
      <c r="K73" s="33">
        <v>37.19</v>
      </c>
      <c r="L73" s="33">
        <v>178.64</v>
      </c>
      <c r="M73" s="33">
        <v>274.84</v>
      </c>
      <c r="N73" s="33">
        <v>84.38</v>
      </c>
      <c r="O73" s="33">
        <v>21.66</v>
      </c>
      <c r="P73" s="33">
        <v>21.66</v>
      </c>
      <c r="Q73" s="33">
        <v>21.66</v>
      </c>
      <c r="R73" s="33">
        <v>21.66</v>
      </c>
      <c r="S73" s="33">
        <v>115.23</v>
      </c>
      <c r="T73" s="33">
        <v>144.46</v>
      </c>
      <c r="U73" s="33">
        <v>172.89</v>
      </c>
      <c r="V73" s="33">
        <v>124.76</v>
      </c>
      <c r="W73" s="33">
        <v>119.42</v>
      </c>
      <c r="X73" s="33">
        <v>196.22</v>
      </c>
      <c r="Y73" s="33">
        <v>232.53</v>
      </c>
      <c r="Z73" s="33">
        <v>44.89</v>
      </c>
      <c r="AA73" s="33">
        <v>21.66</v>
      </c>
      <c r="AB73" s="33">
        <v>21.66</v>
      </c>
      <c r="AC73" s="33">
        <v>21.66</v>
      </c>
      <c r="AD73" s="33">
        <v>41.54</v>
      </c>
      <c r="AE73" s="33">
        <v>32.49</v>
      </c>
      <c r="AF73" s="33">
        <v>32.49</v>
      </c>
      <c r="AG73" s="33">
        <v>58.13</v>
      </c>
      <c r="AH73" s="33">
        <v>80.74</v>
      </c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1947</v>
      </c>
      <c r="E74" s="32"/>
      <c r="F74" s="32"/>
      <c r="G74" s="32"/>
      <c r="H74" s="33">
        <v>944.02</v>
      </c>
      <c r="I74" s="33">
        <v>1115.64</v>
      </c>
      <c r="J74" s="33">
        <v>826.73</v>
      </c>
      <c r="K74" s="33">
        <v>619.35</v>
      </c>
      <c r="L74" s="33">
        <v>743.52</v>
      </c>
      <c r="M74" s="33">
        <v>1075.89</v>
      </c>
      <c r="N74" s="33">
        <v>1839.38</v>
      </c>
      <c r="O74" s="33">
        <v>2061.37</v>
      </c>
      <c r="P74" s="33">
        <v>1693.27</v>
      </c>
      <c r="Q74" s="33">
        <v>1473.36</v>
      </c>
      <c r="R74" s="33">
        <v>980.34</v>
      </c>
      <c r="S74" s="33">
        <v>789.55</v>
      </c>
      <c r="T74" s="33">
        <v>910.77</v>
      </c>
      <c r="U74" s="33">
        <v>1018.86</v>
      </c>
      <c r="V74" s="33">
        <v>696.35</v>
      </c>
      <c r="W74" s="33">
        <v>694.86</v>
      </c>
      <c r="X74" s="33">
        <v>693.34</v>
      </c>
      <c r="Y74" s="33">
        <v>990.04</v>
      </c>
      <c r="Z74" s="33">
        <v>1584.79</v>
      </c>
      <c r="AA74" s="33">
        <v>1767.41</v>
      </c>
      <c r="AB74" s="33">
        <v>1466.52</v>
      </c>
      <c r="AC74" s="33">
        <v>1004.25</v>
      </c>
      <c r="AD74" s="33">
        <v>593.36</v>
      </c>
      <c r="AE74" s="33">
        <v>563.13</v>
      </c>
      <c r="AF74" s="33">
        <v>689.63</v>
      </c>
      <c r="AG74" s="33">
        <v>811.39</v>
      </c>
      <c r="AH74" s="33">
        <v>580.98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1948</v>
      </c>
      <c r="E75" s="32"/>
      <c r="F75" s="32"/>
      <c r="G75" s="32"/>
      <c r="H75" s="32"/>
      <c r="I75" s="33">
        <v>1074.96</v>
      </c>
      <c r="J75" s="33">
        <v>1074.96</v>
      </c>
      <c r="K75" s="33">
        <v>1074.96</v>
      </c>
      <c r="L75" s="33">
        <v>1074.96</v>
      </c>
      <c r="M75" s="33">
        <v>1075.2</v>
      </c>
      <c r="N75" s="33">
        <v>1075.34</v>
      </c>
      <c r="O75" s="33">
        <v>1075.34</v>
      </c>
      <c r="P75" s="33">
        <v>1075.34</v>
      </c>
      <c r="Q75" s="33">
        <v>1075.34</v>
      </c>
      <c r="R75" s="33">
        <v>1075.34</v>
      </c>
      <c r="S75" s="33">
        <v>1083.02</v>
      </c>
      <c r="T75" s="33">
        <v>1087.88</v>
      </c>
      <c r="U75" s="33">
        <v>1087.88</v>
      </c>
      <c r="V75" s="33">
        <v>1087.88</v>
      </c>
      <c r="W75" s="33">
        <v>1087.88</v>
      </c>
      <c r="X75" s="33">
        <v>1087.88</v>
      </c>
      <c r="Y75" s="33">
        <v>1082.86</v>
      </c>
      <c r="Z75" s="33">
        <v>1079.96</v>
      </c>
      <c r="AA75" s="33">
        <v>1079.96</v>
      </c>
      <c r="AB75" s="33">
        <v>1079.96</v>
      </c>
      <c r="AC75" s="33">
        <v>1079.96</v>
      </c>
      <c r="AD75" s="33">
        <v>1079.96</v>
      </c>
      <c r="AE75" s="33">
        <v>1085.21</v>
      </c>
      <c r="AF75" s="33">
        <v>1087.31</v>
      </c>
      <c r="AG75" s="33">
        <v>1087.2</v>
      </c>
      <c r="AH75" s="33">
        <v>1087.13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1949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6">
        <f>0.00+87.86</f>
        <v>87.86</v>
      </c>
      <c r="AC76" s="33">
        <v>92.31</v>
      </c>
      <c r="AD76" s="36">
        <f>42.16+0.00</f>
        <v>42.16</v>
      </c>
      <c r="AE76" s="32"/>
      <c r="AF76" s="32"/>
      <c r="AG76" s="32"/>
      <c r="AH76" s="32"/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1950</v>
      </c>
      <c r="E77" s="32"/>
      <c r="F77" s="32"/>
      <c r="G77" s="32"/>
      <c r="H77" s="33">
        <v>591.19</v>
      </c>
      <c r="I77" s="33">
        <v>848.31</v>
      </c>
      <c r="J77" s="33">
        <v>709.03</v>
      </c>
      <c r="K77" s="33">
        <v>598.25</v>
      </c>
      <c r="L77" s="33">
        <v>676.86</v>
      </c>
      <c r="M77" s="33">
        <v>887.52</v>
      </c>
      <c r="N77" s="33">
        <v>1355.2</v>
      </c>
      <c r="O77" s="33">
        <v>1917.8</v>
      </c>
      <c r="P77" s="33">
        <v>1548.72</v>
      </c>
      <c r="Q77" s="33">
        <v>1389.97</v>
      </c>
      <c r="R77" s="33">
        <v>987.19</v>
      </c>
      <c r="S77" s="33">
        <v>585.06</v>
      </c>
      <c r="T77" s="33">
        <v>663.04</v>
      </c>
      <c r="U77" s="33">
        <v>784.73</v>
      </c>
      <c r="V77" s="33">
        <v>638.76</v>
      </c>
      <c r="W77" s="33">
        <v>743.97</v>
      </c>
      <c r="X77" s="33">
        <v>800.12</v>
      </c>
      <c r="Y77" s="33">
        <v>1065.82</v>
      </c>
      <c r="Z77" s="33">
        <v>1740.22</v>
      </c>
      <c r="AA77" s="33">
        <v>1914.83</v>
      </c>
      <c r="AB77" s="33">
        <v>1693.45</v>
      </c>
      <c r="AC77" s="33">
        <v>1370.93</v>
      </c>
      <c r="AD77" s="33">
        <v>917.45</v>
      </c>
      <c r="AE77" s="33">
        <v>714.63</v>
      </c>
      <c r="AF77" s="33">
        <v>741.73</v>
      </c>
      <c r="AG77" s="33">
        <v>693.25</v>
      </c>
      <c r="AH77" s="33">
        <v>600.17</v>
      </c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1951</v>
      </c>
      <c r="E78" s="32"/>
      <c r="F78" s="32"/>
      <c r="G78" s="32"/>
      <c r="H78" s="33">
        <v>25.15</v>
      </c>
      <c r="I78" s="33">
        <v>25.68</v>
      </c>
      <c r="J78" s="33">
        <v>25.15</v>
      </c>
      <c r="K78" s="33">
        <v>25.15</v>
      </c>
      <c r="L78" s="33">
        <v>25.26</v>
      </c>
      <c r="M78" s="33">
        <v>30.57</v>
      </c>
      <c r="N78" s="33">
        <v>84.38</v>
      </c>
      <c r="O78" s="36">
        <f>0.00+111.75</f>
        <v>111.75</v>
      </c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1952</v>
      </c>
      <c r="E79" s="32"/>
      <c r="F79" s="32"/>
      <c r="G79" s="32"/>
      <c r="H79" s="33">
        <v>21.66</v>
      </c>
      <c r="I79" s="33">
        <v>22.08</v>
      </c>
      <c r="J79" s="33">
        <v>21.66</v>
      </c>
      <c r="K79" s="33">
        <v>21.66</v>
      </c>
      <c r="L79" s="33">
        <v>21.76</v>
      </c>
      <c r="M79" s="33">
        <v>21.66</v>
      </c>
      <c r="N79" s="33">
        <v>21.78</v>
      </c>
      <c r="O79" s="33">
        <v>21.79</v>
      </c>
      <c r="P79" s="33">
        <v>21.66</v>
      </c>
      <c r="Q79" s="33">
        <v>21.66</v>
      </c>
      <c r="R79" s="33">
        <v>21.78</v>
      </c>
      <c r="S79" s="33">
        <v>52.48</v>
      </c>
      <c r="T79" s="33">
        <v>93.15</v>
      </c>
      <c r="U79" s="33">
        <v>21.77</v>
      </c>
      <c r="V79" s="33">
        <v>30.95</v>
      </c>
      <c r="W79" s="33">
        <v>21.66</v>
      </c>
      <c r="X79" s="33">
        <v>21.66</v>
      </c>
      <c r="Y79" s="33">
        <v>21.66</v>
      </c>
      <c r="Z79" s="33">
        <v>21.66</v>
      </c>
      <c r="AA79" s="33">
        <v>21.66</v>
      </c>
      <c r="AB79" s="33">
        <v>21.66</v>
      </c>
      <c r="AC79" s="33">
        <v>21.66</v>
      </c>
      <c r="AD79" s="33">
        <v>150.27</v>
      </c>
      <c r="AE79" s="33">
        <v>124.11</v>
      </c>
      <c r="AF79" s="33">
        <v>125.19</v>
      </c>
      <c r="AG79" s="33">
        <v>32.49</v>
      </c>
      <c r="AH79" s="33">
        <v>32.49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1953</v>
      </c>
      <c r="E80" s="32"/>
      <c r="F80" s="32"/>
      <c r="G80" s="32"/>
      <c r="H80" s="33">
        <v>519.97</v>
      </c>
      <c r="I80" s="33">
        <v>728.82</v>
      </c>
      <c r="J80" s="33">
        <v>552.33</v>
      </c>
      <c r="K80" s="33">
        <v>472.61</v>
      </c>
      <c r="L80" s="33">
        <v>385.08</v>
      </c>
      <c r="M80" s="33">
        <v>581.72</v>
      </c>
      <c r="N80" s="33">
        <v>900.89</v>
      </c>
      <c r="O80" s="33">
        <v>1054.09</v>
      </c>
      <c r="P80" s="33">
        <v>896.41</v>
      </c>
      <c r="Q80" s="33">
        <v>742.26</v>
      </c>
      <c r="R80" s="33">
        <v>502.29</v>
      </c>
      <c r="S80" s="33">
        <v>339.91</v>
      </c>
      <c r="T80" s="33">
        <v>473.41</v>
      </c>
      <c r="U80" s="33">
        <v>753.83</v>
      </c>
      <c r="V80" s="33">
        <v>437.22</v>
      </c>
      <c r="W80" s="33">
        <v>433.27</v>
      </c>
      <c r="X80" s="33">
        <v>426.74</v>
      </c>
      <c r="Y80" s="33">
        <v>656.96</v>
      </c>
      <c r="Z80" s="33">
        <v>1206.96</v>
      </c>
      <c r="AA80" s="33">
        <v>1303.05</v>
      </c>
      <c r="AB80" s="33">
        <v>1191.7</v>
      </c>
      <c r="AC80" s="33">
        <v>847.72</v>
      </c>
      <c r="AD80" s="33">
        <v>512.58</v>
      </c>
      <c r="AE80" s="33">
        <v>485.36</v>
      </c>
      <c r="AF80" s="33">
        <v>505.74</v>
      </c>
      <c r="AG80" s="33">
        <v>570.5</v>
      </c>
      <c r="AH80" s="33">
        <v>434.02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1954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6">
        <f>143.41+0.00</f>
        <v>143.41</v>
      </c>
      <c r="X81" s="33">
        <v>21.66</v>
      </c>
      <c r="Y81" s="33">
        <v>21.66</v>
      </c>
      <c r="Z81" s="33">
        <v>21.66</v>
      </c>
      <c r="AA81" s="33">
        <v>21.66</v>
      </c>
      <c r="AB81" s="33">
        <v>21.66</v>
      </c>
      <c r="AC81" s="33">
        <v>21.66</v>
      </c>
      <c r="AD81" s="33">
        <v>21.66</v>
      </c>
      <c r="AE81" s="33">
        <v>32.49</v>
      </c>
      <c r="AF81" s="33">
        <v>32.49</v>
      </c>
      <c r="AG81" s="33">
        <v>32.49</v>
      </c>
      <c r="AH81" s="33">
        <v>32.49</v>
      </c>
      <c r="AI81" s="32"/>
      <c r="AJ81" s="34">
        <f>SUM(E81:AI81)</f>
      </c>
      <c r="AK81" s="35"/>
    </row>
    <row r="82" ht="12.75" customHeight="1" spans="2:37" x14ac:dyDescent="0.25">
      <c r="B82" s="37"/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40"/>
    </row>
    <row r="83" ht="12.75" customHeight="1" spans="2:37" x14ac:dyDescent="0.25">
      <c r="B83" s="20" t="s">
        <v>85</v>
      </c>
      <c r="C83" s="21"/>
      <c r="D83" s="21"/>
      <c r="E83" s="22">
        <f>SUM(E23:E81)</f>
      </c>
      <c r="F83" s="22">
        <f>SUM(F23:F81)</f>
      </c>
      <c r="G83" s="22">
        <f>SUM(G23:G81)</f>
      </c>
      <c r="H83" s="22">
        <f>SUM(H23:H81)</f>
      </c>
      <c r="I83" s="22">
        <f>SUM(I23:I81)</f>
      </c>
      <c r="J83" s="22">
        <f>SUM(J23:J81)</f>
      </c>
      <c r="K83" s="22">
        <f>SUM(K23:K81)</f>
      </c>
      <c r="L83" s="22">
        <f>SUM(L23:L81)</f>
      </c>
      <c r="M83" s="22">
        <f>SUM(M23:M81)</f>
      </c>
      <c r="N83" s="22">
        <f>SUM(N23:N81)</f>
      </c>
      <c r="O83" s="22">
        <f>SUM(O23:O81)</f>
      </c>
      <c r="P83" s="22">
        <f>SUM(P23:P81)</f>
      </c>
      <c r="Q83" s="22">
        <f>SUM(Q23:Q81)</f>
      </c>
      <c r="R83" s="22">
        <f>SUM(R23:R81)</f>
      </c>
      <c r="S83" s="22">
        <f>SUM(S23:S81)</f>
      </c>
      <c r="T83" s="22">
        <f>SUM(T23:T81)</f>
      </c>
      <c r="U83" s="22">
        <f>SUM(U23:U81)</f>
      </c>
      <c r="V83" s="22">
        <f>SUM(V23:V81)</f>
      </c>
      <c r="W83" s="22">
        <f>SUM(W23:W81)</f>
      </c>
      <c r="X83" s="22">
        <f>SUM(X23:X81)</f>
      </c>
      <c r="Y83" s="22">
        <f>SUM(Y23:Y81)</f>
      </c>
      <c r="Z83" s="22">
        <f>SUM(Z23:Z81)</f>
      </c>
      <c r="AA83" s="22">
        <f>SUM(AA23:AA81)</f>
      </c>
      <c r="AB83" s="22">
        <f>SUM(AB23:AB81)</f>
      </c>
      <c r="AC83" s="22">
        <f>SUM(AC23:AC81)</f>
      </c>
      <c r="AD83" s="22">
        <f>SUM(AD23:AD81)</f>
      </c>
      <c r="AE83" s="22">
        <f>SUM(AE23:AE81)</f>
      </c>
      <c r="AF83" s="22">
        <f>SUM(AF23:AF81)</f>
      </c>
      <c r="AG83" s="22">
        <f>SUM(AG23:AG81)</f>
      </c>
      <c r="AH83" s="22">
        <f>SUM(AH23:AH81)</f>
      </c>
      <c r="AI83" s="22">
        <f>SUM(AI23:AI81)</f>
      </c>
      <c r="AJ83" s="22">
        <f>SUM(AJ23:AJ81)</f>
      </c>
      <c r="AK83" s="23"/>
    </row>
    <row r="85" ht="12.75" customHeight="1" spans="2:37" x14ac:dyDescent="0.25">
      <c r="B85" s="26" t="s">
        <v>43</v>
      </c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9"/>
    </row>
    <row r="86" ht="12.75" customHeight="1" spans="2:37" x14ac:dyDescent="0.25">
      <c r="B86" s="30" t="s">
        <v>43</v>
      </c>
      <c r="C86" s="31" t="s">
        <v>3</v>
      </c>
      <c r="D86" s="32" t="s">
        <v>1955</v>
      </c>
      <c r="E86" s="32"/>
      <c r="F86" s="32"/>
      <c r="G86" s="32"/>
      <c r="H86" s="36">
        <f>3010.31+1112.64+1827.48+385.23</f>
        <v>6335.66</v>
      </c>
      <c r="I86" s="36">
        <f>2563.62+385.32+1133.77+1262.77</f>
        <v>5345.48</v>
      </c>
      <c r="J86" s="36">
        <f>2218.09+1060.92+371.52+1249.50</f>
        <v>4900.030000000001</v>
      </c>
      <c r="K86" s="36">
        <f>2450.62+1377.13+1164.29+382.63</f>
        <v>5374.67</v>
      </c>
      <c r="L86" s="36">
        <f>2902.28+396.29+1309.52+1391.79</f>
        <v>5999.88</v>
      </c>
      <c r="M86" s="36">
        <f>2408.04+1356.61+382.63+1161.82</f>
        <v>5309.099999999999</v>
      </c>
      <c r="N86" s="36">
        <f>3495.87+2401.23+1326.90+382.19</f>
        <v>7606.19</v>
      </c>
      <c r="O86" s="36">
        <f>3543.73+2495.52+1271.44+382.19</f>
        <v>7692.88</v>
      </c>
      <c r="P86" s="36">
        <f>3452.34+2565.72+969.98+396.76</f>
        <v>7384.799999999999</v>
      </c>
      <c r="Q86" s="36">
        <f>3070.25+676.07+2356.05+806.39</f>
        <v>6908.760000000001</v>
      </c>
      <c r="R86" s="36">
        <f>2781.86+396.43+765.63+2064.48</f>
        <v>6008.4</v>
      </c>
      <c r="S86" s="36">
        <f>3374.27+2425.30+396.67+1000.77</f>
        <v>7197.01</v>
      </c>
      <c r="T86" s="36">
        <f>2927.36+1268.62+395.96+1483.66</f>
        <v>6075.599999999999</v>
      </c>
      <c r="U86" s="36">
        <f>3445.30+2986.96+397.85+683.99</f>
        <v>7514.1</v>
      </c>
      <c r="V86" s="36">
        <f>2942.58+426.11+2204.28+807.30</f>
        <v>6380.27</v>
      </c>
      <c r="W86" s="36">
        <f>2753.65+2006.19+619.15+426.14</f>
        <v>5805.13</v>
      </c>
      <c r="X86" s="36">
        <f>4033.23+403.92+3558.43+821.61</f>
        <v>8817.19</v>
      </c>
      <c r="Y86" s="36">
        <f>4934.88+419.08+983.94+4030.64</f>
        <v>10368.539999999999</v>
      </c>
      <c r="Z86" s="32"/>
      <c r="AA86" s="32"/>
      <c r="AB86" s="32"/>
      <c r="AC86" s="32"/>
      <c r="AD86" s="32"/>
      <c r="AE86" s="32"/>
      <c r="AF86" s="36">
        <f>418.01+1545.19+787.09</f>
        <v>2750.29</v>
      </c>
      <c r="AG86" s="36">
        <f>421.00+675.29+1517.11</f>
        <v>2613.3999999999996</v>
      </c>
      <c r="AH86" s="36">
        <f>1871.21+534.47+1158.86</f>
        <v>3564.54</v>
      </c>
      <c r="AI86" s="32"/>
      <c r="AJ86" s="34">
        <f>SUM(E86:AI86)</f>
      </c>
      <c r="AK86" s="35"/>
    </row>
    <row r="87" ht="12.75" customHeight="1" spans="2:37" x14ac:dyDescent="0.25">
      <c r="B87" s="30" t="s">
        <v>43</v>
      </c>
      <c r="C87" s="31" t="s">
        <v>3</v>
      </c>
      <c r="D87" s="32" t="s">
        <v>1956</v>
      </c>
      <c r="E87" s="32"/>
      <c r="F87" s="32"/>
      <c r="G87" s="32"/>
      <c r="H87" s="36">
        <f>1906.76+1691.94</f>
        <v>3598.7</v>
      </c>
      <c r="I87" s="36">
        <f>2114.54+1923.27</f>
        <v>4037.81</v>
      </c>
      <c r="J87" s="36">
        <f>1891.55+1678.85</f>
        <v>3570.3999999999996</v>
      </c>
      <c r="K87" s="36">
        <f>1921.47+1721.25</f>
        <v>3642.7200000000003</v>
      </c>
      <c r="L87" s="36">
        <f>2320.58+2102.84</f>
        <v>4423.42</v>
      </c>
      <c r="M87" s="36">
        <f>2272.71+2040.28</f>
        <v>4312.99</v>
      </c>
      <c r="N87" s="36">
        <f>2881.04+2836.26</f>
        <v>5717.3</v>
      </c>
      <c r="O87" s="36">
        <f>3237.48+3301.82</f>
        <v>6539.3</v>
      </c>
      <c r="P87" s="36">
        <f>2705.50+2606.95</f>
        <v>5312.45</v>
      </c>
      <c r="Q87" s="36">
        <f>2496.89+2126.02</f>
        <v>4622.91</v>
      </c>
      <c r="R87" s="36">
        <f>2815.99+2509.24</f>
        <v>5325.23</v>
      </c>
      <c r="S87" s="36">
        <f>1956.76+1619.41</f>
        <v>3576.17</v>
      </c>
      <c r="T87" s="36">
        <f>2272.65+2040.23</f>
        <v>4312.88</v>
      </c>
      <c r="U87" s="36">
        <f>2050.76+1694.67</f>
        <v>3745.4300000000003</v>
      </c>
      <c r="V87" s="36">
        <f>2116.58+1769.67</f>
        <v>3886.25</v>
      </c>
      <c r="W87" s="36">
        <f>1882.90+1580.03</f>
        <v>3462.9300000000003</v>
      </c>
      <c r="X87" s="36">
        <f>2237.06+1867.60</f>
        <v>4104.66</v>
      </c>
      <c r="Y87" s="36">
        <f>2208.16+1844.04</f>
        <v>4052.2</v>
      </c>
      <c r="Z87" s="36">
        <f>1995.56+1808.49</f>
        <v>3804.05</v>
      </c>
      <c r="AA87" s="36">
        <f>2535.10+2416.37</f>
        <v>4951.469999999999</v>
      </c>
      <c r="AB87" s="36">
        <f>2644.91+2561.75</f>
        <v>5206.66</v>
      </c>
      <c r="AC87" s="36">
        <f>2282.02+2083.11</f>
        <v>4365.13</v>
      </c>
      <c r="AD87" s="36">
        <f>2801.83+2771.16</f>
        <v>5572.99</v>
      </c>
      <c r="AE87" s="36">
        <f>1814.22+1648.93</f>
        <v>3463.15</v>
      </c>
      <c r="AF87" s="36">
        <f>2074.11+1877.30</f>
        <v>3951.41</v>
      </c>
      <c r="AG87" s="36">
        <f>1646.58+1501.64</f>
        <v>3148.2200000000003</v>
      </c>
      <c r="AH87" s="36">
        <f>1969.07+1690.79</f>
        <v>3659.8599999999997</v>
      </c>
      <c r="AI87" s="32"/>
      <c r="AJ87" s="34">
        <f>SUM(E87:AI87)</f>
      </c>
      <c r="AK87" s="35"/>
    </row>
    <row r="88" ht="12.75" customHeight="1" spans="2:37" x14ac:dyDescent="0.25">
      <c r="B88" s="37"/>
      <c r="C88" s="38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40"/>
    </row>
    <row r="89" ht="12.75" customHeight="1" spans="2:37" x14ac:dyDescent="0.25">
      <c r="B89" s="20" t="s">
        <v>89</v>
      </c>
      <c r="C89" s="21"/>
      <c r="D89" s="21"/>
      <c r="E89" s="22">
        <f>SUM(E86:E87)</f>
      </c>
      <c r="F89" s="22">
        <f>SUM(F86:F87)</f>
      </c>
      <c r="G89" s="22">
        <f>SUM(G86:G87)</f>
      </c>
      <c r="H89" s="22">
        <f>SUM(H86:H87)</f>
      </c>
      <c r="I89" s="22">
        <f>SUM(I86:I87)</f>
      </c>
      <c r="J89" s="22">
        <f>SUM(J86:J87)</f>
      </c>
      <c r="K89" s="22">
        <f>SUM(K86:K87)</f>
      </c>
      <c r="L89" s="22">
        <f>SUM(L86:L87)</f>
      </c>
      <c r="M89" s="22">
        <f>SUM(M86:M87)</f>
      </c>
      <c r="N89" s="22">
        <f>SUM(N86:N87)</f>
      </c>
      <c r="O89" s="22">
        <f>SUM(O86:O87)</f>
      </c>
      <c r="P89" s="22">
        <f>SUM(P86:P87)</f>
      </c>
      <c r="Q89" s="22">
        <f>SUM(Q86:Q87)</f>
      </c>
      <c r="R89" s="22">
        <f>SUM(R86:R87)</f>
      </c>
      <c r="S89" s="22">
        <f>SUM(S86:S87)</f>
      </c>
      <c r="T89" s="22">
        <f>SUM(T86:T87)</f>
      </c>
      <c r="U89" s="22">
        <f>SUM(U86:U87)</f>
      </c>
      <c r="V89" s="22">
        <f>SUM(V86:V87)</f>
      </c>
      <c r="W89" s="22">
        <f>SUM(W86:W87)</f>
      </c>
      <c r="X89" s="22">
        <f>SUM(X86:X87)</f>
      </c>
      <c r="Y89" s="22">
        <f>SUM(Y86:Y87)</f>
      </c>
      <c r="Z89" s="22">
        <f>SUM(Z86:Z87)</f>
      </c>
      <c r="AA89" s="22">
        <f>SUM(AA86:AA87)</f>
      </c>
      <c r="AB89" s="22">
        <f>SUM(AB86:AB87)</f>
      </c>
      <c r="AC89" s="22">
        <f>SUM(AC86:AC87)</f>
      </c>
      <c r="AD89" s="22">
        <f>SUM(AD86:AD87)</f>
      </c>
      <c r="AE89" s="22">
        <f>SUM(AE86:AE87)</f>
      </c>
      <c r="AF89" s="22">
        <f>SUM(AF86:AF87)</f>
      </c>
      <c r="AG89" s="22">
        <f>SUM(AG86:AG87)</f>
      </c>
      <c r="AH89" s="22">
        <f>SUM(AH86:AH87)</f>
      </c>
      <c r="AI89" s="22">
        <f>SUM(AI86:AI87)</f>
      </c>
      <c r="AJ89" s="22">
        <f>SUM(AJ86:AJ87)</f>
      </c>
      <c r="AK89" s="23"/>
    </row>
    <row r="91" ht="12.75" customHeight="1" spans="2:37" x14ac:dyDescent="0.25">
      <c r="B91" s="26" t="s">
        <v>44</v>
      </c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9"/>
    </row>
    <row r="92" ht="12.75" customHeight="1" spans="2:37" x14ac:dyDescent="0.25">
      <c r="B92" s="30" t="s">
        <v>44</v>
      </c>
      <c r="C92" s="31" t="s">
        <v>3</v>
      </c>
      <c r="D92" s="32" t="s">
        <v>1955</v>
      </c>
      <c r="E92" s="32"/>
      <c r="F92" s="32"/>
      <c r="G92" s="32"/>
      <c r="H92" s="33">
        <v>1078.43</v>
      </c>
      <c r="I92" s="33">
        <v>1078.66</v>
      </c>
      <c r="J92" s="33">
        <v>1040.02</v>
      </c>
      <c r="K92" s="33">
        <v>1122.38</v>
      </c>
      <c r="L92" s="33">
        <v>1162.51</v>
      </c>
      <c r="M92" s="33">
        <v>1122.4</v>
      </c>
      <c r="N92" s="33">
        <v>1128.44</v>
      </c>
      <c r="O92" s="33">
        <v>1128.44</v>
      </c>
      <c r="P92" s="33">
        <v>1171.44</v>
      </c>
      <c r="Q92" s="33">
        <v>1128.44</v>
      </c>
      <c r="R92" s="33">
        <v>1170.49</v>
      </c>
      <c r="S92" s="33">
        <v>1171.18</v>
      </c>
      <c r="T92" s="33">
        <v>1169.09</v>
      </c>
      <c r="U92" s="33">
        <v>1167.07</v>
      </c>
      <c r="V92" s="33">
        <v>1294.6</v>
      </c>
      <c r="W92" s="33">
        <v>1294.71</v>
      </c>
      <c r="X92" s="33">
        <v>1227.19</v>
      </c>
      <c r="Y92" s="33">
        <v>1273.24</v>
      </c>
      <c r="Z92" s="33">
        <v>1252.26</v>
      </c>
      <c r="AA92" s="33">
        <v>1670.98</v>
      </c>
      <c r="AB92" s="33">
        <v>1227.15</v>
      </c>
      <c r="AC92" s="33">
        <v>1226.89</v>
      </c>
      <c r="AD92" s="33">
        <v>1226.19</v>
      </c>
      <c r="AE92" s="33">
        <v>1270</v>
      </c>
      <c r="AF92" s="33">
        <v>1269.98</v>
      </c>
      <c r="AG92" s="33">
        <v>1279.08</v>
      </c>
      <c r="AH92" s="33">
        <v>1686.68</v>
      </c>
      <c r="AI92" s="32"/>
      <c r="AJ92" s="34">
        <f>SUM(E92:AI92)</f>
      </c>
      <c r="AK92" s="35"/>
    </row>
    <row r="93" ht="12.75" customHeight="1" spans="2:37" x14ac:dyDescent="0.25">
      <c r="B93" s="30" t="s">
        <v>44</v>
      </c>
      <c r="C93" s="31" t="s">
        <v>3</v>
      </c>
      <c r="D93" s="32" t="s">
        <v>1956</v>
      </c>
      <c r="E93" s="32"/>
      <c r="F93" s="32"/>
      <c r="G93" s="32"/>
      <c r="H93" s="33">
        <v>481.84</v>
      </c>
      <c r="I93" s="33">
        <v>481.77</v>
      </c>
      <c r="J93" s="33">
        <v>481.85</v>
      </c>
      <c r="K93" s="33">
        <v>607.17</v>
      </c>
      <c r="L93" s="33">
        <v>519.89</v>
      </c>
      <c r="M93" s="33">
        <v>519.91</v>
      </c>
      <c r="N93" s="33">
        <v>671.44</v>
      </c>
      <c r="O93" s="33">
        <v>526.44</v>
      </c>
      <c r="P93" s="33">
        <v>526.44</v>
      </c>
      <c r="Q93" s="33">
        <v>657.23</v>
      </c>
      <c r="R93" s="33">
        <v>538.21</v>
      </c>
      <c r="S93" s="33">
        <v>537.02</v>
      </c>
      <c r="T93" s="33">
        <v>607.02</v>
      </c>
      <c r="U93" s="33">
        <v>1226.26</v>
      </c>
      <c r="V93" s="33">
        <v>1020.01</v>
      </c>
      <c r="W93" s="33">
        <v>1038.82</v>
      </c>
      <c r="X93" s="33">
        <v>588.16</v>
      </c>
      <c r="Y93" s="33">
        <v>586.84</v>
      </c>
      <c r="Z93" s="33">
        <v>1127.9</v>
      </c>
      <c r="AA93" s="33">
        <v>627.22</v>
      </c>
      <c r="AB93" s="33">
        <v>568.97</v>
      </c>
      <c r="AC93" s="33">
        <v>713.26</v>
      </c>
      <c r="AD93" s="33">
        <v>567.91</v>
      </c>
      <c r="AE93" s="33">
        <v>568.27</v>
      </c>
      <c r="AF93" s="33">
        <v>655.27</v>
      </c>
      <c r="AG93" s="33">
        <v>692.55</v>
      </c>
      <c r="AH93" s="33">
        <v>856.19</v>
      </c>
      <c r="AI93" s="32"/>
      <c r="AJ93" s="34">
        <f>SUM(E93:AI93)</f>
      </c>
      <c r="AK93" s="35"/>
    </row>
    <row r="94" ht="12.75" customHeight="1" spans="2:37" x14ac:dyDescent="0.25">
      <c r="B94" s="37"/>
      <c r="C94" s="38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40"/>
    </row>
    <row r="95" ht="12.75" customHeight="1" spans="2:37" x14ac:dyDescent="0.25">
      <c r="B95" s="20" t="s">
        <v>90</v>
      </c>
      <c r="C95" s="21"/>
      <c r="D95" s="21"/>
      <c r="E95" s="22">
        <f>SUM(E92:E93)</f>
      </c>
      <c r="F95" s="22">
        <f>SUM(F92:F93)</f>
      </c>
      <c r="G95" s="22">
        <f>SUM(G92:G93)</f>
      </c>
      <c r="H95" s="22">
        <f>SUM(H92:H93)</f>
      </c>
      <c r="I95" s="22">
        <f>SUM(I92:I93)</f>
      </c>
      <c r="J95" s="22">
        <f>SUM(J92:J93)</f>
      </c>
      <c r="K95" s="22">
        <f>SUM(K92:K93)</f>
      </c>
      <c r="L95" s="22">
        <f>SUM(L92:L93)</f>
      </c>
      <c r="M95" s="22">
        <f>SUM(M92:M93)</f>
      </c>
      <c r="N95" s="22">
        <f>SUM(N92:N93)</f>
      </c>
      <c r="O95" s="22">
        <f>SUM(O92:O93)</f>
      </c>
      <c r="P95" s="22">
        <f>SUM(P92:P93)</f>
      </c>
      <c r="Q95" s="22">
        <f>SUM(Q92:Q93)</f>
      </c>
      <c r="R95" s="22">
        <f>SUM(R92:R93)</f>
      </c>
      <c r="S95" s="22">
        <f>SUM(S92:S93)</f>
      </c>
      <c r="T95" s="22">
        <f>SUM(T92:T93)</f>
      </c>
      <c r="U95" s="22">
        <f>SUM(U92:U93)</f>
      </c>
      <c r="V95" s="22">
        <f>SUM(V92:V93)</f>
      </c>
      <c r="W95" s="22">
        <f>SUM(W92:W93)</f>
      </c>
      <c r="X95" s="22">
        <f>SUM(X92:X93)</f>
      </c>
      <c r="Y95" s="22">
        <f>SUM(Y92:Y93)</f>
      </c>
      <c r="Z95" s="22">
        <f>SUM(Z92:Z93)</f>
      </c>
      <c r="AA95" s="22">
        <f>SUM(AA92:AA93)</f>
      </c>
      <c r="AB95" s="22">
        <f>SUM(AB92:AB93)</f>
      </c>
      <c r="AC95" s="22">
        <f>SUM(AC92:AC93)</f>
      </c>
      <c r="AD95" s="22">
        <f>SUM(AD92:AD93)</f>
      </c>
      <c r="AE95" s="22">
        <f>SUM(AE92:AE93)</f>
      </c>
      <c r="AF95" s="22">
        <f>SUM(AF92:AF93)</f>
      </c>
      <c r="AG95" s="22">
        <f>SUM(AG92:AG93)</f>
      </c>
      <c r="AH95" s="22">
        <f>SUM(AH92:AH93)</f>
      </c>
      <c r="AI95" s="22">
        <f>SUM(AI92:AI93)</f>
      </c>
      <c r="AJ95" s="22">
        <f>SUM(AJ92:AJ93)</f>
      </c>
      <c r="AK95" s="23"/>
    </row>
    <row r="98" ht="12.75" customHeight="1" spans="2:37" x14ac:dyDescent="0.25">
      <c r="B98" s="11" t="s">
        <v>40</v>
      </c>
      <c r="C98" s="12"/>
      <c r="D98" s="13"/>
      <c r="E98" s="14" t="s">
        <v>7</v>
      </c>
      <c r="F98" s="14" t="s">
        <v>8</v>
      </c>
      <c r="G98" s="14" t="s">
        <v>9</v>
      </c>
      <c r="H98" s="14" t="s">
        <v>10</v>
      </c>
      <c r="I98" s="14" t="s">
        <v>11</v>
      </c>
      <c r="J98" s="14" t="s">
        <v>12</v>
      </c>
      <c r="K98" s="14" t="s">
        <v>13</v>
      </c>
      <c r="L98" s="14" t="s">
        <v>14</v>
      </c>
      <c r="M98" s="14" t="s">
        <v>15</v>
      </c>
      <c r="N98" s="14" t="s">
        <v>16</v>
      </c>
      <c r="O98" s="14" t="s">
        <v>17</v>
      </c>
      <c r="P98" s="14" t="s">
        <v>18</v>
      </c>
      <c r="Q98" s="14" t="s">
        <v>19</v>
      </c>
      <c r="R98" s="14" t="s">
        <v>20</v>
      </c>
      <c r="S98" s="14" t="s">
        <v>21</v>
      </c>
      <c r="T98" s="14" t="s">
        <v>22</v>
      </c>
      <c r="U98" s="14" t="s">
        <v>23</v>
      </c>
      <c r="V98" s="14" t="s">
        <v>24</v>
      </c>
      <c r="W98" s="14" t="s">
        <v>25</v>
      </c>
      <c r="X98" s="14" t="s">
        <v>26</v>
      </c>
      <c r="Y98" s="14" t="s">
        <v>27</v>
      </c>
      <c r="Z98" s="14" t="s">
        <v>28</v>
      </c>
      <c r="AA98" s="14" t="s">
        <v>29</v>
      </c>
      <c r="AB98" s="14" t="s">
        <v>30</v>
      </c>
      <c r="AC98" s="14" t="s">
        <v>31</v>
      </c>
      <c r="AD98" s="14" t="s">
        <v>32</v>
      </c>
      <c r="AE98" s="14" t="s">
        <v>33</v>
      </c>
      <c r="AF98" s="14" t="s">
        <v>34</v>
      </c>
      <c r="AG98" s="14" t="s">
        <v>35</v>
      </c>
      <c r="AH98" s="14" t="s">
        <v>36</v>
      </c>
      <c r="AI98" s="14" t="s">
        <v>37</v>
      </c>
      <c r="AJ98" s="14" t="s">
        <v>38</v>
      </c>
      <c r="AK98" s="15"/>
    </row>
    <row r="99" ht="12.75" customHeight="1" spans="2:37" x14ac:dyDescent="0.25">
      <c r="B99" s="16" t="s">
        <v>41</v>
      </c>
      <c r="C99" s="17"/>
      <c r="D99" s="17"/>
      <c r="E99" s="18">
        <f>E20</f>
      </c>
      <c r="F99" s="18">
        <f>F20</f>
      </c>
      <c r="G99" s="18">
        <f>G20</f>
      </c>
      <c r="H99" s="18">
        <f>H20</f>
      </c>
      <c r="I99" s="18">
        <f>I20</f>
      </c>
      <c r="J99" s="18">
        <f>J20</f>
      </c>
      <c r="K99" s="18">
        <f>K20</f>
      </c>
      <c r="L99" s="18">
        <f>L20</f>
      </c>
      <c r="M99" s="18">
        <f>M20</f>
      </c>
      <c r="N99" s="18">
        <f>N20</f>
      </c>
      <c r="O99" s="18">
        <f>O20</f>
      </c>
      <c r="P99" s="18">
        <f>P20</f>
      </c>
      <c r="Q99" s="18">
        <f>Q20</f>
      </c>
      <c r="R99" s="18">
        <f>R20</f>
      </c>
      <c r="S99" s="18">
        <f>S20</f>
      </c>
      <c r="T99" s="18">
        <f>T20</f>
      </c>
      <c r="U99" s="18">
        <f>U20</f>
      </c>
      <c r="V99" s="18">
        <f>V20</f>
      </c>
      <c r="W99" s="18">
        <f>W20</f>
      </c>
      <c r="X99" s="18">
        <f>X20</f>
      </c>
      <c r="Y99" s="18">
        <f>Y20</f>
      </c>
      <c r="Z99" s="18">
        <f>Z20</f>
      </c>
      <c r="AA99" s="18">
        <f>AA20</f>
      </c>
      <c r="AB99" s="18">
        <f>AB20</f>
      </c>
      <c r="AC99" s="18">
        <f>AC20</f>
      </c>
      <c r="AD99" s="18">
        <f>AD20</f>
      </c>
      <c r="AE99" s="18">
        <f>AE20</f>
      </c>
      <c r="AF99" s="18">
        <f>AF20</f>
      </c>
      <c r="AG99" s="18">
        <f>AG20</f>
      </c>
      <c r="AH99" s="18">
        <f>AH20</f>
      </c>
      <c r="AI99" s="18">
        <f>AI20</f>
      </c>
      <c r="AJ99" s="18">
        <f>AJ20</f>
      </c>
      <c r="AK99" s="19"/>
    </row>
    <row r="100" ht="12.75" customHeight="1" spans="2:37" x14ac:dyDescent="0.25">
      <c r="B100" s="16" t="s">
        <v>42</v>
      </c>
      <c r="C100" s="17"/>
      <c r="D100" s="17"/>
      <c r="E100" s="18">
        <f>E83</f>
      </c>
      <c r="F100" s="18">
        <f>F83</f>
      </c>
      <c r="G100" s="18">
        <f>G83</f>
      </c>
      <c r="H100" s="18">
        <f>H83</f>
      </c>
      <c r="I100" s="18">
        <f>I83</f>
      </c>
      <c r="J100" s="18">
        <f>J83</f>
      </c>
      <c r="K100" s="18">
        <f>K83</f>
      </c>
      <c r="L100" s="18">
        <f>L83</f>
      </c>
      <c r="M100" s="18">
        <f>M83</f>
      </c>
      <c r="N100" s="18">
        <f>N83</f>
      </c>
      <c r="O100" s="18">
        <f>O83</f>
      </c>
      <c r="P100" s="18">
        <f>P83</f>
      </c>
      <c r="Q100" s="18">
        <f>Q83</f>
      </c>
      <c r="R100" s="18">
        <f>R83</f>
      </c>
      <c r="S100" s="18">
        <f>S83</f>
      </c>
      <c r="T100" s="18">
        <f>T83</f>
      </c>
      <c r="U100" s="18">
        <f>U83</f>
      </c>
      <c r="V100" s="18">
        <f>V83</f>
      </c>
      <c r="W100" s="18">
        <f>W83</f>
      </c>
      <c r="X100" s="18">
        <f>X83</f>
      </c>
      <c r="Y100" s="18">
        <f>Y83</f>
      </c>
      <c r="Z100" s="18">
        <f>Z83</f>
      </c>
      <c r="AA100" s="18">
        <f>AA83</f>
      </c>
      <c r="AB100" s="18">
        <f>AB83</f>
      </c>
      <c r="AC100" s="18">
        <f>AC83</f>
      </c>
      <c r="AD100" s="18">
        <f>AD83</f>
      </c>
      <c r="AE100" s="18">
        <f>AE83</f>
      </c>
      <c r="AF100" s="18">
        <f>AF83</f>
      </c>
      <c r="AG100" s="18">
        <f>AG83</f>
      </c>
      <c r="AH100" s="18">
        <f>AH83</f>
      </c>
      <c r="AI100" s="18">
        <f>AI83</f>
      </c>
      <c r="AJ100" s="18">
        <f>AJ83</f>
      </c>
      <c r="AK100" s="19"/>
    </row>
    <row r="101" ht="12.75" customHeight="1" spans="2:37" x14ac:dyDescent="0.25">
      <c r="B101" s="16" t="s">
        <v>43</v>
      </c>
      <c r="C101" s="17"/>
      <c r="D101" s="17"/>
      <c r="E101" s="18">
        <f>E89</f>
      </c>
      <c r="F101" s="18">
        <f>F89</f>
      </c>
      <c r="G101" s="18">
        <f>G89</f>
      </c>
      <c r="H101" s="18">
        <f>H89</f>
      </c>
      <c r="I101" s="18">
        <f>I89</f>
      </c>
      <c r="J101" s="18">
        <f>J89</f>
      </c>
      <c r="K101" s="18">
        <f>K89</f>
      </c>
      <c r="L101" s="18">
        <f>L89</f>
      </c>
      <c r="M101" s="18">
        <f>M89</f>
      </c>
      <c r="N101" s="18">
        <f>N89</f>
      </c>
      <c r="O101" s="18">
        <f>O89</f>
      </c>
      <c r="P101" s="18">
        <f>P89</f>
      </c>
      <c r="Q101" s="18">
        <f>Q89</f>
      </c>
      <c r="R101" s="18">
        <f>R89</f>
      </c>
      <c r="S101" s="18">
        <f>S89</f>
      </c>
      <c r="T101" s="18">
        <f>T89</f>
      </c>
      <c r="U101" s="18">
        <f>U89</f>
      </c>
      <c r="V101" s="18">
        <f>V89</f>
      </c>
      <c r="W101" s="18">
        <f>W89</f>
      </c>
      <c r="X101" s="18">
        <f>X89</f>
      </c>
      <c r="Y101" s="18">
        <f>Y89</f>
      </c>
      <c r="Z101" s="18">
        <f>Z89</f>
      </c>
      <c r="AA101" s="18">
        <f>AA89</f>
      </c>
      <c r="AB101" s="18">
        <f>AB89</f>
      </c>
      <c r="AC101" s="18">
        <f>AC89</f>
      </c>
      <c r="AD101" s="18">
        <f>AD89</f>
      </c>
      <c r="AE101" s="18">
        <f>AE89</f>
      </c>
      <c r="AF101" s="18">
        <f>AF89</f>
      </c>
      <c r="AG101" s="18">
        <f>AG89</f>
      </c>
      <c r="AH101" s="18">
        <f>AH89</f>
      </c>
      <c r="AI101" s="18">
        <f>AI89</f>
      </c>
      <c r="AJ101" s="18">
        <f>AJ89</f>
      </c>
      <c r="AK101" s="19"/>
    </row>
    <row r="102" ht="12.75" customHeight="1" spans="2:37" x14ac:dyDescent="0.25">
      <c r="B102" s="16" t="s">
        <v>44</v>
      </c>
      <c r="C102" s="17"/>
      <c r="D102" s="17"/>
      <c r="E102" s="18">
        <f>E95</f>
      </c>
      <c r="F102" s="18">
        <f>F95</f>
      </c>
      <c r="G102" s="18">
        <f>G95</f>
      </c>
      <c r="H102" s="18">
        <f>H95</f>
      </c>
      <c r="I102" s="18">
        <f>I95</f>
      </c>
      <c r="J102" s="18">
        <f>J95</f>
      </c>
      <c r="K102" s="18">
        <f>K95</f>
      </c>
      <c r="L102" s="18">
        <f>L95</f>
      </c>
      <c r="M102" s="18">
        <f>M95</f>
      </c>
      <c r="N102" s="18">
        <f>N95</f>
      </c>
      <c r="O102" s="18">
        <f>O95</f>
      </c>
      <c r="P102" s="18">
        <f>P95</f>
      </c>
      <c r="Q102" s="18">
        <f>Q95</f>
      </c>
      <c r="R102" s="18">
        <f>R95</f>
      </c>
      <c r="S102" s="18">
        <f>S95</f>
      </c>
      <c r="T102" s="18">
        <f>T95</f>
      </c>
      <c r="U102" s="18">
        <f>U95</f>
      </c>
      <c r="V102" s="18">
        <f>V95</f>
      </c>
      <c r="W102" s="18">
        <f>W95</f>
      </c>
      <c r="X102" s="18">
        <f>X95</f>
      </c>
      <c r="Y102" s="18">
        <f>Y95</f>
      </c>
      <c r="Z102" s="18">
        <f>Z95</f>
      </c>
      <c r="AA102" s="18">
        <f>AA95</f>
      </c>
      <c r="AB102" s="18">
        <f>AB95</f>
      </c>
      <c r="AC102" s="18">
        <f>AC95</f>
      </c>
      <c r="AD102" s="18">
        <f>AD95</f>
      </c>
      <c r="AE102" s="18">
        <f>AE95</f>
      </c>
      <c r="AF102" s="18">
        <f>AF95</f>
      </c>
      <c r="AG102" s="18">
        <f>AG95</f>
      </c>
      <c r="AH102" s="18">
        <f>AH95</f>
      </c>
      <c r="AI102" s="18">
        <f>AI95</f>
      </c>
      <c r="AJ102" s="18">
        <f>AJ95</f>
      </c>
      <c r="AK102" s="19"/>
    </row>
    <row r="103" ht="12.75" customHeight="1" spans="2:37" x14ac:dyDescent="0.25">
      <c r="B103" s="20" t="s">
        <v>45</v>
      </c>
      <c r="C103" s="21"/>
      <c r="D103" s="21"/>
      <c r="E103" s="22">
        <f>E99+E100+E101+E102</f>
      </c>
      <c r="F103" s="22">
        <f>F99+F100+F101+F102</f>
      </c>
      <c r="G103" s="22">
        <f>G99+G100+G101+G102</f>
      </c>
      <c r="H103" s="22">
        <f>H99+H100+H101+H102</f>
      </c>
      <c r="I103" s="22">
        <f>I99+I100+I101+I102</f>
      </c>
      <c r="J103" s="22">
        <f>J99+J100+J101+J102</f>
      </c>
      <c r="K103" s="22">
        <f>K99+K100+K101+K102</f>
      </c>
      <c r="L103" s="22">
        <f>L99+L100+L101+L102</f>
      </c>
      <c r="M103" s="22">
        <f>M99+M100+M101+M102</f>
      </c>
      <c r="N103" s="22">
        <f>N99+N100+N101+N102</f>
      </c>
      <c r="O103" s="22">
        <f>O99+O100+O101+O102</f>
      </c>
      <c r="P103" s="22">
        <f>P99+P100+P101+P102</f>
      </c>
      <c r="Q103" s="22">
        <f>Q99+Q100+Q101+Q102</f>
      </c>
      <c r="R103" s="22">
        <f>R99+R100+R101+R102</f>
      </c>
      <c r="S103" s="22">
        <f>S99+S100+S101+S102</f>
      </c>
      <c r="T103" s="22">
        <f>T99+T100+T101+T102</f>
      </c>
      <c r="U103" s="22">
        <f>U99+U100+U101+U102</f>
      </c>
      <c r="V103" s="22">
        <f>V99+V100+V101+V102</f>
      </c>
      <c r="W103" s="22">
        <f>W99+W100+W101+W102</f>
      </c>
      <c r="X103" s="22">
        <f>X99+X100+X101+X102</f>
      </c>
      <c r="Y103" s="22">
        <f>Y99+Y100+Y101+Y102</f>
      </c>
      <c r="Z103" s="22">
        <f>Z99+Z100+Z101+Z102</f>
      </c>
      <c r="AA103" s="22">
        <f>AA99+AA100+AA101+AA102</f>
      </c>
      <c r="AB103" s="22">
        <f>AB99+AB100+AB101+AB102</f>
      </c>
      <c r="AC103" s="22">
        <f>AC99+AC100+AC101+AC102</f>
      </c>
      <c r="AD103" s="22">
        <f>AD99+AD100+AD101+AD102</f>
      </c>
      <c r="AE103" s="22">
        <f>AE99+AE100+AE101+AE102</f>
      </c>
      <c r="AF103" s="22">
        <f>AF99+AF100+AF101+AF102</f>
      </c>
      <c r="AG103" s="22">
        <f>AG99+AG100+AG101+AG102</f>
      </c>
      <c r="AH103" s="22">
        <f>AH99+AH100+AH101+AH102</f>
      </c>
      <c r="AI103" s="22">
        <f>AI99+AI100+AI101+AI102</f>
      </c>
      <c r="AJ103" s="22">
        <f>AJ99+AJ100+AJ101+AJ102</f>
      </c>
      <c r="AK103" s="23"/>
    </row>
    <row r="105" ht="12.75" customHeight="1" spans="2:37" x14ac:dyDescent="0.25">
      <c r="B105" s="11" t="s">
        <v>46</v>
      </c>
      <c r="C105" s="12"/>
      <c r="D105" s="13"/>
      <c r="E105" s="14" t="s">
        <v>7</v>
      </c>
      <c r="F105" s="14" t="s">
        <v>8</v>
      </c>
      <c r="G105" s="14" t="s">
        <v>9</v>
      </c>
      <c r="H105" s="14" t="s">
        <v>10</v>
      </c>
      <c r="I105" s="14" t="s">
        <v>11</v>
      </c>
      <c r="J105" s="14" t="s">
        <v>12</v>
      </c>
      <c r="K105" s="14" t="s">
        <v>13</v>
      </c>
      <c r="L105" s="14" t="s">
        <v>14</v>
      </c>
      <c r="M105" s="14" t="s">
        <v>15</v>
      </c>
      <c r="N105" s="14" t="s">
        <v>16</v>
      </c>
      <c r="O105" s="14" t="s">
        <v>17</v>
      </c>
      <c r="P105" s="14" t="s">
        <v>18</v>
      </c>
      <c r="Q105" s="14" t="s">
        <v>19</v>
      </c>
      <c r="R105" s="14" t="s">
        <v>20</v>
      </c>
      <c r="S105" s="14" t="s">
        <v>21</v>
      </c>
      <c r="T105" s="14" t="s">
        <v>22</v>
      </c>
      <c r="U105" s="14" t="s">
        <v>23</v>
      </c>
      <c r="V105" s="14" t="s">
        <v>24</v>
      </c>
      <c r="W105" s="14" t="s">
        <v>25</v>
      </c>
      <c r="X105" s="14" t="s">
        <v>26</v>
      </c>
      <c r="Y105" s="14" t="s">
        <v>27</v>
      </c>
      <c r="Z105" s="14" t="s">
        <v>28</v>
      </c>
      <c r="AA105" s="14" t="s">
        <v>29</v>
      </c>
      <c r="AB105" s="14" t="s">
        <v>30</v>
      </c>
      <c r="AC105" s="14" t="s">
        <v>31</v>
      </c>
      <c r="AD105" s="14" t="s">
        <v>32</v>
      </c>
      <c r="AE105" s="14" t="s">
        <v>33</v>
      </c>
      <c r="AF105" s="14" t="s">
        <v>34</v>
      </c>
      <c r="AG105" s="14" t="s">
        <v>35</v>
      </c>
      <c r="AH105" s="14" t="s">
        <v>36</v>
      </c>
      <c r="AI105" s="14" t="s">
        <v>37</v>
      </c>
      <c r="AJ105" s="14" t="s">
        <v>38</v>
      </c>
      <c r="AK105" s="15"/>
    </row>
    <row r="106" ht="12.75" customHeight="1" spans="2:37" x14ac:dyDescent="0.25">
      <c r="B106" s="16" t="s">
        <v>41</v>
      </c>
      <c r="C106" s="17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9"/>
    </row>
    <row r="107" ht="12.75" customHeight="1" spans="2:37" x14ac:dyDescent="0.25">
      <c r="B107" s="16" t="s">
        <v>42</v>
      </c>
      <c r="C107" s="17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9"/>
    </row>
    <row r="108" ht="12.75" customHeight="1" spans="2:37" x14ac:dyDescent="0.25">
      <c r="B108" s="16" t="s">
        <v>43</v>
      </c>
      <c r="C108" s="17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9"/>
    </row>
    <row r="109" ht="12.75" customHeight="1" spans="2:37" x14ac:dyDescent="0.25">
      <c r="B109" s="16" t="s">
        <v>44</v>
      </c>
      <c r="C109" s="17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9"/>
    </row>
    <row r="110" ht="12.75" customHeight="1" spans="2:37" x14ac:dyDescent="0.25">
      <c r="B110" s="20" t="s">
        <v>45</v>
      </c>
      <c r="C110" s="21"/>
      <c r="D110" s="21"/>
      <c r="E110" s="22">
        <f>E106+E107+E108+E109</f>
      </c>
      <c r="F110" s="22">
        <f>F106+F107+F108+F109</f>
      </c>
      <c r="G110" s="22">
        <f>G106+G107+G108+G109</f>
      </c>
      <c r="H110" s="22">
        <f>H106+H107+H108+H109</f>
      </c>
      <c r="I110" s="22">
        <f>I106+I107+I108+I109</f>
      </c>
      <c r="J110" s="22">
        <f>J106+J107+J108+J109</f>
      </c>
      <c r="K110" s="22">
        <f>K106+K107+K108+K109</f>
      </c>
      <c r="L110" s="22">
        <f>L106+L107+L108+L109</f>
      </c>
      <c r="M110" s="22">
        <f>M106+M107+M108+M109</f>
      </c>
      <c r="N110" s="22">
        <f>N106+N107+N108+N109</f>
      </c>
      <c r="O110" s="22">
        <f>O106+O107+O108+O109</f>
      </c>
      <c r="P110" s="22">
        <f>P106+P107+P108+P109</f>
      </c>
      <c r="Q110" s="22">
        <f>Q106+Q107+Q108+Q109</f>
      </c>
      <c r="R110" s="22">
        <f>R106+R107+R108+R109</f>
      </c>
      <c r="S110" s="22">
        <f>S106+S107+S108+S109</f>
      </c>
      <c r="T110" s="22">
        <f>T106+T107+T108+T109</f>
      </c>
      <c r="U110" s="22">
        <f>U106+U107+U108+U109</f>
      </c>
      <c r="V110" s="22">
        <f>V106+V107+V108+V109</f>
      </c>
      <c r="W110" s="22">
        <f>W106+W107+W108+W109</f>
      </c>
      <c r="X110" s="22">
        <f>X106+X107+X108+X109</f>
      </c>
      <c r="Y110" s="22">
        <f>Y106+Y107+Y108+Y109</f>
      </c>
      <c r="Z110" s="22">
        <f>Z106+Z107+Z108+Z109</f>
      </c>
      <c r="AA110" s="22">
        <f>AA106+AA107+AA108+AA109</f>
      </c>
      <c r="AB110" s="22">
        <f>AB106+AB107+AB108+AB109</f>
      </c>
      <c r="AC110" s="22">
        <f>AC106+AC107+AC108+AC109</f>
      </c>
      <c r="AD110" s="22">
        <f>AD106+AD107+AD108+AD109</f>
      </c>
      <c r="AE110" s="22">
        <f>AE106+AE107+AE108+AE109</f>
      </c>
      <c r="AF110" s="22">
        <f>AF106+AF107+AF108+AF109</f>
      </c>
      <c r="AG110" s="22">
        <f>AG106+AG107+AG108+AG109</f>
      </c>
      <c r="AH110" s="22">
        <f>AH106+AH107+AH108+AH109</f>
      </c>
      <c r="AI110" s="22">
        <f>AI106+AI107+AI108+AI109</f>
      </c>
      <c r="AJ110" s="22">
        <f>AJ106+AJ107+AJ108+AJ109</f>
      </c>
      <c r="AK110" s="23"/>
    </row>
    <row r="112" ht="12.75" customHeight="1" spans="2:37" x14ac:dyDescent="0.25">
      <c r="B112" s="11" t="s">
        <v>47</v>
      </c>
      <c r="C112" s="12"/>
      <c r="D112" s="13"/>
      <c r="E112" s="14" t="s">
        <v>7</v>
      </c>
      <c r="F112" s="14" t="s">
        <v>8</v>
      </c>
      <c r="G112" s="14" t="s">
        <v>9</v>
      </c>
      <c r="H112" s="14" t="s">
        <v>10</v>
      </c>
      <c r="I112" s="14" t="s">
        <v>11</v>
      </c>
      <c r="J112" s="14" t="s">
        <v>12</v>
      </c>
      <c r="K112" s="14" t="s">
        <v>13</v>
      </c>
      <c r="L112" s="14" t="s">
        <v>14</v>
      </c>
      <c r="M112" s="14" t="s">
        <v>15</v>
      </c>
      <c r="N112" s="14" t="s">
        <v>16</v>
      </c>
      <c r="O112" s="14" t="s">
        <v>17</v>
      </c>
      <c r="P112" s="14" t="s">
        <v>18</v>
      </c>
      <c r="Q112" s="14" t="s">
        <v>19</v>
      </c>
      <c r="R112" s="14" t="s">
        <v>20</v>
      </c>
      <c r="S112" s="14" t="s">
        <v>21</v>
      </c>
      <c r="T112" s="14" t="s">
        <v>22</v>
      </c>
      <c r="U112" s="14" t="s">
        <v>23</v>
      </c>
      <c r="V112" s="14" t="s">
        <v>24</v>
      </c>
      <c r="W112" s="14" t="s">
        <v>25</v>
      </c>
      <c r="X112" s="14" t="s">
        <v>26</v>
      </c>
      <c r="Y112" s="14" t="s">
        <v>27</v>
      </c>
      <c r="Z112" s="14" t="s">
        <v>28</v>
      </c>
      <c r="AA112" s="14" t="s">
        <v>29</v>
      </c>
      <c r="AB112" s="14" t="s">
        <v>30</v>
      </c>
      <c r="AC112" s="14" t="s">
        <v>31</v>
      </c>
      <c r="AD112" s="14" t="s">
        <v>32</v>
      </c>
      <c r="AE112" s="14" t="s">
        <v>33</v>
      </c>
      <c r="AF112" s="14" t="s">
        <v>34</v>
      </c>
      <c r="AG112" s="14" t="s">
        <v>35</v>
      </c>
      <c r="AH112" s="14" t="s">
        <v>36</v>
      </c>
      <c r="AI112" s="14" t="s">
        <v>37</v>
      </c>
      <c r="AJ112" s="14" t="s">
        <v>38</v>
      </c>
      <c r="AK112" s="15"/>
    </row>
    <row r="113" ht="12.75" customHeight="1" spans="2:37" x14ac:dyDescent="0.25">
      <c r="B113" s="16" t="s">
        <v>41</v>
      </c>
      <c r="C113" s="17"/>
      <c r="D113" s="17"/>
      <c r="E113" s="24">
        <f>E106-E99</f>
      </c>
      <c r="F113" s="24">
        <f>F106-F99</f>
      </c>
      <c r="G113" s="24">
        <f>G106-G99</f>
      </c>
      <c r="H113" s="24">
        <f>H106-H99</f>
      </c>
      <c r="I113" s="24">
        <f>I106-I99</f>
      </c>
      <c r="J113" s="24">
        <f>J106-J99</f>
      </c>
      <c r="K113" s="24">
        <f>K106-K99</f>
      </c>
      <c r="L113" s="24">
        <f>L106-L99</f>
      </c>
      <c r="M113" s="24">
        <f>M106-M99</f>
      </c>
      <c r="N113" s="24">
        <f>N106-N99</f>
      </c>
      <c r="O113" s="24">
        <f>O106-O99</f>
      </c>
      <c r="P113" s="24">
        <f>P106-P99</f>
      </c>
      <c r="Q113" s="24">
        <f>Q106-Q99</f>
      </c>
      <c r="R113" s="24">
        <f>R106-R99</f>
      </c>
      <c r="S113" s="24">
        <f>S106-S99</f>
      </c>
      <c r="T113" s="24">
        <f>T106-T99</f>
      </c>
      <c r="U113" s="24">
        <f>U106-U99</f>
      </c>
      <c r="V113" s="24">
        <f>V106-V99</f>
      </c>
      <c r="W113" s="24">
        <f>W106-W99</f>
      </c>
      <c r="X113" s="24">
        <f>X106-X99</f>
      </c>
      <c r="Y113" s="24">
        <f>Y106-Y99</f>
      </c>
      <c r="Z113" s="24">
        <f>Z106-Z99</f>
      </c>
      <c r="AA113" s="24">
        <f>AA106-AA99</f>
      </c>
      <c r="AB113" s="24">
        <f>AB106-AB99</f>
      </c>
      <c r="AC113" s="24">
        <f>AC106-AC99</f>
      </c>
      <c r="AD113" s="24">
        <f>AD106-AD99</f>
      </c>
      <c r="AE113" s="24">
        <f>AE106-AE99</f>
      </c>
      <c r="AF113" s="24">
        <f>AF106-AF99</f>
      </c>
      <c r="AG113" s="24">
        <f>AG106-AG99</f>
      </c>
      <c r="AH113" s="24">
        <f>AH106-AH99</f>
      </c>
      <c r="AI113" s="24">
        <f>AI106-AI99</f>
      </c>
      <c r="AJ113" s="24">
        <f>AJ106-AJ99</f>
      </c>
      <c r="AK113" s="19"/>
    </row>
    <row r="114" ht="12.75" customHeight="1" spans="2:37" x14ac:dyDescent="0.25">
      <c r="B114" s="16" t="s">
        <v>42</v>
      </c>
      <c r="C114" s="17"/>
      <c r="D114" s="17"/>
      <c r="E114" s="24">
        <f>E107-E100</f>
      </c>
      <c r="F114" s="24">
        <f>F107-F100</f>
      </c>
      <c r="G114" s="24">
        <f>G107-G100</f>
      </c>
      <c r="H114" s="24">
        <f>H107-H100</f>
      </c>
      <c r="I114" s="24">
        <f>I107-I100</f>
      </c>
      <c r="J114" s="24">
        <f>J107-J100</f>
      </c>
      <c r="K114" s="24">
        <f>K107-K100</f>
      </c>
      <c r="L114" s="24">
        <f>L107-L100</f>
      </c>
      <c r="M114" s="24">
        <f>M107-M100</f>
      </c>
      <c r="N114" s="24">
        <f>N107-N100</f>
      </c>
      <c r="O114" s="24">
        <f>O107-O100</f>
      </c>
      <c r="P114" s="24">
        <f>P107-P100</f>
      </c>
      <c r="Q114" s="24">
        <f>Q107-Q100</f>
      </c>
      <c r="R114" s="24">
        <f>R107-R100</f>
      </c>
      <c r="S114" s="24">
        <f>S107-S100</f>
      </c>
      <c r="T114" s="24">
        <f>T107-T100</f>
      </c>
      <c r="U114" s="24">
        <f>U107-U100</f>
      </c>
      <c r="V114" s="24">
        <f>V107-V100</f>
      </c>
      <c r="W114" s="24">
        <f>W107-W100</f>
      </c>
      <c r="X114" s="24">
        <f>X107-X100</f>
      </c>
      <c r="Y114" s="24">
        <f>Y107-Y100</f>
      </c>
      <c r="Z114" s="24">
        <f>Z107-Z100</f>
      </c>
      <c r="AA114" s="24">
        <f>AA107-AA100</f>
      </c>
      <c r="AB114" s="24">
        <f>AB107-AB100</f>
      </c>
      <c r="AC114" s="24">
        <f>AC107-AC100</f>
      </c>
      <c r="AD114" s="24">
        <f>AD107-AD100</f>
      </c>
      <c r="AE114" s="24">
        <f>AE107-AE100</f>
      </c>
      <c r="AF114" s="24">
        <f>AF107-AF100</f>
      </c>
      <c r="AG114" s="24">
        <f>AG107-AG100</f>
      </c>
      <c r="AH114" s="24">
        <f>AH107-AH100</f>
      </c>
      <c r="AI114" s="24">
        <f>AI107-AI100</f>
      </c>
      <c r="AJ114" s="24">
        <f>AJ107-AJ100</f>
      </c>
      <c r="AK114" s="19"/>
    </row>
    <row r="115" ht="12.75" customHeight="1" spans="2:37" x14ac:dyDescent="0.25">
      <c r="B115" s="16" t="s">
        <v>43</v>
      </c>
      <c r="C115" s="17"/>
      <c r="D115" s="17"/>
      <c r="E115" s="24">
        <f>E108-E101</f>
      </c>
      <c r="F115" s="24">
        <f>F108-F101</f>
      </c>
      <c r="G115" s="24">
        <f>G108-G101</f>
      </c>
      <c r="H115" s="24">
        <f>H108-H101</f>
      </c>
      <c r="I115" s="24">
        <f>I108-I101</f>
      </c>
      <c r="J115" s="24">
        <f>J108-J101</f>
      </c>
      <c r="K115" s="24">
        <f>K108-K101</f>
      </c>
      <c r="L115" s="24">
        <f>L108-L101</f>
      </c>
      <c r="M115" s="24">
        <f>M108-M101</f>
      </c>
      <c r="N115" s="24">
        <f>N108-N101</f>
      </c>
      <c r="O115" s="24">
        <f>O108-O101</f>
      </c>
      <c r="P115" s="24">
        <f>P108-P101</f>
      </c>
      <c r="Q115" s="24">
        <f>Q108-Q101</f>
      </c>
      <c r="R115" s="24">
        <f>R108-R101</f>
      </c>
      <c r="S115" s="24">
        <f>S108-S101</f>
      </c>
      <c r="T115" s="24">
        <f>T108-T101</f>
      </c>
      <c r="U115" s="24">
        <f>U108-U101</f>
      </c>
      <c r="V115" s="24">
        <f>V108-V101</f>
      </c>
      <c r="W115" s="24">
        <f>W108-W101</f>
      </c>
      <c r="X115" s="24">
        <f>X108-X101</f>
      </c>
      <c r="Y115" s="24">
        <f>Y108-Y101</f>
      </c>
      <c r="Z115" s="24">
        <f>Z108-Z101</f>
      </c>
      <c r="AA115" s="24">
        <f>AA108-AA101</f>
      </c>
      <c r="AB115" s="24">
        <f>AB108-AB101</f>
      </c>
      <c r="AC115" s="24">
        <f>AC108-AC101</f>
      </c>
      <c r="AD115" s="24">
        <f>AD108-AD101</f>
      </c>
      <c r="AE115" s="24">
        <f>AE108-AE101</f>
      </c>
      <c r="AF115" s="24">
        <f>AF108-AF101</f>
      </c>
      <c r="AG115" s="24">
        <f>AG108-AG101</f>
      </c>
      <c r="AH115" s="24">
        <f>AH108-AH101</f>
      </c>
      <c r="AI115" s="24">
        <f>AI108-AI101</f>
      </c>
      <c r="AJ115" s="24">
        <f>AJ108-AJ101</f>
      </c>
      <c r="AK115" s="19"/>
    </row>
    <row r="116" ht="12.75" customHeight="1" spans="2:37" x14ac:dyDescent="0.25">
      <c r="B116" s="16" t="s">
        <v>44</v>
      </c>
      <c r="C116" s="17"/>
      <c r="D116" s="17"/>
      <c r="E116" s="24">
        <f>E109-E102</f>
      </c>
      <c r="F116" s="24">
        <f>F109-F102</f>
      </c>
      <c r="G116" s="24">
        <f>G109-G102</f>
      </c>
      <c r="H116" s="24">
        <f>H109-H102</f>
      </c>
      <c r="I116" s="24">
        <f>I109-I102</f>
      </c>
      <c r="J116" s="24">
        <f>J109-J102</f>
      </c>
      <c r="K116" s="24">
        <f>K109-K102</f>
      </c>
      <c r="L116" s="24">
        <f>L109-L102</f>
      </c>
      <c r="M116" s="24">
        <f>M109-M102</f>
      </c>
      <c r="N116" s="24">
        <f>N109-N102</f>
      </c>
      <c r="O116" s="24">
        <f>O109-O102</f>
      </c>
      <c r="P116" s="24">
        <f>P109-P102</f>
      </c>
      <c r="Q116" s="24">
        <f>Q109-Q102</f>
      </c>
      <c r="R116" s="24">
        <f>R109-R102</f>
      </c>
      <c r="S116" s="24">
        <f>S109-S102</f>
      </c>
      <c r="T116" s="24">
        <f>T109-T102</f>
      </c>
      <c r="U116" s="24">
        <f>U109-U102</f>
      </c>
      <c r="V116" s="24">
        <f>V109-V102</f>
      </c>
      <c r="W116" s="24">
        <f>W109-W102</f>
      </c>
      <c r="X116" s="24">
        <f>X109-X102</f>
      </c>
      <c r="Y116" s="24">
        <f>Y109-Y102</f>
      </c>
      <c r="Z116" s="24">
        <f>Z109-Z102</f>
      </c>
      <c r="AA116" s="24">
        <f>AA109-AA102</f>
      </c>
      <c r="AB116" s="24">
        <f>AB109-AB102</f>
      </c>
      <c r="AC116" s="24">
        <f>AC109-AC102</f>
      </c>
      <c r="AD116" s="24">
        <f>AD109-AD102</f>
      </c>
      <c r="AE116" s="24">
        <f>AE109-AE102</f>
      </c>
      <c r="AF116" s="24">
        <f>AF109-AF102</f>
      </c>
      <c r="AG116" s="24">
        <f>AG109-AG102</f>
      </c>
      <c r="AH116" s="24">
        <f>AH109-AH102</f>
      </c>
      <c r="AI116" s="24">
        <f>AI109-AI102</f>
      </c>
      <c r="AJ116" s="24">
        <f>AJ109-AJ102</f>
      </c>
      <c r="AK116" s="19"/>
    </row>
    <row r="117" ht="12.75" customHeight="1" spans="2:37" x14ac:dyDescent="0.25">
      <c r="B117" s="20" t="s">
        <v>45</v>
      </c>
      <c r="C117" s="21"/>
      <c r="D117" s="21"/>
      <c r="E117" s="25">
        <f>E113+E114+E115+E116</f>
      </c>
      <c r="F117" s="25">
        <f>F113+F114+F115+F116</f>
      </c>
      <c r="G117" s="25">
        <f>G113+G114+G115+G116</f>
      </c>
      <c r="H117" s="25">
        <f>H113+H114+H115+H116</f>
      </c>
      <c r="I117" s="25">
        <f>I113+I114+I115+I116</f>
      </c>
      <c r="J117" s="25">
        <f>J113+J114+J115+J116</f>
      </c>
      <c r="K117" s="25">
        <f>K113+K114+K115+K116</f>
      </c>
      <c r="L117" s="25">
        <f>L113+L114+L115+L116</f>
      </c>
      <c r="M117" s="25">
        <f>M113+M114+M115+M116</f>
      </c>
      <c r="N117" s="25">
        <f>N113+N114+N115+N116</f>
      </c>
      <c r="O117" s="25">
        <f>O113+O114+O115+O116</f>
      </c>
      <c r="P117" s="25">
        <f>P113+P114+P115+P116</f>
      </c>
      <c r="Q117" s="25">
        <f>Q113+Q114+Q115+Q116</f>
      </c>
      <c r="R117" s="25">
        <f>R113+R114+R115+R116</f>
      </c>
      <c r="S117" s="25">
        <f>S113+S114+S115+S116</f>
      </c>
      <c r="T117" s="25">
        <f>T113+T114+T115+T116</f>
      </c>
      <c r="U117" s="25">
        <f>U113+U114+U115+U116</f>
      </c>
      <c r="V117" s="25">
        <f>V113+V114+V115+V116</f>
      </c>
      <c r="W117" s="25">
        <f>W113+W114+W115+W116</f>
      </c>
      <c r="X117" s="25">
        <f>X113+X114+X115+X116</f>
      </c>
      <c r="Y117" s="25">
        <f>Y113+Y114+Y115+Y116</f>
      </c>
      <c r="Z117" s="25">
        <f>Z113+Z114+Z115+Z116</f>
      </c>
      <c r="AA117" s="25">
        <f>AA113+AA114+AA115+AA116</f>
      </c>
      <c r="AB117" s="25">
        <f>AB113+AB114+AB115+AB116</f>
      </c>
      <c r="AC117" s="25">
        <f>AC113+AC114+AC115+AC116</f>
      </c>
      <c r="AD117" s="25">
        <f>AD113+AD114+AD115+AD116</f>
      </c>
      <c r="AE117" s="25">
        <f>AE113+AE114+AE115+AE116</f>
      </c>
      <c r="AF117" s="25">
        <f>AF113+AF114+AF115+AF116</f>
      </c>
      <c r="AG117" s="25">
        <f>AG113+AG114+AG115+AG116</f>
      </c>
      <c r="AH117" s="25">
        <f>AH113+AH114+AH115+AH116</f>
      </c>
      <c r="AI117" s="25">
        <f>AI113+AI114+AI115+AI116</f>
      </c>
      <c r="AJ117" s="25">
        <f>AJ113+AJ114+AJ115+AJ116</f>
      </c>
      <c r="AK11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1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1885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1957</v>
      </c>
      <c r="K8" s="44" t="s">
        <v>1958</v>
      </c>
      <c r="L8" s="44" t="s">
        <v>1959</v>
      </c>
      <c r="M8" s="44" t="s">
        <v>1960</v>
      </c>
      <c r="N8" s="44" t="s">
        <v>1961</v>
      </c>
      <c r="O8" s="44" t="s">
        <v>1962</v>
      </c>
      <c r="P8" s="44" t="s">
        <v>1963</v>
      </c>
      <c r="Q8" s="44" t="s">
        <v>1964</v>
      </c>
      <c r="R8" s="44" t="s">
        <v>1965</v>
      </c>
      <c r="S8" s="44" t="s">
        <v>1966</v>
      </c>
      <c r="T8" s="44" t="s">
        <v>1967</v>
      </c>
      <c r="U8" s="44" t="s">
        <v>1968</v>
      </c>
      <c r="V8" s="44" t="s">
        <v>1969</v>
      </c>
      <c r="W8" s="44" t="s">
        <v>1970</v>
      </c>
      <c r="X8" s="44" t="s">
        <v>1971</v>
      </c>
      <c r="Y8" s="44" t="s">
        <v>1972</v>
      </c>
      <c r="Z8" s="44" t="s">
        <v>1973</v>
      </c>
      <c r="AA8" s="44" t="s">
        <v>1974</v>
      </c>
      <c r="AB8" s="44" t="s">
        <v>1975</v>
      </c>
      <c r="AC8" s="44" t="s">
        <v>1976</v>
      </c>
      <c r="AD8" s="44" t="s">
        <v>1977</v>
      </c>
      <c r="AE8" s="44" t="s">
        <v>1978</v>
      </c>
      <c r="AF8" s="44" t="s">
        <v>1979</v>
      </c>
      <c r="AG8" s="44" t="s">
        <v>1980</v>
      </c>
      <c r="AH8" s="44" t="s">
        <v>1981</v>
      </c>
      <c r="AI8" s="44" t="s">
        <v>1982</v>
      </c>
      <c r="AJ8" s="44" t="s">
        <v>1983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1885</v>
      </c>
      <c r="D10" s="50" t="s">
        <v>41</v>
      </c>
      <c r="E10" s="32" t="s">
        <v>3</v>
      </c>
      <c r="F10" s="32" t="s">
        <v>1886</v>
      </c>
      <c r="G10" s="32"/>
      <c r="H10" s="32"/>
      <c r="I10" s="32"/>
      <c r="J10" s="33">
        <v>27.51</v>
      </c>
      <c r="K10" s="33">
        <v>44.61</v>
      </c>
      <c r="L10" s="33">
        <v>24.35</v>
      </c>
      <c r="M10" s="33">
        <v>22.32</v>
      </c>
      <c r="N10" s="33">
        <v>14.16</v>
      </c>
      <c r="O10" s="33">
        <v>12.1</v>
      </c>
      <c r="P10" s="33">
        <v>10.83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1885</v>
      </c>
      <c r="D11" s="50" t="s">
        <v>41</v>
      </c>
      <c r="E11" s="32" t="s">
        <v>3</v>
      </c>
      <c r="F11" s="32" t="s">
        <v>1887</v>
      </c>
      <c r="G11" s="32"/>
      <c r="H11" s="32"/>
      <c r="I11" s="32"/>
      <c r="J11" s="33">
        <v>31.1</v>
      </c>
      <c r="K11" s="33">
        <v>38.64</v>
      </c>
      <c r="L11" s="33">
        <v>35.87</v>
      </c>
      <c r="M11" s="33">
        <v>31.1</v>
      </c>
      <c r="N11" s="33">
        <v>31.1</v>
      </c>
      <c r="O11" s="33">
        <v>31.1</v>
      </c>
      <c r="P11" s="33">
        <v>31.1</v>
      </c>
      <c r="Q11" s="33">
        <v>31.12</v>
      </c>
      <c r="R11" s="33">
        <v>31.12</v>
      </c>
      <c r="S11" s="33">
        <v>31.12</v>
      </c>
      <c r="T11" s="33">
        <v>31.12</v>
      </c>
      <c r="U11" s="33">
        <v>31.12</v>
      </c>
      <c r="V11" s="33">
        <v>39.43</v>
      </c>
      <c r="W11" s="33">
        <v>33.13</v>
      </c>
      <c r="X11" s="33">
        <v>34.84</v>
      </c>
      <c r="Y11" s="33">
        <v>31.11</v>
      </c>
      <c r="Z11" s="33">
        <v>31.11</v>
      </c>
      <c r="AA11" s="33">
        <v>31.11</v>
      </c>
      <c r="AB11" s="33">
        <v>31.11</v>
      </c>
      <c r="AC11" s="33">
        <v>31.12</v>
      </c>
      <c r="AD11" s="33">
        <v>31.12</v>
      </c>
      <c r="AE11" s="33">
        <v>31.12</v>
      </c>
      <c r="AF11" s="33">
        <v>31.12</v>
      </c>
      <c r="AG11" s="33">
        <v>33.39</v>
      </c>
      <c r="AH11" s="33">
        <v>33.38</v>
      </c>
      <c r="AI11" s="33">
        <v>35.53</v>
      </c>
      <c r="AJ11" s="33">
        <v>35.49</v>
      </c>
      <c r="AK11" s="32"/>
      <c r="AL11" s="34">
        <f>SUM(G11:AK11)</f>
      </c>
      <c r="AM11" s="35"/>
    </row>
    <row r="12" ht="13.5" customHeight="1" spans="2:39" x14ac:dyDescent="0.25">
      <c r="B12" s="48" t="s">
        <v>3</v>
      </c>
      <c r="C12" s="49" t="s">
        <v>1885</v>
      </c>
      <c r="D12" s="50" t="s">
        <v>41</v>
      </c>
      <c r="E12" s="32" t="s">
        <v>3</v>
      </c>
      <c r="F12" s="32" t="s">
        <v>1888</v>
      </c>
      <c r="G12" s="32"/>
      <c r="H12" s="32"/>
      <c r="I12" s="32"/>
      <c r="J12" s="33">
        <v>82</v>
      </c>
      <c r="K12" s="33">
        <v>83.84</v>
      </c>
      <c r="L12" s="33">
        <v>66.91</v>
      </c>
      <c r="M12" s="33">
        <v>69.33</v>
      </c>
      <c r="N12" s="33">
        <v>64.53</v>
      </c>
      <c r="O12" s="33">
        <v>52.6</v>
      </c>
      <c r="P12" s="33">
        <v>47.86</v>
      </c>
      <c r="Q12" s="33">
        <v>50.25</v>
      </c>
      <c r="R12" s="33">
        <v>43.31</v>
      </c>
      <c r="S12" s="33">
        <v>45.55</v>
      </c>
      <c r="T12" s="33">
        <v>45.88</v>
      </c>
      <c r="U12" s="33">
        <v>60.47</v>
      </c>
      <c r="V12" s="33">
        <v>62.25</v>
      </c>
      <c r="W12" s="33">
        <v>63.53</v>
      </c>
      <c r="X12" s="33">
        <v>57.16</v>
      </c>
      <c r="Y12" s="33">
        <v>58.27</v>
      </c>
      <c r="Z12" s="33">
        <v>52.09</v>
      </c>
      <c r="AA12" s="33">
        <v>47.95</v>
      </c>
      <c r="AB12" s="33">
        <v>45.92</v>
      </c>
      <c r="AC12" s="33">
        <v>48.08</v>
      </c>
      <c r="AD12" s="33">
        <v>46.57</v>
      </c>
      <c r="AE12" s="33">
        <v>44.61</v>
      </c>
      <c r="AF12" s="33">
        <v>42.36</v>
      </c>
      <c r="AG12" s="33">
        <v>58.11</v>
      </c>
      <c r="AH12" s="33">
        <v>60.22</v>
      </c>
      <c r="AI12" s="33">
        <v>59.82</v>
      </c>
      <c r="AJ12" s="33">
        <v>59.52</v>
      </c>
      <c r="AK12" s="32"/>
      <c r="AL12" s="34">
        <f>SUM(G12:AK12)</f>
      </c>
      <c r="AM12" s="35"/>
    </row>
    <row r="13" ht="13.5" customHeight="1" spans="2:39" x14ac:dyDescent="0.25">
      <c r="B13" s="48" t="s">
        <v>3</v>
      </c>
      <c r="C13" s="49" t="s">
        <v>1885</v>
      </c>
      <c r="D13" s="50" t="s">
        <v>41</v>
      </c>
      <c r="E13" s="32" t="s">
        <v>3</v>
      </c>
      <c r="F13" s="32" t="s">
        <v>1889</v>
      </c>
      <c r="G13" s="32"/>
      <c r="H13" s="32"/>
      <c r="I13" s="32"/>
      <c r="J13" s="33">
        <v>2046.65</v>
      </c>
      <c r="K13" s="33">
        <v>2031.82</v>
      </c>
      <c r="L13" s="33">
        <v>1580.26</v>
      </c>
      <c r="M13" s="33">
        <v>1465.45</v>
      </c>
      <c r="N13" s="33">
        <v>1017.32</v>
      </c>
      <c r="O13" s="33">
        <v>518.99</v>
      </c>
      <c r="P13" s="33">
        <v>125.85</v>
      </c>
      <c r="Q13" s="33">
        <v>276.06</v>
      </c>
      <c r="R13" s="33">
        <v>332.24</v>
      </c>
      <c r="S13" s="33">
        <v>234.94</v>
      </c>
      <c r="T13" s="33">
        <v>306.85</v>
      </c>
      <c r="U13" s="33">
        <v>1508.14</v>
      </c>
      <c r="V13" s="33">
        <v>1691.87</v>
      </c>
      <c r="W13" s="33">
        <v>1687.89</v>
      </c>
      <c r="X13" s="33">
        <v>1198.25</v>
      </c>
      <c r="Y13" s="33">
        <v>970.25</v>
      </c>
      <c r="Z13" s="33">
        <v>765.39</v>
      </c>
      <c r="AA13" s="33">
        <v>464.57</v>
      </c>
      <c r="AB13" s="33">
        <v>243.94</v>
      </c>
      <c r="AC13" s="33">
        <v>191.32</v>
      </c>
      <c r="AD13" s="33">
        <v>231.08</v>
      </c>
      <c r="AE13" s="33">
        <v>270.39</v>
      </c>
      <c r="AF13" s="33">
        <v>687.11</v>
      </c>
      <c r="AG13" s="33">
        <v>1260.1</v>
      </c>
      <c r="AH13" s="33">
        <v>1424.33</v>
      </c>
      <c r="AI13" s="33">
        <v>1395.11</v>
      </c>
      <c r="AJ13" s="33">
        <v>1157.15</v>
      </c>
      <c r="AK13" s="32"/>
      <c r="AL13" s="34">
        <f>SUM(G13:AK13)</f>
      </c>
      <c r="AM13" s="35"/>
    </row>
    <row r="14" ht="13.5" customHeight="1" spans="2:39" x14ac:dyDescent="0.25">
      <c r="B14" s="48" t="s">
        <v>3</v>
      </c>
      <c r="C14" s="49" t="s">
        <v>1885</v>
      </c>
      <c r="D14" s="50" t="s">
        <v>41</v>
      </c>
      <c r="E14" s="32" t="s">
        <v>3</v>
      </c>
      <c r="F14" s="32" t="s">
        <v>1890</v>
      </c>
      <c r="G14" s="32"/>
      <c r="H14" s="32"/>
      <c r="I14" s="32"/>
      <c r="J14" s="33">
        <v>2277.95</v>
      </c>
      <c r="K14" s="33">
        <v>2188.01</v>
      </c>
      <c r="L14" s="33">
        <v>1924.54</v>
      </c>
      <c r="M14" s="33">
        <v>1829.44</v>
      </c>
      <c r="N14" s="33">
        <v>1448.61</v>
      </c>
      <c r="O14" s="33">
        <v>791.36</v>
      </c>
      <c r="P14" s="33">
        <v>210.2</v>
      </c>
      <c r="Q14" s="33">
        <v>202.73</v>
      </c>
      <c r="R14" s="33">
        <v>255.96</v>
      </c>
      <c r="S14" s="33">
        <v>233.94</v>
      </c>
      <c r="T14" s="33">
        <v>742.89</v>
      </c>
      <c r="U14" s="33">
        <v>1608.7</v>
      </c>
      <c r="V14" s="33">
        <v>1612.44</v>
      </c>
      <c r="W14" s="33">
        <v>1401.75</v>
      </c>
      <c r="X14" s="33">
        <v>1197.11</v>
      </c>
      <c r="Y14" s="33">
        <v>1064.07</v>
      </c>
      <c r="Z14" s="33">
        <v>722.93</v>
      </c>
      <c r="AA14" s="33">
        <v>556.18</v>
      </c>
      <c r="AB14" s="33">
        <v>309.83</v>
      </c>
      <c r="AC14" s="33">
        <v>263.84</v>
      </c>
      <c r="AD14" s="33">
        <v>193.85</v>
      </c>
      <c r="AE14" s="33">
        <v>209.36</v>
      </c>
      <c r="AF14" s="33">
        <v>926.39</v>
      </c>
      <c r="AG14" s="33">
        <v>1462.86</v>
      </c>
      <c r="AH14" s="33">
        <v>1360.52</v>
      </c>
      <c r="AI14" s="33">
        <v>1288.02</v>
      </c>
      <c r="AJ14" s="33">
        <v>1184.38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1885</v>
      </c>
      <c r="D15" s="50" t="s">
        <v>41</v>
      </c>
      <c r="E15" s="32" t="s">
        <v>3</v>
      </c>
      <c r="F15" s="32" t="s">
        <v>1891</v>
      </c>
      <c r="G15" s="32"/>
      <c r="H15" s="32"/>
      <c r="I15" s="32"/>
      <c r="J15" s="33">
        <v>174.8</v>
      </c>
      <c r="K15" s="33">
        <v>189.67</v>
      </c>
      <c r="L15" s="33">
        <v>136.63</v>
      </c>
      <c r="M15" s="33">
        <v>108.01</v>
      </c>
      <c r="N15" s="33">
        <v>59.02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1885</v>
      </c>
      <c r="D16" s="50" t="s">
        <v>41</v>
      </c>
      <c r="E16" s="32" t="s">
        <v>3</v>
      </c>
      <c r="F16" s="32" t="s">
        <v>1892</v>
      </c>
      <c r="G16" s="32"/>
      <c r="H16" s="32"/>
      <c r="I16" s="32"/>
      <c r="J16" s="33">
        <v>31.1</v>
      </c>
      <c r="K16" s="33">
        <v>31.1</v>
      </c>
      <c r="L16" s="33">
        <v>31.1</v>
      </c>
      <c r="M16" s="33">
        <v>31.1</v>
      </c>
      <c r="N16" s="33">
        <v>31.1</v>
      </c>
      <c r="O16" s="33">
        <v>31.1</v>
      </c>
      <c r="P16" s="33">
        <v>31.1</v>
      </c>
      <c r="Q16" s="33">
        <v>31.12</v>
      </c>
      <c r="R16" s="33">
        <v>31.12</v>
      </c>
      <c r="S16" s="33">
        <v>31.12</v>
      </c>
      <c r="T16" s="33">
        <v>31.12</v>
      </c>
      <c r="U16" s="33">
        <v>31.12</v>
      </c>
      <c r="V16" s="33">
        <v>31.12</v>
      </c>
      <c r="W16" s="33">
        <v>31.12</v>
      </c>
      <c r="X16" s="33">
        <v>31.12</v>
      </c>
      <c r="Y16" s="33">
        <v>31.11</v>
      </c>
      <c r="Z16" s="33">
        <v>31.11</v>
      </c>
      <c r="AA16" s="33">
        <v>31.11</v>
      </c>
      <c r="AB16" s="33">
        <v>31.11</v>
      </c>
      <c r="AC16" s="33">
        <v>31.12</v>
      </c>
      <c r="AD16" s="33">
        <v>31.12</v>
      </c>
      <c r="AE16" s="33">
        <v>31.12</v>
      </c>
      <c r="AF16" s="33">
        <v>31.12</v>
      </c>
      <c r="AG16" s="33">
        <v>31.12</v>
      </c>
      <c r="AH16" s="33">
        <v>31.12</v>
      </c>
      <c r="AI16" s="33">
        <v>31.12</v>
      </c>
      <c r="AJ16" s="33">
        <v>31.12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1885</v>
      </c>
      <c r="D17" s="50" t="s">
        <v>41</v>
      </c>
      <c r="E17" s="32" t="s">
        <v>3</v>
      </c>
      <c r="F17" s="32" t="s">
        <v>1893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>
        <v>12.1</v>
      </c>
      <c r="AA17" s="33">
        <v>12.1</v>
      </c>
      <c r="AB17" s="33">
        <v>12.1</v>
      </c>
      <c r="AC17" s="33">
        <v>12.11</v>
      </c>
      <c r="AD17" s="33">
        <v>12.11</v>
      </c>
      <c r="AE17" s="33">
        <v>12.11</v>
      </c>
      <c r="AF17" s="33">
        <v>12.11</v>
      </c>
      <c r="AG17" s="33">
        <v>12.11</v>
      </c>
      <c r="AH17" s="33">
        <v>12.11</v>
      </c>
      <c r="AI17" s="33">
        <v>12.11</v>
      </c>
      <c r="AJ17" s="33">
        <v>12.11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1885</v>
      </c>
      <c r="D18" s="50" t="s">
        <v>41</v>
      </c>
      <c r="E18" s="32" t="s">
        <v>3</v>
      </c>
      <c r="F18" s="32" t="s">
        <v>1894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>
        <f>19.07+2.16</f>
        <v>21.23</v>
      </c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1885</v>
      </c>
      <c r="D19" s="50" t="s">
        <v>41</v>
      </c>
      <c r="E19" s="32" t="s">
        <v>3</v>
      </c>
      <c r="F19" s="32" t="s">
        <v>1895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>
        <v>6.94</v>
      </c>
      <c r="AB19" s="33">
        <v>12.1</v>
      </c>
      <c r="AC19" s="33">
        <v>12.11</v>
      </c>
      <c r="AD19" s="33">
        <v>12.11</v>
      </c>
      <c r="AE19" s="33">
        <v>12.11</v>
      </c>
      <c r="AF19" s="33">
        <v>12.11</v>
      </c>
      <c r="AG19" s="33">
        <v>3.08</v>
      </c>
      <c r="AH19" s="32"/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51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0"/>
    </row>
    <row r="21" ht="13.5" customHeight="1" spans="2:39" x14ac:dyDescent="0.25">
      <c r="B21" s="20"/>
      <c r="C21" s="21"/>
      <c r="D21" s="21" t="s">
        <v>64</v>
      </c>
      <c r="E21" s="21"/>
      <c r="F21" s="21"/>
      <c r="G21" s="22">
        <f>SUM(G10:G19)</f>
      </c>
      <c r="H21" s="22">
        <f>SUM(H10:H19)</f>
      </c>
      <c r="I21" s="22">
        <f>SUM(I10:I19)</f>
      </c>
      <c r="J21" s="22">
        <f>SUM(J10:J19)</f>
      </c>
      <c r="K21" s="22">
        <f>SUM(K10:K19)</f>
      </c>
      <c r="L21" s="22">
        <f>SUM(L10:L19)</f>
      </c>
      <c r="M21" s="22">
        <f>SUM(M10:M19)</f>
      </c>
      <c r="N21" s="22">
        <f>SUM(N10:N19)</f>
      </c>
      <c r="O21" s="22">
        <f>SUM(O10:O19)</f>
      </c>
      <c r="P21" s="22">
        <f>SUM(P10:P19)</f>
      </c>
      <c r="Q21" s="22">
        <f>SUM(Q10:Q19)</f>
      </c>
      <c r="R21" s="22">
        <f>SUM(R10:R19)</f>
      </c>
      <c r="S21" s="22">
        <f>SUM(S10:S19)</f>
      </c>
      <c r="T21" s="22">
        <f>SUM(T10:T19)</f>
      </c>
      <c r="U21" s="22">
        <f>SUM(U10:U19)</f>
      </c>
      <c r="V21" s="22">
        <f>SUM(V10:V19)</f>
      </c>
      <c r="W21" s="22">
        <f>SUM(W10:W19)</f>
      </c>
      <c r="X21" s="22">
        <f>SUM(X10:X19)</f>
      </c>
      <c r="Y21" s="22">
        <f>SUM(Y10:Y19)</f>
      </c>
      <c r="Z21" s="22">
        <f>SUM(Z10:Z19)</f>
      </c>
      <c r="AA21" s="22">
        <f>SUM(AA10:AA19)</f>
      </c>
      <c r="AB21" s="22">
        <f>SUM(AB10:AB19)</f>
      </c>
      <c r="AC21" s="22">
        <f>SUM(AC10:AC19)</f>
      </c>
      <c r="AD21" s="22">
        <f>SUM(AD10:AD19)</f>
      </c>
      <c r="AE21" s="22">
        <f>SUM(AE10:AE19)</f>
      </c>
      <c r="AF21" s="22">
        <f>SUM(AF10:AF19)</f>
      </c>
      <c r="AG21" s="22">
        <f>SUM(AG10:AG19)</f>
      </c>
      <c r="AH21" s="22">
        <f>SUM(AH10:AH19)</f>
      </c>
      <c r="AI21" s="22">
        <f>SUM(AI10:AI19)</f>
      </c>
      <c r="AJ21" s="22">
        <f>SUM(AJ10:AJ19)</f>
      </c>
      <c r="AK21" s="22">
        <f>SUM(AK10:AK19)</f>
      </c>
      <c r="AL21" s="22">
        <f>SUM(AL10:AL19)</f>
      </c>
      <c r="AM21" s="23"/>
    </row>
    <row r="23" ht="13.5" customHeight="1" spans="2:39" x14ac:dyDescent="0.25">
      <c r="B23" s="46"/>
      <c r="C23" s="28"/>
      <c r="D23" s="47" t="s">
        <v>42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/>
    </row>
    <row r="24" ht="13.5" customHeight="1" spans="2:39" x14ac:dyDescent="0.25">
      <c r="B24" s="48" t="s">
        <v>3</v>
      </c>
      <c r="C24" s="49" t="s">
        <v>1885</v>
      </c>
      <c r="D24" s="50" t="s">
        <v>42</v>
      </c>
      <c r="E24" s="32" t="s">
        <v>3</v>
      </c>
      <c r="F24" s="32" t="s">
        <v>1896</v>
      </c>
      <c r="G24" s="32"/>
      <c r="H24" s="32"/>
      <c r="I24" s="32"/>
      <c r="J24" s="33">
        <v>21.66</v>
      </c>
      <c r="K24" s="33">
        <v>98.5</v>
      </c>
      <c r="L24" s="33">
        <v>109.28</v>
      </c>
      <c r="M24" s="33">
        <v>90.9</v>
      </c>
      <c r="N24" s="33">
        <v>76.28</v>
      </c>
      <c r="O24" s="33">
        <v>21.66</v>
      </c>
      <c r="P24" s="33">
        <v>21.66</v>
      </c>
      <c r="Q24" s="33">
        <v>21.66</v>
      </c>
      <c r="R24" s="33">
        <v>22.34</v>
      </c>
      <c r="S24" s="33">
        <v>23.17</v>
      </c>
      <c r="T24" s="33">
        <v>23.59</v>
      </c>
      <c r="U24" s="33">
        <v>23.15</v>
      </c>
      <c r="V24" s="33">
        <v>23.36</v>
      </c>
      <c r="W24" s="33">
        <v>22.91</v>
      </c>
      <c r="X24" s="33">
        <v>65.71</v>
      </c>
      <c r="Y24" s="33">
        <v>33.21</v>
      </c>
      <c r="Z24" s="33">
        <v>23.48</v>
      </c>
      <c r="AA24" s="33">
        <v>22.79</v>
      </c>
      <c r="AB24" s="33">
        <v>22.11</v>
      </c>
      <c r="AC24" s="33">
        <v>22.84</v>
      </c>
      <c r="AD24" s="33">
        <v>22.91</v>
      </c>
      <c r="AE24" s="33">
        <v>23.06</v>
      </c>
      <c r="AF24" s="33">
        <v>33.68</v>
      </c>
      <c r="AG24" s="33">
        <v>33.46</v>
      </c>
      <c r="AH24" s="33">
        <v>32.85</v>
      </c>
      <c r="AI24" s="33">
        <v>32.85</v>
      </c>
      <c r="AJ24" s="33">
        <v>32.72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1885</v>
      </c>
      <c r="D25" s="50" t="s">
        <v>42</v>
      </c>
      <c r="E25" s="32" t="s">
        <v>3</v>
      </c>
      <c r="F25" s="32" t="s">
        <v>1897</v>
      </c>
      <c r="G25" s="32"/>
      <c r="H25" s="32"/>
      <c r="I25" s="32"/>
      <c r="J25" s="33">
        <v>68.27</v>
      </c>
      <c r="K25" s="33">
        <v>90.67</v>
      </c>
      <c r="L25" s="33">
        <v>67.32</v>
      </c>
      <c r="M25" s="33">
        <v>72.94</v>
      </c>
      <c r="N25" s="33">
        <v>26.32</v>
      </c>
      <c r="O25" s="33">
        <v>21.66</v>
      </c>
      <c r="P25" s="33">
        <v>21.66</v>
      </c>
      <c r="Q25" s="33">
        <v>21.66</v>
      </c>
      <c r="R25" s="33">
        <v>21.66</v>
      </c>
      <c r="S25" s="33">
        <v>21.66</v>
      </c>
      <c r="T25" s="33">
        <v>21.66</v>
      </c>
      <c r="U25" s="33">
        <v>63.58</v>
      </c>
      <c r="V25" s="33">
        <v>98.35</v>
      </c>
      <c r="W25" s="33">
        <v>105.5</v>
      </c>
      <c r="X25" s="33">
        <v>86.68</v>
      </c>
      <c r="Y25" s="33">
        <v>78.63</v>
      </c>
      <c r="Z25" s="33">
        <v>21.66</v>
      </c>
      <c r="AA25" s="33">
        <v>21.66</v>
      </c>
      <c r="AB25" s="33">
        <v>21.66</v>
      </c>
      <c r="AC25" s="33">
        <v>21.66</v>
      </c>
      <c r="AD25" s="33">
        <v>21.66</v>
      </c>
      <c r="AE25" s="33">
        <v>21.66</v>
      </c>
      <c r="AF25" s="33">
        <v>23.2</v>
      </c>
      <c r="AG25" s="33">
        <v>85.53</v>
      </c>
      <c r="AH25" s="33">
        <v>87.69</v>
      </c>
      <c r="AI25" s="33">
        <v>108.66</v>
      </c>
      <c r="AJ25" s="33">
        <v>92.13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1885</v>
      </c>
      <c r="D26" s="50" t="s">
        <v>42</v>
      </c>
      <c r="E26" s="32" t="s">
        <v>3</v>
      </c>
      <c r="F26" s="32" t="s">
        <v>1898</v>
      </c>
      <c r="G26" s="32"/>
      <c r="H26" s="32"/>
      <c r="I26" s="32"/>
      <c r="J26" s="33">
        <v>110.35</v>
      </c>
      <c r="K26" s="33">
        <v>119.45</v>
      </c>
      <c r="L26" s="33">
        <v>92.69</v>
      </c>
      <c r="M26" s="33">
        <v>88.77</v>
      </c>
      <c r="N26" s="33">
        <v>46.93</v>
      </c>
      <c r="O26" s="33">
        <v>21.66</v>
      </c>
      <c r="P26" s="33">
        <v>21.66</v>
      </c>
      <c r="Q26" s="33">
        <v>21.66</v>
      </c>
      <c r="R26" s="33">
        <v>60.93</v>
      </c>
      <c r="S26" s="33">
        <v>67.07</v>
      </c>
      <c r="T26" s="33">
        <v>63.65</v>
      </c>
      <c r="U26" s="33">
        <v>104.01</v>
      </c>
      <c r="V26" s="33">
        <v>110.59</v>
      </c>
      <c r="W26" s="33">
        <v>129.75</v>
      </c>
      <c r="X26" s="33">
        <v>99.7</v>
      </c>
      <c r="Y26" s="33">
        <v>112.74</v>
      </c>
      <c r="Z26" s="33">
        <v>46.69</v>
      </c>
      <c r="AA26" s="33">
        <v>21.66</v>
      </c>
      <c r="AB26" s="33">
        <v>21.66</v>
      </c>
      <c r="AC26" s="33">
        <v>21.66</v>
      </c>
      <c r="AD26" s="33">
        <v>21.66</v>
      </c>
      <c r="AE26" s="33">
        <v>21.79</v>
      </c>
      <c r="AF26" s="33">
        <v>21.79</v>
      </c>
      <c r="AG26" s="33">
        <v>32.49</v>
      </c>
      <c r="AH26" s="33">
        <v>32.49</v>
      </c>
      <c r="AI26" s="33">
        <v>32.49</v>
      </c>
      <c r="AJ26" s="33">
        <v>32.49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1885</v>
      </c>
      <c r="D27" s="50" t="s">
        <v>42</v>
      </c>
      <c r="E27" s="32" t="s">
        <v>3</v>
      </c>
      <c r="F27" s="32" t="s">
        <v>1899</v>
      </c>
      <c r="G27" s="32"/>
      <c r="H27" s="32"/>
      <c r="I27" s="32"/>
      <c r="J27" s="33">
        <v>21.66</v>
      </c>
      <c r="K27" s="33">
        <v>21.66</v>
      </c>
      <c r="L27" s="33">
        <v>21.66</v>
      </c>
      <c r="M27" s="33">
        <v>21.66</v>
      </c>
      <c r="N27" s="33">
        <v>21.66</v>
      </c>
      <c r="O27" s="33">
        <v>21.66</v>
      </c>
      <c r="P27" s="33">
        <v>21.66</v>
      </c>
      <c r="Q27" s="33">
        <v>21.66</v>
      </c>
      <c r="R27" s="33">
        <v>21.66</v>
      </c>
      <c r="S27" s="33">
        <v>21.66</v>
      </c>
      <c r="T27" s="33">
        <v>21.66</v>
      </c>
      <c r="U27" s="33">
        <v>21.66</v>
      </c>
      <c r="V27" s="33">
        <v>21.66</v>
      </c>
      <c r="W27" s="33">
        <v>21.66</v>
      </c>
      <c r="X27" s="33">
        <v>21.66</v>
      </c>
      <c r="Y27" s="33">
        <v>21.66</v>
      </c>
      <c r="Z27" s="33">
        <v>21.66</v>
      </c>
      <c r="AA27" s="33">
        <v>21.66</v>
      </c>
      <c r="AB27" s="33">
        <v>21.66</v>
      </c>
      <c r="AC27" s="33">
        <v>21.66</v>
      </c>
      <c r="AD27" s="33">
        <v>21.66</v>
      </c>
      <c r="AE27" s="33">
        <v>21.66</v>
      </c>
      <c r="AF27" s="33">
        <v>21.66</v>
      </c>
      <c r="AG27" s="33">
        <v>32.49</v>
      </c>
      <c r="AH27" s="33">
        <v>32.49</v>
      </c>
      <c r="AI27" s="33">
        <v>32.49</v>
      </c>
      <c r="AJ27" s="33">
        <v>32.49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1885</v>
      </c>
      <c r="D28" s="50" t="s">
        <v>42</v>
      </c>
      <c r="E28" s="32" t="s">
        <v>3</v>
      </c>
      <c r="F28" s="32" t="s">
        <v>1900</v>
      </c>
      <c r="G28" s="32"/>
      <c r="H28" s="32"/>
      <c r="I28" s="32"/>
      <c r="J28" s="33">
        <v>1292.11</v>
      </c>
      <c r="K28" s="33">
        <v>1608.15</v>
      </c>
      <c r="L28" s="33">
        <v>1410.8</v>
      </c>
      <c r="M28" s="33">
        <v>1155.48</v>
      </c>
      <c r="N28" s="33">
        <v>834.7</v>
      </c>
      <c r="O28" s="33">
        <v>1090.19</v>
      </c>
      <c r="P28" s="33">
        <v>1813.96</v>
      </c>
      <c r="Q28" s="33">
        <v>1966.43</v>
      </c>
      <c r="R28" s="33">
        <v>1786.34</v>
      </c>
      <c r="S28" s="33">
        <v>1504.21</v>
      </c>
      <c r="T28" s="33">
        <v>1046.78</v>
      </c>
      <c r="U28" s="33">
        <v>1207.69</v>
      </c>
      <c r="V28" s="33">
        <v>1325.65</v>
      </c>
      <c r="W28" s="33">
        <v>1883.51</v>
      </c>
      <c r="X28" s="33">
        <v>1238.5</v>
      </c>
      <c r="Y28" s="33">
        <v>1278.17</v>
      </c>
      <c r="Z28" s="33">
        <v>777.7</v>
      </c>
      <c r="AA28" s="33">
        <v>833.52</v>
      </c>
      <c r="AB28" s="33">
        <v>1518.07</v>
      </c>
      <c r="AC28" s="33">
        <v>1899.23</v>
      </c>
      <c r="AD28" s="33">
        <v>1562.22</v>
      </c>
      <c r="AE28" s="33">
        <v>1109.53</v>
      </c>
      <c r="AF28" s="33">
        <v>672.65</v>
      </c>
      <c r="AG28" s="33">
        <v>715.76</v>
      </c>
      <c r="AH28" s="33">
        <v>826.87</v>
      </c>
      <c r="AI28" s="33">
        <v>1046.52</v>
      </c>
      <c r="AJ28" s="33">
        <v>974.39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1885</v>
      </c>
      <c r="D29" s="50" t="s">
        <v>42</v>
      </c>
      <c r="E29" s="32" t="s">
        <v>3</v>
      </c>
      <c r="F29" s="32" t="s">
        <v>1901</v>
      </c>
      <c r="G29" s="32"/>
      <c r="H29" s="32"/>
      <c r="I29" s="32"/>
      <c r="J29" s="33">
        <v>1701.36</v>
      </c>
      <c r="K29" s="33">
        <v>2236.61</v>
      </c>
      <c r="L29" s="33">
        <v>1793.92</v>
      </c>
      <c r="M29" s="33">
        <v>1380.64</v>
      </c>
      <c r="N29" s="33">
        <v>1116.33</v>
      </c>
      <c r="O29" s="33">
        <v>1273.83</v>
      </c>
      <c r="P29" s="33">
        <v>1970.45</v>
      </c>
      <c r="Q29" s="33">
        <v>1719.19</v>
      </c>
      <c r="R29" s="33">
        <v>1381.54</v>
      </c>
      <c r="S29" s="33">
        <v>1326.64</v>
      </c>
      <c r="T29" s="33">
        <v>1058.77</v>
      </c>
      <c r="U29" s="33">
        <v>1131.13</v>
      </c>
      <c r="V29" s="33">
        <v>1578.83</v>
      </c>
      <c r="W29" s="33">
        <v>2088.15</v>
      </c>
      <c r="X29" s="33">
        <v>1225.43</v>
      </c>
      <c r="Y29" s="33">
        <v>1266.2</v>
      </c>
      <c r="Z29" s="33">
        <v>979.11</v>
      </c>
      <c r="AA29" s="33">
        <v>1173.84</v>
      </c>
      <c r="AB29" s="33">
        <v>1669.16</v>
      </c>
      <c r="AC29" s="33">
        <v>1656.01</v>
      </c>
      <c r="AD29" s="33">
        <v>1542.36</v>
      </c>
      <c r="AE29" s="33">
        <v>1179.26</v>
      </c>
      <c r="AF29" s="33">
        <v>765.96</v>
      </c>
      <c r="AG29" s="33">
        <v>859.24</v>
      </c>
      <c r="AH29" s="33">
        <v>973.01</v>
      </c>
      <c r="AI29" s="33">
        <v>1104.31</v>
      </c>
      <c r="AJ29" s="33">
        <v>985.62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1885</v>
      </c>
      <c r="D30" s="50" t="s">
        <v>42</v>
      </c>
      <c r="E30" s="32" t="s">
        <v>3</v>
      </c>
      <c r="F30" s="32" t="s">
        <v>1902</v>
      </c>
      <c r="G30" s="32"/>
      <c r="H30" s="32"/>
      <c r="I30" s="32"/>
      <c r="J30" s="33">
        <v>1159.89</v>
      </c>
      <c r="K30" s="33">
        <v>1441.49</v>
      </c>
      <c r="L30" s="33">
        <v>1152.99</v>
      </c>
      <c r="M30" s="33">
        <v>896.08</v>
      </c>
      <c r="N30" s="33">
        <v>989.65</v>
      </c>
      <c r="O30" s="33">
        <v>1219.76</v>
      </c>
      <c r="P30" s="33">
        <v>1893.28</v>
      </c>
      <c r="Q30" s="33">
        <v>2182.61</v>
      </c>
      <c r="R30" s="33">
        <v>1773.09</v>
      </c>
      <c r="S30" s="33">
        <v>1471.82</v>
      </c>
      <c r="T30" s="33">
        <v>1021.96</v>
      </c>
      <c r="U30" s="33">
        <v>797.56</v>
      </c>
      <c r="V30" s="33">
        <v>1016.44</v>
      </c>
      <c r="W30" s="33">
        <v>1487.48</v>
      </c>
      <c r="X30" s="33">
        <v>821.38</v>
      </c>
      <c r="Y30" s="33">
        <v>905.87</v>
      </c>
      <c r="Z30" s="33">
        <v>852.6</v>
      </c>
      <c r="AA30" s="33">
        <v>1023.08</v>
      </c>
      <c r="AB30" s="33">
        <v>1713.39</v>
      </c>
      <c r="AC30" s="33">
        <v>1981.8</v>
      </c>
      <c r="AD30" s="33">
        <v>1586.26</v>
      </c>
      <c r="AE30" s="33">
        <v>1164.37</v>
      </c>
      <c r="AF30" s="33">
        <v>670.49</v>
      </c>
      <c r="AG30" s="33">
        <v>639.35</v>
      </c>
      <c r="AH30" s="33">
        <v>808.37</v>
      </c>
      <c r="AI30" s="33">
        <v>825.72</v>
      </c>
      <c r="AJ30" s="33">
        <v>633.96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1885</v>
      </c>
      <c r="D31" s="50" t="s">
        <v>42</v>
      </c>
      <c r="E31" s="32" t="s">
        <v>3</v>
      </c>
      <c r="F31" s="32" t="s">
        <v>1903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3">
        <f>0.00+57.56</f>
        <v>57.56</v>
      </c>
      <c r="Z31" s="33">
        <v>21.66</v>
      </c>
      <c r="AA31" s="33">
        <v>21.66</v>
      </c>
      <c r="AB31" s="33">
        <v>21.66</v>
      </c>
      <c r="AC31" s="33">
        <v>21.66</v>
      </c>
      <c r="AD31" s="33">
        <v>21.66</v>
      </c>
      <c r="AE31" s="33">
        <v>21.66</v>
      </c>
      <c r="AF31" s="33">
        <v>32.49</v>
      </c>
      <c r="AG31" s="33">
        <v>32.49</v>
      </c>
      <c r="AH31" s="33">
        <v>32.49</v>
      </c>
      <c r="AI31" s="33">
        <v>32.49</v>
      </c>
      <c r="AJ31" s="33">
        <v>32.49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1885</v>
      </c>
      <c r="D32" s="50" t="s">
        <v>42</v>
      </c>
      <c r="E32" s="32" t="s">
        <v>3</v>
      </c>
      <c r="F32" s="32" t="s">
        <v>1904</v>
      </c>
      <c r="G32" s="32"/>
      <c r="H32" s="32"/>
      <c r="I32" s="32"/>
      <c r="J32" s="33">
        <v>348.18</v>
      </c>
      <c r="K32" s="33">
        <v>393.63</v>
      </c>
      <c r="L32" s="33">
        <v>314.06</v>
      </c>
      <c r="M32" s="33">
        <v>282.45</v>
      </c>
      <c r="N32" s="33">
        <v>351.49</v>
      </c>
      <c r="O32" s="33">
        <v>404.97</v>
      </c>
      <c r="P32" s="33">
        <v>625.5</v>
      </c>
      <c r="Q32" s="33">
        <v>725.9</v>
      </c>
      <c r="R32" s="33">
        <v>613.46</v>
      </c>
      <c r="S32" s="33">
        <v>525.1</v>
      </c>
      <c r="T32" s="33">
        <v>335.93</v>
      </c>
      <c r="U32" s="33">
        <v>277.25</v>
      </c>
      <c r="V32" s="33">
        <v>317.11</v>
      </c>
      <c r="W32" s="33">
        <v>433.27</v>
      </c>
      <c r="X32" s="33">
        <v>333.91</v>
      </c>
      <c r="Y32" s="33">
        <v>312.96</v>
      </c>
      <c r="Z32" s="33">
        <v>316.93</v>
      </c>
      <c r="AA32" s="33">
        <v>445.54</v>
      </c>
      <c r="AB32" s="33">
        <v>631.95</v>
      </c>
      <c r="AC32" s="33">
        <v>804.36</v>
      </c>
      <c r="AD32" s="33">
        <v>633.11</v>
      </c>
      <c r="AE32" s="33">
        <v>491.62</v>
      </c>
      <c r="AF32" s="33">
        <v>317.68</v>
      </c>
      <c r="AG32" s="33">
        <v>267.08</v>
      </c>
      <c r="AH32" s="33">
        <v>378.16</v>
      </c>
      <c r="AI32" s="33">
        <v>219.29</v>
      </c>
      <c r="AJ32" s="33">
        <v>195.36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1885</v>
      </c>
      <c r="D33" s="50" t="s">
        <v>42</v>
      </c>
      <c r="E33" s="32" t="s">
        <v>3</v>
      </c>
      <c r="F33" s="32" t="s">
        <v>1905</v>
      </c>
      <c r="G33" s="32"/>
      <c r="H33" s="32"/>
      <c r="I33" s="32"/>
      <c r="J33" s="33">
        <v>1241.36</v>
      </c>
      <c r="K33" s="33">
        <v>1648.26</v>
      </c>
      <c r="L33" s="33">
        <v>1300.85</v>
      </c>
      <c r="M33" s="33">
        <v>1052.59</v>
      </c>
      <c r="N33" s="33">
        <v>861.43</v>
      </c>
      <c r="O33" s="33">
        <v>613.87</v>
      </c>
      <c r="P33" s="33">
        <v>960.58</v>
      </c>
      <c r="Q33" s="33">
        <v>1190.1</v>
      </c>
      <c r="R33" s="33">
        <v>953.71</v>
      </c>
      <c r="S33" s="33">
        <v>728.42</v>
      </c>
      <c r="T33" s="33">
        <v>533.56</v>
      </c>
      <c r="U33" s="33">
        <v>991.23</v>
      </c>
      <c r="V33" s="33">
        <v>1079.62</v>
      </c>
      <c r="W33" s="33">
        <v>1358.47</v>
      </c>
      <c r="X33" s="33">
        <v>900.98</v>
      </c>
      <c r="Y33" s="33">
        <v>1046.94</v>
      </c>
      <c r="Z33" s="33">
        <v>609.1</v>
      </c>
      <c r="AA33" s="33">
        <v>504.07</v>
      </c>
      <c r="AB33" s="33">
        <v>846.78</v>
      </c>
      <c r="AC33" s="33">
        <v>1136.8</v>
      </c>
      <c r="AD33" s="33">
        <v>1107.04</v>
      </c>
      <c r="AE33" s="33">
        <v>754.62</v>
      </c>
      <c r="AF33" s="33">
        <v>567.25</v>
      </c>
      <c r="AG33" s="33">
        <v>901.41</v>
      </c>
      <c r="AH33" s="33">
        <v>1096.82</v>
      </c>
      <c r="AI33" s="33">
        <v>1094.83</v>
      </c>
      <c r="AJ33" s="33">
        <v>975.95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1885</v>
      </c>
      <c r="D34" s="50" t="s">
        <v>42</v>
      </c>
      <c r="E34" s="32" t="s">
        <v>3</v>
      </c>
      <c r="F34" s="32" t="s">
        <v>1906</v>
      </c>
      <c r="G34" s="32"/>
      <c r="H34" s="32"/>
      <c r="I34" s="32"/>
      <c r="J34" s="33">
        <v>82.65</v>
      </c>
      <c r="K34" s="33">
        <v>92.39</v>
      </c>
      <c r="L34" s="33">
        <v>80.43</v>
      </c>
      <c r="M34" s="33">
        <v>88.77</v>
      </c>
      <c r="N34" s="33">
        <v>29.9</v>
      </c>
      <c r="O34" s="33">
        <v>21.66</v>
      </c>
      <c r="P34" s="33">
        <v>21.66</v>
      </c>
      <c r="Q34" s="33">
        <v>21.66</v>
      </c>
      <c r="R34" s="33">
        <v>21.66</v>
      </c>
      <c r="S34" s="33">
        <v>21.66</v>
      </c>
      <c r="T34" s="33">
        <v>21.66</v>
      </c>
      <c r="U34" s="33">
        <v>88.15</v>
      </c>
      <c r="V34" s="33">
        <v>97.57</v>
      </c>
      <c r="W34" s="33">
        <v>118.75</v>
      </c>
      <c r="X34" s="33">
        <v>98.35</v>
      </c>
      <c r="Y34" s="33">
        <v>28.23</v>
      </c>
      <c r="Z34" s="33">
        <v>21.66</v>
      </c>
      <c r="AA34" s="33">
        <v>21.66</v>
      </c>
      <c r="AB34" s="33">
        <v>21.66</v>
      </c>
      <c r="AC34" s="33">
        <v>21.66</v>
      </c>
      <c r="AD34" s="33">
        <v>21.66</v>
      </c>
      <c r="AE34" s="33">
        <v>21.66</v>
      </c>
      <c r="AF34" s="33">
        <v>21.66</v>
      </c>
      <c r="AG34" s="33">
        <v>32.49</v>
      </c>
      <c r="AH34" s="33">
        <v>32.49</v>
      </c>
      <c r="AI34" s="33">
        <v>32.49</v>
      </c>
      <c r="AJ34" s="33">
        <v>32.49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1885</v>
      </c>
      <c r="D35" s="50" t="s">
        <v>42</v>
      </c>
      <c r="E35" s="32" t="s">
        <v>3</v>
      </c>
      <c r="F35" s="32" t="s">
        <v>1907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3">
        <f>51.18+0.00</f>
        <v>51.18</v>
      </c>
      <c r="X35" s="33">
        <v>21.66</v>
      </c>
      <c r="Y35" s="33">
        <v>32.99</v>
      </c>
      <c r="Z35" s="33">
        <v>67.31</v>
      </c>
      <c r="AA35" s="33">
        <v>118.21</v>
      </c>
      <c r="AB35" s="33">
        <v>180.88</v>
      </c>
      <c r="AC35" s="33">
        <v>223.29</v>
      </c>
      <c r="AD35" s="33">
        <f>0.00+241.62</f>
        <v>241.62</v>
      </c>
      <c r="AE35" s="32"/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1885</v>
      </c>
      <c r="D36" s="50" t="s">
        <v>42</v>
      </c>
      <c r="E36" s="32" t="s">
        <v>3</v>
      </c>
      <c r="F36" s="32" t="s">
        <v>1908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3">
        <f>58.35+0.00</f>
        <v>58.35</v>
      </c>
      <c r="Y36" s="33">
        <v>26.08</v>
      </c>
      <c r="Z36" s="33">
        <v>26.76</v>
      </c>
      <c r="AA36" s="33">
        <f>107.15+12.08+0.00</f>
        <v>119.23</v>
      </c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1885</v>
      </c>
      <c r="D37" s="50" t="s">
        <v>42</v>
      </c>
      <c r="E37" s="32" t="s">
        <v>3</v>
      </c>
      <c r="F37" s="32" t="s">
        <v>1909</v>
      </c>
      <c r="G37" s="32"/>
      <c r="H37" s="32"/>
      <c r="I37" s="32"/>
      <c r="J37" s="32"/>
      <c r="K37" s="32"/>
      <c r="L37" s="32"/>
      <c r="M37" s="32"/>
      <c r="N37" s="32"/>
      <c r="O37" s="32"/>
      <c r="P37" s="33">
        <f>50.67+0.00</f>
        <v>50.67</v>
      </c>
      <c r="Q37" s="33">
        <v>39.85</v>
      </c>
      <c r="R37" s="33">
        <v>120.57</v>
      </c>
      <c r="S37" s="33">
        <f>92.98+0.00</f>
        <v>92.98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1885</v>
      </c>
      <c r="D38" s="50" t="s">
        <v>42</v>
      </c>
      <c r="E38" s="32" t="s">
        <v>3</v>
      </c>
      <c r="F38" s="32" t="s">
        <v>1910</v>
      </c>
      <c r="G38" s="32"/>
      <c r="H38" s="32"/>
      <c r="I38" s="32"/>
      <c r="J38" s="33">
        <v>21.66</v>
      </c>
      <c r="K38" s="33">
        <v>21.66</v>
      </c>
      <c r="L38" s="33">
        <v>21.66</v>
      </c>
      <c r="M38" s="33">
        <v>21.66</v>
      </c>
      <c r="N38" s="33">
        <v>21.66</v>
      </c>
      <c r="O38" s="33">
        <v>21.66</v>
      </c>
      <c r="P38" s="33">
        <v>21.66</v>
      </c>
      <c r="Q38" s="33">
        <v>21.66</v>
      </c>
      <c r="R38" s="33">
        <v>21.66</v>
      </c>
      <c r="S38" s="33">
        <v>21.66</v>
      </c>
      <c r="T38" s="33">
        <v>21.66</v>
      </c>
      <c r="U38" s="33">
        <v>21.66</v>
      </c>
      <c r="V38" s="33">
        <v>21.66</v>
      </c>
      <c r="W38" s="33">
        <v>21.66</v>
      </c>
      <c r="X38" s="33">
        <v>21.66</v>
      </c>
      <c r="Y38" s="33">
        <v>21.66</v>
      </c>
      <c r="Z38" s="33">
        <v>21.66</v>
      </c>
      <c r="AA38" s="33">
        <v>21.66</v>
      </c>
      <c r="AB38" s="33">
        <v>21.66</v>
      </c>
      <c r="AC38" s="33">
        <v>21.66</v>
      </c>
      <c r="AD38" s="33">
        <v>21.66</v>
      </c>
      <c r="AE38" s="33">
        <v>21.66</v>
      </c>
      <c r="AF38" s="33">
        <v>49.69</v>
      </c>
      <c r="AG38" s="33">
        <v>76.45</v>
      </c>
      <c r="AH38" s="33">
        <v>92.61</v>
      </c>
      <c r="AI38" s="33">
        <v>90.18</v>
      </c>
      <c r="AJ38" s="33">
        <v>58.35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1885</v>
      </c>
      <c r="D39" s="50" t="s">
        <v>42</v>
      </c>
      <c r="E39" s="32" t="s">
        <v>3</v>
      </c>
      <c r="F39" s="32" t="s">
        <v>1911</v>
      </c>
      <c r="G39" s="32"/>
      <c r="H39" s="32"/>
      <c r="I39" s="32"/>
      <c r="J39" s="33">
        <v>90.99</v>
      </c>
      <c r="K39" s="33">
        <v>106.86</v>
      </c>
      <c r="L39" s="33">
        <v>89.1</v>
      </c>
      <c r="M39" s="33">
        <v>82.87</v>
      </c>
      <c r="N39" s="33">
        <v>26.62</v>
      </c>
      <c r="O39" s="33">
        <v>21.66</v>
      </c>
      <c r="P39" s="33">
        <v>21.66</v>
      </c>
      <c r="Q39" s="33">
        <v>21.66</v>
      </c>
      <c r="R39" s="33">
        <v>21.66</v>
      </c>
      <c r="S39" s="33">
        <v>21.66</v>
      </c>
      <c r="T39" s="33">
        <v>21.66</v>
      </c>
      <c r="U39" s="33">
        <v>45.91</v>
      </c>
      <c r="V39" s="33">
        <v>94.05</v>
      </c>
      <c r="W39" s="33">
        <v>99.48</v>
      </c>
      <c r="X39" s="33">
        <v>86.68</v>
      </c>
      <c r="Y39" s="33">
        <v>64.6</v>
      </c>
      <c r="Z39" s="33">
        <v>21.66</v>
      </c>
      <c r="AA39" s="33">
        <v>21.66</v>
      </c>
      <c r="AB39" s="33">
        <v>21.66</v>
      </c>
      <c r="AC39" s="33">
        <v>21.66</v>
      </c>
      <c r="AD39" s="33">
        <v>21.66</v>
      </c>
      <c r="AE39" s="33">
        <v>21.66</v>
      </c>
      <c r="AF39" s="33">
        <v>21.66</v>
      </c>
      <c r="AG39" s="33">
        <v>32.49</v>
      </c>
      <c r="AH39" s="33">
        <v>77.52</v>
      </c>
      <c r="AI39" s="33">
        <v>97.59</v>
      </c>
      <c r="AJ39" s="33">
        <v>78.58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1885</v>
      </c>
      <c r="D40" s="50" t="s">
        <v>42</v>
      </c>
      <c r="E40" s="32" t="s">
        <v>3</v>
      </c>
      <c r="F40" s="32" t="s">
        <v>1912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3">
        <f>171.53+0.00+50.43+0.00</f>
        <v>221.96</v>
      </c>
      <c r="AE40" s="32"/>
      <c r="AF40" s="32"/>
      <c r="AG40" s="32"/>
      <c r="AH40" s="32"/>
      <c r="AI40" s="32"/>
      <c r="AJ40" s="32"/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1885</v>
      </c>
      <c r="D41" s="50" t="s">
        <v>42</v>
      </c>
      <c r="E41" s="32" t="s">
        <v>3</v>
      </c>
      <c r="F41" s="32" t="s">
        <v>1913</v>
      </c>
      <c r="G41" s="32"/>
      <c r="H41" s="32"/>
      <c r="I41" s="32"/>
      <c r="J41" s="33">
        <v>21.66</v>
      </c>
      <c r="K41" s="33">
        <v>21.66</v>
      </c>
      <c r="L41" s="33">
        <v>21.66</v>
      </c>
      <c r="M41" s="33">
        <v>21.66</v>
      </c>
      <c r="N41" s="33">
        <v>21.66</v>
      </c>
      <c r="O41" s="33">
        <v>21.66</v>
      </c>
      <c r="P41" s="33">
        <v>21.66</v>
      </c>
      <c r="Q41" s="33">
        <v>21.66</v>
      </c>
      <c r="R41" s="33">
        <v>21.66</v>
      </c>
      <c r="S41" s="33">
        <v>21.66</v>
      </c>
      <c r="T41" s="33">
        <v>21.66</v>
      </c>
      <c r="U41" s="33">
        <v>46.24</v>
      </c>
      <c r="V41" s="33">
        <v>109.46</v>
      </c>
      <c r="W41" s="33">
        <v>44.42</v>
      </c>
      <c r="X41" s="33">
        <v>65.29</v>
      </c>
      <c r="Y41" s="33">
        <v>62.43</v>
      </c>
      <c r="Z41" s="33">
        <v>98.77</v>
      </c>
      <c r="AA41" s="33">
        <v>53.01</v>
      </c>
      <c r="AB41" s="33">
        <v>21.66</v>
      </c>
      <c r="AC41" s="33">
        <v>21.66</v>
      </c>
      <c r="AD41" s="33">
        <v>21.66</v>
      </c>
      <c r="AE41" s="33">
        <v>21.66</v>
      </c>
      <c r="AF41" s="33">
        <v>34.05</v>
      </c>
      <c r="AG41" s="33">
        <v>74.32</v>
      </c>
      <c r="AH41" s="33">
        <v>59.33</v>
      </c>
      <c r="AI41" s="33">
        <v>69.68</v>
      </c>
      <c r="AJ41" s="33">
        <v>88.93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1885</v>
      </c>
      <c r="D42" s="50" t="s">
        <v>42</v>
      </c>
      <c r="E42" s="32" t="s">
        <v>3</v>
      </c>
      <c r="F42" s="32" t="s">
        <v>1914</v>
      </c>
      <c r="G42" s="32"/>
      <c r="H42" s="32"/>
      <c r="I42" s="32"/>
      <c r="J42" s="33">
        <v>842.44</v>
      </c>
      <c r="K42" s="33">
        <v>1046.02</v>
      </c>
      <c r="L42" s="33">
        <v>879.5</v>
      </c>
      <c r="M42" s="33">
        <v>636.63</v>
      </c>
      <c r="N42" s="33">
        <v>719.49</v>
      </c>
      <c r="O42" s="33">
        <v>1109.78</v>
      </c>
      <c r="P42" s="33">
        <v>1772.74</v>
      </c>
      <c r="Q42" s="33">
        <v>2106.37</v>
      </c>
      <c r="R42" s="33">
        <v>1747.42</v>
      </c>
      <c r="S42" s="33">
        <v>1498.18</v>
      </c>
      <c r="T42" s="33">
        <v>850.24</v>
      </c>
      <c r="U42" s="33">
        <v>620.41</v>
      </c>
      <c r="V42" s="33">
        <v>761.31</v>
      </c>
      <c r="W42" s="33">
        <v>890.31</v>
      </c>
      <c r="X42" s="33">
        <v>578.77</v>
      </c>
      <c r="Y42" s="33">
        <v>616.43</v>
      </c>
      <c r="Z42" s="33">
        <v>652.71</v>
      </c>
      <c r="AA42" s="33">
        <v>767.07</v>
      </c>
      <c r="AB42" s="33">
        <v>1459.03</v>
      </c>
      <c r="AC42" s="33">
        <v>1590.47</v>
      </c>
      <c r="AD42" s="33">
        <v>1410.06</v>
      </c>
      <c r="AE42" s="33">
        <v>1018.17</v>
      </c>
      <c r="AF42" s="33">
        <v>632.9</v>
      </c>
      <c r="AG42" s="33">
        <v>597.73</v>
      </c>
      <c r="AH42" s="33">
        <v>674.31</v>
      </c>
      <c r="AI42" s="33">
        <v>638.73</v>
      </c>
      <c r="AJ42" s="33">
        <v>541.6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1885</v>
      </c>
      <c r="D43" s="50" t="s">
        <v>42</v>
      </c>
      <c r="E43" s="32" t="s">
        <v>3</v>
      </c>
      <c r="F43" s="32" t="s">
        <v>1915</v>
      </c>
      <c r="G43" s="32"/>
      <c r="H43" s="32"/>
      <c r="I43" s="32"/>
      <c r="J43" s="33">
        <v>140.47</v>
      </c>
      <c r="K43" s="33">
        <v>118.27</v>
      </c>
      <c r="L43" s="33">
        <f>97.98+26.79+0.00</f>
        <v>124.77000000000001</v>
      </c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1885</v>
      </c>
      <c r="D44" s="50" t="s">
        <v>42</v>
      </c>
      <c r="E44" s="32" t="s">
        <v>3</v>
      </c>
      <c r="F44" s="32" t="s">
        <v>1916</v>
      </c>
      <c r="G44" s="32"/>
      <c r="H44" s="32"/>
      <c r="I44" s="32"/>
      <c r="J44" s="33">
        <v>84.24</v>
      </c>
      <c r="K44" s="33">
        <v>127.78</v>
      </c>
      <c r="L44" s="33">
        <v>128.21</v>
      </c>
      <c r="M44" s="33">
        <v>109.28</v>
      </c>
      <c r="N44" s="33">
        <v>34.44</v>
      </c>
      <c r="O44" s="33">
        <v>21.78</v>
      </c>
      <c r="P44" s="33">
        <v>21.66</v>
      </c>
      <c r="Q44" s="33">
        <v>21.66</v>
      </c>
      <c r="R44" s="33">
        <v>21.66</v>
      </c>
      <c r="S44" s="33">
        <v>140.49</v>
      </c>
      <c r="T44" s="33">
        <v>83.55</v>
      </c>
      <c r="U44" s="33">
        <v>128.37</v>
      </c>
      <c r="V44" s="33">
        <v>97.91</v>
      </c>
      <c r="W44" s="33">
        <v>123.95</v>
      </c>
      <c r="X44" s="33">
        <v>106.16</v>
      </c>
      <c r="Y44" s="33">
        <v>107.29</v>
      </c>
      <c r="Z44" s="33">
        <v>26.08</v>
      </c>
      <c r="AA44" s="33">
        <v>21.66</v>
      </c>
      <c r="AB44" s="33">
        <v>21.66</v>
      </c>
      <c r="AC44" s="33">
        <v>21.66</v>
      </c>
      <c r="AD44" s="33">
        <v>21.66</v>
      </c>
      <c r="AE44" s="33">
        <v>21.66</v>
      </c>
      <c r="AF44" s="33">
        <v>21.66</v>
      </c>
      <c r="AG44" s="33">
        <v>101.3</v>
      </c>
      <c r="AH44" s="33">
        <v>106.66</v>
      </c>
      <c r="AI44" s="33">
        <v>140.38</v>
      </c>
      <c r="AJ44" s="33">
        <v>112.09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1885</v>
      </c>
      <c r="D45" s="50" t="s">
        <v>42</v>
      </c>
      <c r="E45" s="32" t="s">
        <v>3</v>
      </c>
      <c r="F45" s="32" t="s">
        <v>1917</v>
      </c>
      <c r="G45" s="32"/>
      <c r="H45" s="32"/>
      <c r="I45" s="32"/>
      <c r="J45" s="33">
        <v>45.56</v>
      </c>
      <c r="K45" s="33">
        <v>45.36</v>
      </c>
      <c r="L45" s="33">
        <v>43.3</v>
      </c>
      <c r="M45" s="33">
        <v>45.95</v>
      </c>
      <c r="N45" s="33">
        <v>46.79</v>
      </c>
      <c r="O45" s="33">
        <v>45.54</v>
      </c>
      <c r="P45" s="33">
        <v>46.3</v>
      </c>
      <c r="Q45" s="33">
        <v>49.26</v>
      </c>
      <c r="R45" s="33">
        <v>45.67</v>
      </c>
      <c r="S45" s="33">
        <v>46.93</v>
      </c>
      <c r="T45" s="33">
        <v>44.84</v>
      </c>
      <c r="U45" s="33">
        <v>47.61</v>
      </c>
      <c r="V45" s="33">
        <v>48.62</v>
      </c>
      <c r="W45" s="33">
        <v>51.37</v>
      </c>
      <c r="X45" s="33">
        <v>43.73</v>
      </c>
      <c r="Y45" s="33">
        <v>47.61</v>
      </c>
      <c r="Z45" s="33">
        <v>48.38</v>
      </c>
      <c r="AA45" s="33">
        <v>43.55</v>
      </c>
      <c r="AB45" s="33">
        <v>45.54</v>
      </c>
      <c r="AC45" s="33">
        <v>47.78</v>
      </c>
      <c r="AD45" s="33">
        <v>42.54</v>
      </c>
      <c r="AE45" s="33">
        <v>43.17</v>
      </c>
      <c r="AF45" s="33">
        <v>41.73</v>
      </c>
      <c r="AG45" s="33">
        <v>42.97</v>
      </c>
      <c r="AH45" s="33">
        <v>43.27</v>
      </c>
      <c r="AI45" s="33">
        <v>43.1</v>
      </c>
      <c r="AJ45" s="33">
        <v>42.52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1885</v>
      </c>
      <c r="D46" s="50" t="s">
        <v>42</v>
      </c>
      <c r="E46" s="32" t="s">
        <v>3</v>
      </c>
      <c r="F46" s="32" t="s">
        <v>1918</v>
      </c>
      <c r="G46" s="32"/>
      <c r="H46" s="32"/>
      <c r="I46" s="32"/>
      <c r="J46" s="33">
        <v>21.66</v>
      </c>
      <c r="K46" s="33">
        <v>43.16</v>
      </c>
      <c r="L46" s="33">
        <v>62.08</v>
      </c>
      <c r="M46" s="33">
        <v>21.66</v>
      </c>
      <c r="N46" s="33">
        <v>29.11</v>
      </c>
      <c r="O46" s="33">
        <v>100.06</v>
      </c>
      <c r="P46" s="33">
        <v>21.66</v>
      </c>
      <c r="Q46" s="33">
        <v>21.66</v>
      </c>
      <c r="R46" s="33">
        <v>21.66</v>
      </c>
      <c r="S46" s="33">
        <v>21.66</v>
      </c>
      <c r="T46" s="33">
        <v>21.66</v>
      </c>
      <c r="U46" s="33">
        <v>134.73</v>
      </c>
      <c r="V46" s="33">
        <v>138.62</v>
      </c>
      <c r="W46" s="33">
        <v>105.19</v>
      </c>
      <c r="X46" s="33">
        <v>129.77</v>
      </c>
      <c r="Y46" s="33">
        <v>148.62</v>
      </c>
      <c r="Z46" s="33">
        <v>49.39</v>
      </c>
      <c r="AA46" s="33">
        <v>21.66</v>
      </c>
      <c r="AB46" s="33">
        <v>21.66</v>
      </c>
      <c r="AC46" s="33">
        <v>21.66</v>
      </c>
      <c r="AD46" s="33">
        <v>21.66</v>
      </c>
      <c r="AE46" s="33">
        <v>21.66</v>
      </c>
      <c r="AF46" s="33">
        <v>21.66</v>
      </c>
      <c r="AG46" s="33">
        <v>81.93</v>
      </c>
      <c r="AH46" s="33">
        <v>146.22</v>
      </c>
      <c r="AI46" s="33">
        <v>115.4</v>
      </c>
      <c r="AJ46" s="33">
        <v>122.02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1885</v>
      </c>
      <c r="D47" s="50" t="s">
        <v>42</v>
      </c>
      <c r="E47" s="32" t="s">
        <v>3</v>
      </c>
      <c r="F47" s="32" t="s">
        <v>1919</v>
      </c>
      <c r="G47" s="32"/>
      <c r="H47" s="32"/>
      <c r="I47" s="32"/>
      <c r="J47" s="33">
        <v>785.24</v>
      </c>
      <c r="K47" s="33">
        <v>1158.12</v>
      </c>
      <c r="L47" s="33">
        <v>910.96</v>
      </c>
      <c r="M47" s="33">
        <v>680.01</v>
      </c>
      <c r="N47" s="33">
        <v>679.9</v>
      </c>
      <c r="O47" s="33">
        <v>809.87</v>
      </c>
      <c r="P47" s="33">
        <v>1552.18</v>
      </c>
      <c r="Q47" s="33">
        <v>1831.37</v>
      </c>
      <c r="R47" s="33">
        <v>1401.02</v>
      </c>
      <c r="S47" s="33">
        <v>1174.25</v>
      </c>
      <c r="T47" s="33">
        <v>775.87</v>
      </c>
      <c r="U47" s="33">
        <v>673.62</v>
      </c>
      <c r="V47" s="33">
        <v>842.31</v>
      </c>
      <c r="W47" s="33">
        <v>999.17</v>
      </c>
      <c r="X47" s="33">
        <v>599.07</v>
      </c>
      <c r="Y47" s="33">
        <v>642.81</v>
      </c>
      <c r="Z47" s="33">
        <v>638.6</v>
      </c>
      <c r="AA47" s="33">
        <v>925.09</v>
      </c>
      <c r="AB47" s="33">
        <v>1603.14</v>
      </c>
      <c r="AC47" s="33">
        <v>1838.76</v>
      </c>
      <c r="AD47" s="33">
        <v>1653.62</v>
      </c>
      <c r="AE47" s="33">
        <v>1130.13</v>
      </c>
      <c r="AF47" s="33">
        <v>609.35</v>
      </c>
      <c r="AG47" s="33">
        <v>627.17</v>
      </c>
      <c r="AH47" s="33">
        <v>675.99</v>
      </c>
      <c r="AI47" s="33">
        <v>722.59</v>
      </c>
      <c r="AJ47" s="33">
        <v>529.87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1885</v>
      </c>
      <c r="D48" s="50" t="s">
        <v>42</v>
      </c>
      <c r="E48" s="32" t="s">
        <v>3</v>
      </c>
      <c r="F48" s="32" t="s">
        <v>1920</v>
      </c>
      <c r="G48" s="32"/>
      <c r="H48" s="32"/>
      <c r="I48" s="32"/>
      <c r="J48" s="33">
        <v>68.28</v>
      </c>
      <c r="K48" s="33">
        <v>53.37</v>
      </c>
      <c r="L48" s="33">
        <v>79.27</v>
      </c>
      <c r="M48" s="33">
        <v>61.83</v>
      </c>
      <c r="N48" s="33">
        <v>24.51</v>
      </c>
      <c r="O48" s="33">
        <v>21.66</v>
      </c>
      <c r="P48" s="33">
        <v>21.66</v>
      </c>
      <c r="Q48" s="33">
        <v>21.66</v>
      </c>
      <c r="R48" s="33">
        <v>21.66</v>
      </c>
      <c r="S48" s="33">
        <v>21.66</v>
      </c>
      <c r="T48" s="33">
        <v>21.66</v>
      </c>
      <c r="U48" s="33">
        <v>93.49</v>
      </c>
      <c r="V48" s="33">
        <v>77.97</v>
      </c>
      <c r="W48" s="33">
        <v>96.64</v>
      </c>
      <c r="X48" s="33">
        <v>79.31</v>
      </c>
      <c r="Y48" s="33">
        <v>76.71</v>
      </c>
      <c r="Z48" s="33">
        <v>27.09</v>
      </c>
      <c r="AA48" s="33">
        <v>27.27</v>
      </c>
      <c r="AB48" s="33">
        <v>27.27</v>
      </c>
      <c r="AC48" s="33">
        <v>27.68</v>
      </c>
      <c r="AD48" s="33">
        <v>27.68</v>
      </c>
      <c r="AE48" s="33">
        <v>27.27</v>
      </c>
      <c r="AF48" s="33">
        <v>27.4</v>
      </c>
      <c r="AG48" s="33">
        <v>78.1</v>
      </c>
      <c r="AH48" s="33">
        <v>84.09</v>
      </c>
      <c r="AI48" s="33">
        <v>93.78</v>
      </c>
      <c r="AJ48" s="33">
        <v>71.33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1885</v>
      </c>
      <c r="D49" s="50" t="s">
        <v>42</v>
      </c>
      <c r="E49" s="32" t="s">
        <v>3</v>
      </c>
      <c r="F49" s="32" t="s">
        <v>1921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3">
        <f>0.00+63.53</f>
        <v>63.53</v>
      </c>
      <c r="AG49" s="33">
        <v>32.49</v>
      </c>
      <c r="AH49" s="33">
        <v>32.49</v>
      </c>
      <c r="AI49" s="33">
        <v>32.49</v>
      </c>
      <c r="AJ49" s="33">
        <v>32.49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1885</v>
      </c>
      <c r="D50" s="50" t="s">
        <v>42</v>
      </c>
      <c r="E50" s="32" t="s">
        <v>3</v>
      </c>
      <c r="F50" s="32" t="s">
        <v>1922</v>
      </c>
      <c r="G50" s="32"/>
      <c r="H50" s="32"/>
      <c r="I50" s="32"/>
      <c r="J50" s="33">
        <f>749.23+153.39+140.79</f>
        <v>1043.41</v>
      </c>
      <c r="K50" s="33">
        <f>751.96+153.95+197.76</f>
        <v>1103.67</v>
      </c>
      <c r="L50" s="33">
        <f>137.13+740.93+151.70</f>
        <v>1029.76</v>
      </c>
      <c r="M50" s="33">
        <f>740.93+100.42+151.69</f>
        <v>993.04</v>
      </c>
      <c r="N50" s="33">
        <f>82.94+151.73+741.01</f>
        <v>975.68</v>
      </c>
      <c r="O50" s="33">
        <f>741.40+170.30+151.80</f>
        <v>1063.5</v>
      </c>
      <c r="P50" s="33">
        <f>272.75+151.81+741.41</f>
        <v>1165.97</v>
      </c>
      <c r="Q50" s="33">
        <f>151.81+300.53+741.40</f>
        <v>1193.74</v>
      </c>
      <c r="R50" s="33">
        <f>294.51+696.22+196.99</f>
        <v>1187.72</v>
      </c>
      <c r="S50" s="33">
        <f>741.40+151.81+251.61</f>
        <v>1144.8200000000002</v>
      </c>
      <c r="T50" s="33">
        <f>152.79+152.01+742.37</f>
        <v>1047.17</v>
      </c>
      <c r="U50" s="33">
        <f>756.61+96.19+154.71</f>
        <v>1007.51</v>
      </c>
      <c r="V50" s="33">
        <f>128.36+756.61+154.71</f>
        <v>1039.68</v>
      </c>
      <c r="W50" s="33">
        <f>154.71+756.61+220.89</f>
        <v>1132.21</v>
      </c>
      <c r="X50" s="33">
        <f>154.71+756.61+111.34</f>
        <v>1022.6600000000001</v>
      </c>
      <c r="Y50" s="33">
        <f>154.71+756.61+150.62</f>
        <v>1061.94</v>
      </c>
      <c r="Z50" s="33">
        <f>155.57+75.38+760.74</f>
        <v>991.69</v>
      </c>
      <c r="AA50" s="33">
        <f>154.84+168.01+756.63</f>
        <v>1079.48</v>
      </c>
      <c r="AB50" s="33">
        <f>155.76+271.86+761.16</f>
        <v>1188.78</v>
      </c>
      <c r="AC50" s="33">
        <f>152.87+354.61+746.98</f>
        <v>1254.46</v>
      </c>
      <c r="AD50" s="33">
        <f>746.97+152.86+321.85</f>
        <v>1221.68</v>
      </c>
      <c r="AE50" s="33">
        <f>250.77+746.98+152.87</f>
        <v>1150.62</v>
      </c>
      <c r="AF50" s="33">
        <f>153.23+748.89+121.89</f>
        <v>1024.01</v>
      </c>
      <c r="AG50" s="33">
        <f>755.03+120.40+154.43</f>
        <v>1029.86</v>
      </c>
      <c r="AH50" s="33">
        <f>154.43+755.03+181.47</f>
        <v>1090.93</v>
      </c>
      <c r="AI50" s="33">
        <f>754.82+215.75+154.39</f>
        <v>1124.96</v>
      </c>
      <c r="AJ50" s="33">
        <f>96.89+154.39+754.83</f>
        <v>1006.11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1885</v>
      </c>
      <c r="D51" s="50" t="s">
        <v>42</v>
      </c>
      <c r="E51" s="32" t="s">
        <v>3</v>
      </c>
      <c r="F51" s="32" t="s">
        <v>1923</v>
      </c>
      <c r="G51" s="32"/>
      <c r="H51" s="32"/>
      <c r="I51" s="32"/>
      <c r="J51" s="33">
        <v>21.66</v>
      </c>
      <c r="K51" s="33">
        <v>22.08</v>
      </c>
      <c r="L51" s="33">
        <v>21.66</v>
      </c>
      <c r="M51" s="33">
        <v>21.66</v>
      </c>
      <c r="N51" s="33">
        <v>21.66</v>
      </c>
      <c r="O51" s="33">
        <v>21.66</v>
      </c>
      <c r="P51" s="33">
        <v>21.66</v>
      </c>
      <c r="Q51" s="33">
        <v>21.66</v>
      </c>
      <c r="R51" s="33">
        <v>21.66</v>
      </c>
      <c r="S51" s="33">
        <v>21.66</v>
      </c>
      <c r="T51" s="33">
        <v>21.66</v>
      </c>
      <c r="U51" s="33">
        <v>32.44</v>
      </c>
      <c r="V51" s="33">
        <v>53.49</v>
      </c>
      <c r="W51" s="33">
        <v>81.25</v>
      </c>
      <c r="X51" s="33">
        <v>60.84</v>
      </c>
      <c r="Y51" s="33">
        <v>58.26</v>
      </c>
      <c r="Z51" s="33">
        <v>21.66</v>
      </c>
      <c r="AA51" s="33">
        <v>21.66</v>
      </c>
      <c r="AB51" s="33">
        <v>21.66</v>
      </c>
      <c r="AC51" s="33">
        <v>21.66</v>
      </c>
      <c r="AD51" s="33">
        <v>21.66</v>
      </c>
      <c r="AE51" s="33">
        <v>21.66</v>
      </c>
      <c r="AF51" s="33">
        <v>21.66</v>
      </c>
      <c r="AG51" s="33">
        <v>32.49</v>
      </c>
      <c r="AH51" s="33">
        <v>32.49</v>
      </c>
      <c r="AI51" s="33">
        <v>32.49</v>
      </c>
      <c r="AJ51" s="33">
        <v>42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1885</v>
      </c>
      <c r="D52" s="50" t="s">
        <v>42</v>
      </c>
      <c r="E52" s="32" t="s">
        <v>3</v>
      </c>
      <c r="F52" s="32" t="s">
        <v>1924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3">
        <f>46.87+0.00</f>
        <v>46.87</v>
      </c>
      <c r="AB52" s="33">
        <v>143.39</v>
      </c>
      <c r="AC52" s="33">
        <v>69.45</v>
      </c>
      <c r="AD52" s="33">
        <v>230.51</v>
      </c>
      <c r="AE52" s="33">
        <f>0.00+117.61</f>
        <v>117.61</v>
      </c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1885</v>
      </c>
      <c r="D53" s="50" t="s">
        <v>42</v>
      </c>
      <c r="E53" s="32" t="s">
        <v>3</v>
      </c>
      <c r="F53" s="32" t="s">
        <v>1925</v>
      </c>
      <c r="G53" s="32"/>
      <c r="H53" s="32"/>
      <c r="I53" s="32"/>
      <c r="J53" s="33">
        <v>1225.87</v>
      </c>
      <c r="K53" s="33">
        <v>1404.98</v>
      </c>
      <c r="L53" s="33">
        <v>1141.11</v>
      </c>
      <c r="M53" s="33">
        <v>1061.29</v>
      </c>
      <c r="N53" s="33">
        <v>1419.24</v>
      </c>
      <c r="O53" s="33">
        <v>1215.9</v>
      </c>
      <c r="P53" s="33">
        <v>2033.96</v>
      </c>
      <c r="Q53" s="33">
        <v>2350.53</v>
      </c>
      <c r="R53" s="33">
        <v>1779.79</v>
      </c>
      <c r="S53" s="33">
        <v>1586.96</v>
      </c>
      <c r="T53" s="33">
        <v>1180.93</v>
      </c>
      <c r="U53" s="33">
        <v>925.55</v>
      </c>
      <c r="V53" s="33">
        <v>1121.88</v>
      </c>
      <c r="W53" s="33">
        <v>1538.97</v>
      </c>
      <c r="X53" s="33">
        <v>1014.88</v>
      </c>
      <c r="Y53" s="33">
        <v>1120.24</v>
      </c>
      <c r="Z53" s="33">
        <v>967.55</v>
      </c>
      <c r="AA53" s="33">
        <v>922.06</v>
      </c>
      <c r="AB53" s="33">
        <v>1538.26</v>
      </c>
      <c r="AC53" s="33">
        <v>1632.92</v>
      </c>
      <c r="AD53" s="33">
        <v>1516.76</v>
      </c>
      <c r="AE53" s="33">
        <v>1168.97</v>
      </c>
      <c r="AF53" s="33">
        <v>760.9</v>
      </c>
      <c r="AG53" s="33">
        <v>796.93</v>
      </c>
      <c r="AH53" s="33">
        <v>999.9</v>
      </c>
      <c r="AI53" s="33">
        <v>1161.38</v>
      </c>
      <c r="AJ53" s="33">
        <v>1131.76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1885</v>
      </c>
      <c r="D54" s="50" t="s">
        <v>42</v>
      </c>
      <c r="E54" s="32" t="s">
        <v>3</v>
      </c>
      <c r="F54" s="32" t="s">
        <v>1926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3">
        <f>0.00+89.93</f>
        <v>89.93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1885</v>
      </c>
      <c r="D55" s="50" t="s">
        <v>42</v>
      </c>
      <c r="E55" s="32" t="s">
        <v>3</v>
      </c>
      <c r="F55" s="32" t="s">
        <v>1927</v>
      </c>
      <c r="G55" s="32"/>
      <c r="H55" s="32"/>
      <c r="I55" s="32"/>
      <c r="J55" s="32"/>
      <c r="K55" s="33">
        <v>70.67</v>
      </c>
      <c r="L55" s="33">
        <v>70.67</v>
      </c>
      <c r="M55" s="33">
        <v>70.67</v>
      </c>
      <c r="N55" s="33">
        <v>70.67</v>
      </c>
      <c r="O55" s="33">
        <v>70.69</v>
      </c>
      <c r="P55" s="33">
        <v>70.72</v>
      </c>
      <c r="Q55" s="33">
        <v>70.72</v>
      </c>
      <c r="R55" s="33">
        <v>70.72</v>
      </c>
      <c r="S55" s="33">
        <v>70.72</v>
      </c>
      <c r="T55" s="33">
        <v>70.72</v>
      </c>
      <c r="U55" s="33">
        <v>71.69</v>
      </c>
      <c r="V55" s="33">
        <v>72.4</v>
      </c>
      <c r="W55" s="33">
        <v>72.4</v>
      </c>
      <c r="X55" s="33">
        <v>72.4</v>
      </c>
      <c r="Y55" s="33">
        <v>72.4</v>
      </c>
      <c r="Z55" s="33">
        <v>72.4</v>
      </c>
      <c r="AA55" s="33">
        <v>71.72</v>
      </c>
      <c r="AB55" s="33">
        <v>71.33</v>
      </c>
      <c r="AC55" s="33">
        <v>71.33</v>
      </c>
      <c r="AD55" s="33">
        <v>71.33</v>
      </c>
      <c r="AE55" s="33">
        <v>71.33</v>
      </c>
      <c r="AF55" s="33">
        <v>71.33</v>
      </c>
      <c r="AG55" s="33">
        <v>71.94</v>
      </c>
      <c r="AH55" s="33">
        <v>72.19</v>
      </c>
      <c r="AI55" s="33">
        <v>72.18</v>
      </c>
      <c r="AJ55" s="33">
        <v>72.17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1885</v>
      </c>
      <c r="D56" s="50" t="s">
        <v>42</v>
      </c>
      <c r="E56" s="32" t="s">
        <v>3</v>
      </c>
      <c r="F56" s="32" t="s">
        <v>1928</v>
      </c>
      <c r="G56" s="32"/>
      <c r="H56" s="32"/>
      <c r="I56" s="32"/>
      <c r="J56" s="33">
        <v>50.52</v>
      </c>
      <c r="K56" s="33">
        <v>56</v>
      </c>
      <c r="L56" s="33">
        <v>60.45</v>
      </c>
      <c r="M56" s="33">
        <v>56.22</v>
      </c>
      <c r="N56" s="33">
        <v>51.04</v>
      </c>
      <c r="O56" s="33">
        <v>67.63</v>
      </c>
      <c r="P56" s="33">
        <v>66.24</v>
      </c>
      <c r="Q56" s="33">
        <v>65.84</v>
      </c>
      <c r="R56" s="33">
        <v>65.1</v>
      </c>
      <c r="S56" s="33">
        <v>59.94</v>
      </c>
      <c r="T56" s="33">
        <v>60.5</v>
      </c>
      <c r="U56" s="33">
        <v>57.13</v>
      </c>
      <c r="V56" s="33">
        <v>64.82</v>
      </c>
      <c r="W56" s="33">
        <v>75.69</v>
      </c>
      <c r="X56" s="33">
        <v>69.59</v>
      </c>
      <c r="Y56" s="33">
        <v>70.6</v>
      </c>
      <c r="Z56" s="33">
        <v>52.82</v>
      </c>
      <c r="AA56" s="33">
        <v>61.68</v>
      </c>
      <c r="AB56" s="33">
        <v>62.51</v>
      </c>
      <c r="AC56" s="33">
        <v>65.34</v>
      </c>
      <c r="AD56" s="33">
        <v>29.3</v>
      </c>
      <c r="AE56" s="33">
        <v>28.81</v>
      </c>
      <c r="AF56" s="33">
        <v>22.08</v>
      </c>
      <c r="AG56" s="33">
        <v>32.49</v>
      </c>
      <c r="AH56" s="33">
        <v>32.49</v>
      </c>
      <c r="AI56" s="33">
        <v>32.49</v>
      </c>
      <c r="AJ56" s="33">
        <v>32.49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1885</v>
      </c>
      <c r="D57" s="50" t="s">
        <v>42</v>
      </c>
      <c r="E57" s="32" t="s">
        <v>3</v>
      </c>
      <c r="F57" s="32" t="s">
        <v>1929</v>
      </c>
      <c r="G57" s="32"/>
      <c r="H57" s="32"/>
      <c r="I57" s="32"/>
      <c r="J57" s="33">
        <v>21.66</v>
      </c>
      <c r="K57" s="33">
        <v>22.08</v>
      </c>
      <c r="L57" s="33">
        <v>21.66</v>
      </c>
      <c r="M57" s="33">
        <v>21.66</v>
      </c>
      <c r="N57" s="33">
        <v>21.66</v>
      </c>
      <c r="O57" s="33">
        <v>21.66</v>
      </c>
      <c r="P57" s="33">
        <v>21.66</v>
      </c>
      <c r="Q57" s="33">
        <v>21.66</v>
      </c>
      <c r="R57" s="33">
        <v>21.66</v>
      </c>
      <c r="S57" s="33">
        <v>21.66</v>
      </c>
      <c r="T57" s="33">
        <v>21.66</v>
      </c>
      <c r="U57" s="33">
        <v>21.66</v>
      </c>
      <c r="V57" s="33">
        <v>21.66</v>
      </c>
      <c r="W57" s="33">
        <v>21.66</v>
      </c>
      <c r="X57" s="33">
        <v>21.66</v>
      </c>
      <c r="Y57" s="33">
        <v>21.66</v>
      </c>
      <c r="Z57" s="33">
        <v>21.66</v>
      </c>
      <c r="AA57" s="33">
        <v>21.66</v>
      </c>
      <c r="AB57" s="33">
        <v>21.66</v>
      </c>
      <c r="AC57" s="33">
        <v>21.66</v>
      </c>
      <c r="AD57" s="33">
        <v>21.66</v>
      </c>
      <c r="AE57" s="33">
        <v>21.66</v>
      </c>
      <c r="AF57" s="33">
        <v>21.66</v>
      </c>
      <c r="AG57" s="33">
        <v>32.49</v>
      </c>
      <c r="AH57" s="33">
        <v>32.49</v>
      </c>
      <c r="AI57" s="33">
        <v>32.49</v>
      </c>
      <c r="AJ57" s="33">
        <v>32.49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1885</v>
      </c>
      <c r="D58" s="50" t="s">
        <v>42</v>
      </c>
      <c r="E58" s="32" t="s">
        <v>3</v>
      </c>
      <c r="F58" s="32" t="s">
        <v>1930</v>
      </c>
      <c r="G58" s="32"/>
      <c r="H58" s="32"/>
      <c r="I58" s="32"/>
      <c r="J58" s="32"/>
      <c r="K58" s="32"/>
      <c r="L58" s="32"/>
      <c r="M58" s="32"/>
      <c r="N58" s="32"/>
      <c r="O58" s="32"/>
      <c r="P58" s="33">
        <f>0.00+102.95</f>
        <v>102.95</v>
      </c>
      <c r="Q58" s="33">
        <v>174.96</v>
      </c>
      <c r="R58" s="33">
        <v>150.29</v>
      </c>
      <c r="S58" s="33">
        <f>0.00+97.08</f>
        <v>97.08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1885</v>
      </c>
      <c r="D59" s="50" t="s">
        <v>42</v>
      </c>
      <c r="E59" s="32" t="s">
        <v>3</v>
      </c>
      <c r="F59" s="32" t="s">
        <v>1931</v>
      </c>
      <c r="G59" s="32"/>
      <c r="H59" s="32"/>
      <c r="I59" s="32"/>
      <c r="J59" s="33">
        <v>66.38</v>
      </c>
      <c r="K59" s="33">
        <v>98.31</v>
      </c>
      <c r="L59" s="33">
        <v>84.98</v>
      </c>
      <c r="M59" s="33">
        <v>62.89</v>
      </c>
      <c r="N59" s="33">
        <v>21.66</v>
      </c>
      <c r="O59" s="33">
        <v>21.66</v>
      </c>
      <c r="P59" s="33">
        <v>21.66</v>
      </c>
      <c r="Q59" s="33">
        <v>21.66</v>
      </c>
      <c r="R59" s="33">
        <v>21.66</v>
      </c>
      <c r="S59" s="33">
        <v>21.66</v>
      </c>
      <c r="T59" s="33">
        <v>21.66</v>
      </c>
      <c r="U59" s="33">
        <v>21.66</v>
      </c>
      <c r="V59" s="33">
        <v>21.66</v>
      </c>
      <c r="W59" s="33">
        <v>21.66</v>
      </c>
      <c r="X59" s="33">
        <v>21.66</v>
      </c>
      <c r="Y59" s="33">
        <v>21.66</v>
      </c>
      <c r="Z59" s="33">
        <v>21.66</v>
      </c>
      <c r="AA59" s="33">
        <v>21.66</v>
      </c>
      <c r="AB59" s="33">
        <v>21.66</v>
      </c>
      <c r="AC59" s="33">
        <v>21.66</v>
      </c>
      <c r="AD59" s="33">
        <v>21.66</v>
      </c>
      <c r="AE59" s="33">
        <v>21.66</v>
      </c>
      <c r="AF59" s="33">
        <v>32.49</v>
      </c>
      <c r="AG59" s="33">
        <v>32.49</v>
      </c>
      <c r="AH59" s="33">
        <v>32.49</v>
      </c>
      <c r="AI59" s="33">
        <v>32.49</v>
      </c>
      <c r="AJ59" s="33">
        <v>32.49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1885</v>
      </c>
      <c r="D60" s="50" t="s">
        <v>42</v>
      </c>
      <c r="E60" s="32" t="s">
        <v>3</v>
      </c>
      <c r="F60" s="32" t="s">
        <v>1932</v>
      </c>
      <c r="G60" s="32"/>
      <c r="H60" s="32"/>
      <c r="I60" s="32"/>
      <c r="J60" s="33">
        <v>501.37</v>
      </c>
      <c r="K60" s="33">
        <v>475.85</v>
      </c>
      <c r="L60" s="33">
        <v>367.99</v>
      </c>
      <c r="M60" s="33">
        <v>349.66</v>
      </c>
      <c r="N60" s="33">
        <v>313.01</v>
      </c>
      <c r="O60" s="33">
        <v>331.29</v>
      </c>
      <c r="P60" s="33">
        <v>740.24</v>
      </c>
      <c r="Q60" s="33">
        <v>937.18</v>
      </c>
      <c r="R60" s="33">
        <v>790.19</v>
      </c>
      <c r="S60" s="33">
        <v>595.72</v>
      </c>
      <c r="T60" s="33">
        <v>335.46</v>
      </c>
      <c r="U60" s="33">
        <v>250.58</v>
      </c>
      <c r="V60" s="33">
        <v>276.88</v>
      </c>
      <c r="W60" s="33">
        <v>328</v>
      </c>
      <c r="X60" s="33">
        <v>256.88</v>
      </c>
      <c r="Y60" s="33">
        <v>277.55</v>
      </c>
      <c r="Z60" s="33">
        <v>293.27</v>
      </c>
      <c r="AA60" s="33">
        <v>366.08</v>
      </c>
      <c r="AB60" s="33">
        <v>500.8</v>
      </c>
      <c r="AC60" s="33">
        <v>596.48</v>
      </c>
      <c r="AD60" s="33">
        <v>545.9</v>
      </c>
      <c r="AE60" s="33">
        <v>424.59</v>
      </c>
      <c r="AF60" s="33">
        <v>238.65</v>
      </c>
      <c r="AG60" s="33">
        <v>224.35</v>
      </c>
      <c r="AH60" s="33">
        <v>309.06</v>
      </c>
      <c r="AI60" s="33">
        <v>343.27</v>
      </c>
      <c r="AJ60" s="33">
        <v>214.98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1885</v>
      </c>
      <c r="D61" s="50" t="s">
        <v>42</v>
      </c>
      <c r="E61" s="32" t="s">
        <v>3</v>
      </c>
      <c r="F61" s="32" t="s">
        <v>1933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3">
        <f>53.19+0.00</f>
        <v>53.19</v>
      </c>
      <c r="AI61" s="33">
        <v>32.49</v>
      </c>
      <c r="AJ61" s="33">
        <v>32.49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1885</v>
      </c>
      <c r="D62" s="50" t="s">
        <v>42</v>
      </c>
      <c r="E62" s="32" t="s">
        <v>3</v>
      </c>
      <c r="F62" s="32" t="s">
        <v>1934</v>
      </c>
      <c r="G62" s="32"/>
      <c r="H62" s="32"/>
      <c r="I62" s="32"/>
      <c r="J62" s="33">
        <v>1418.01</v>
      </c>
      <c r="K62" s="33">
        <v>1973.12</v>
      </c>
      <c r="L62" s="33">
        <v>1424.9</v>
      </c>
      <c r="M62" s="33">
        <v>1223.8</v>
      </c>
      <c r="N62" s="33">
        <v>1181.2</v>
      </c>
      <c r="O62" s="33">
        <v>1466.34</v>
      </c>
      <c r="P62" s="33">
        <v>2342.56</v>
      </c>
      <c r="Q62" s="33">
        <v>2732.82</v>
      </c>
      <c r="R62" s="33">
        <v>1928.21</v>
      </c>
      <c r="S62" s="33">
        <v>1610.47</v>
      </c>
      <c r="T62" s="33">
        <v>1089.58</v>
      </c>
      <c r="U62" s="33">
        <v>902.84</v>
      </c>
      <c r="V62" s="33">
        <v>1019.86</v>
      </c>
      <c r="W62" s="33">
        <v>1548.18</v>
      </c>
      <c r="X62" s="33">
        <v>1053.64</v>
      </c>
      <c r="Y62" s="33">
        <v>1162.88</v>
      </c>
      <c r="Z62" s="33">
        <v>982.74</v>
      </c>
      <c r="AA62" s="33">
        <v>1216.29</v>
      </c>
      <c r="AB62" s="33">
        <v>2004.59</v>
      </c>
      <c r="AC62" s="33">
        <v>2406.78</v>
      </c>
      <c r="AD62" s="33">
        <v>2180.66</v>
      </c>
      <c r="AE62" s="33">
        <v>1651.8</v>
      </c>
      <c r="AF62" s="33">
        <v>944.72</v>
      </c>
      <c r="AG62" s="33">
        <v>878.27</v>
      </c>
      <c r="AH62" s="33">
        <v>968.19</v>
      </c>
      <c r="AI62" s="33">
        <v>871.48</v>
      </c>
      <c r="AJ62" s="33">
        <v>794.18</v>
      </c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1885</v>
      </c>
      <c r="D63" s="50" t="s">
        <v>42</v>
      </c>
      <c r="E63" s="32" t="s">
        <v>3</v>
      </c>
      <c r="F63" s="32" t="s">
        <v>1935</v>
      </c>
      <c r="G63" s="32"/>
      <c r="H63" s="32"/>
      <c r="I63" s="32"/>
      <c r="J63" s="33">
        <v>1185.09</v>
      </c>
      <c r="K63" s="33">
        <v>1611.9</v>
      </c>
      <c r="L63" s="33">
        <v>1235.16</v>
      </c>
      <c r="M63" s="33">
        <v>864.09</v>
      </c>
      <c r="N63" s="33">
        <v>706.77</v>
      </c>
      <c r="O63" s="33">
        <v>715.07</v>
      </c>
      <c r="P63" s="33">
        <v>1110.72</v>
      </c>
      <c r="Q63" s="33">
        <v>1332.91</v>
      </c>
      <c r="R63" s="33">
        <v>1175.63</v>
      </c>
      <c r="S63" s="33">
        <v>1091.19</v>
      </c>
      <c r="T63" s="33">
        <v>806.51</v>
      </c>
      <c r="U63" s="33">
        <v>794.69</v>
      </c>
      <c r="V63" s="33">
        <v>1003.21</v>
      </c>
      <c r="W63" s="33">
        <v>1282.07</v>
      </c>
      <c r="X63" s="33">
        <v>854.3</v>
      </c>
      <c r="Y63" s="33">
        <v>765.89</v>
      </c>
      <c r="Z63" s="33">
        <v>689.75</v>
      </c>
      <c r="AA63" s="33">
        <v>749.19</v>
      </c>
      <c r="AB63" s="33">
        <v>1173.73</v>
      </c>
      <c r="AC63" s="33">
        <v>1306.12</v>
      </c>
      <c r="AD63" s="33">
        <v>1102.33</v>
      </c>
      <c r="AE63" s="33">
        <v>749.19</v>
      </c>
      <c r="AF63" s="33">
        <v>552.12</v>
      </c>
      <c r="AG63" s="33">
        <v>662.59</v>
      </c>
      <c r="AH63" s="33">
        <v>1002.09</v>
      </c>
      <c r="AI63" s="33">
        <v>958.35</v>
      </c>
      <c r="AJ63" s="33">
        <v>793.15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1885</v>
      </c>
      <c r="D64" s="50" t="s">
        <v>42</v>
      </c>
      <c r="E64" s="32" t="s">
        <v>3</v>
      </c>
      <c r="F64" s="32" t="s">
        <v>1936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3">
        <f>81.46+0.00</f>
        <v>81.46</v>
      </c>
      <c r="Z64" s="33">
        <v>32.17</v>
      </c>
      <c r="AA64" s="33">
        <v>21.66</v>
      </c>
      <c r="AB64" s="33">
        <v>21.66</v>
      </c>
      <c r="AC64" s="33">
        <v>21.66</v>
      </c>
      <c r="AD64" s="33">
        <v>21.66</v>
      </c>
      <c r="AE64" s="33">
        <v>21.66</v>
      </c>
      <c r="AF64" s="33">
        <f>21.66+0.00+0.72</f>
        <v>22.38</v>
      </c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1885</v>
      </c>
      <c r="D65" s="50" t="s">
        <v>42</v>
      </c>
      <c r="E65" s="32" t="s">
        <v>3</v>
      </c>
      <c r="F65" s="32" t="s">
        <v>1937</v>
      </c>
      <c r="G65" s="32"/>
      <c r="H65" s="32"/>
      <c r="I65" s="32"/>
      <c r="J65" s="33">
        <v>21.66</v>
      </c>
      <c r="K65" s="33">
        <v>38.88</v>
      </c>
      <c r="L65" s="33">
        <v>105.5</v>
      </c>
      <c r="M65" s="33">
        <v>21.66</v>
      </c>
      <c r="N65" s="33">
        <v>21.66</v>
      </c>
      <c r="O65" s="33">
        <v>21.66</v>
      </c>
      <c r="P65" s="33">
        <v>21.66</v>
      </c>
      <c r="Q65" s="33">
        <v>21.66</v>
      </c>
      <c r="R65" s="33">
        <v>21.66</v>
      </c>
      <c r="S65" s="33">
        <v>21.66</v>
      </c>
      <c r="T65" s="33">
        <v>21.66</v>
      </c>
      <c r="U65" s="33">
        <v>21.66</v>
      </c>
      <c r="V65" s="33">
        <v>23.92</v>
      </c>
      <c r="W65" s="33">
        <v>42.06</v>
      </c>
      <c r="X65" s="33">
        <v>21.66</v>
      </c>
      <c r="Y65" s="33">
        <v>21.66</v>
      </c>
      <c r="Z65" s="33">
        <v>80</v>
      </c>
      <c r="AA65" s="33">
        <v>21.66</v>
      </c>
      <c r="AB65" s="33">
        <v>21.66</v>
      </c>
      <c r="AC65" s="33">
        <v>21.66</v>
      </c>
      <c r="AD65" s="33">
        <v>21.66</v>
      </c>
      <c r="AE65" s="33">
        <f>21.66+0.00</f>
        <v>21.66</v>
      </c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1885</v>
      </c>
      <c r="D66" s="50" t="s">
        <v>42</v>
      </c>
      <c r="E66" s="32" t="s">
        <v>3</v>
      </c>
      <c r="F66" s="32" t="s">
        <v>1938</v>
      </c>
      <c r="G66" s="32"/>
      <c r="H66" s="32"/>
      <c r="I66" s="32"/>
      <c r="J66" s="33">
        <v>357.86</v>
      </c>
      <c r="K66" s="33">
        <v>367.71</v>
      </c>
      <c r="L66" s="33">
        <v>345.91</v>
      </c>
      <c r="M66" s="33">
        <v>353</v>
      </c>
      <c r="N66" s="33">
        <v>386.22</v>
      </c>
      <c r="O66" s="33">
        <v>356.05</v>
      </c>
      <c r="P66" s="33">
        <v>352.07</v>
      </c>
      <c r="Q66" s="33">
        <v>377.28</v>
      </c>
      <c r="R66" s="33">
        <v>328.55</v>
      </c>
      <c r="S66" s="33">
        <v>368.95</v>
      </c>
      <c r="T66" s="33">
        <v>344.65</v>
      </c>
      <c r="U66" s="33">
        <v>361.03</v>
      </c>
      <c r="V66" s="33">
        <v>383.54</v>
      </c>
      <c r="W66" s="33">
        <v>390.22</v>
      </c>
      <c r="X66" s="33">
        <v>350.1</v>
      </c>
      <c r="Y66" s="33">
        <v>375.2</v>
      </c>
      <c r="Z66" s="33">
        <v>373.26</v>
      </c>
      <c r="AA66" s="33">
        <v>393.99</v>
      </c>
      <c r="AB66" s="33">
        <v>442.62</v>
      </c>
      <c r="AC66" s="33">
        <v>440.9</v>
      </c>
      <c r="AD66" s="33">
        <v>366.01</v>
      </c>
      <c r="AE66" s="33">
        <v>374.97</v>
      </c>
      <c r="AF66" s="33">
        <v>377.73</v>
      </c>
      <c r="AG66" s="33">
        <v>368.8</v>
      </c>
      <c r="AH66" s="33">
        <v>353.82</v>
      </c>
      <c r="AI66" s="33">
        <v>385.34</v>
      </c>
      <c r="AJ66" s="33">
        <v>362.56</v>
      </c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1885</v>
      </c>
      <c r="D67" s="50" t="s">
        <v>42</v>
      </c>
      <c r="E67" s="32" t="s">
        <v>3</v>
      </c>
      <c r="F67" s="32" t="s">
        <v>1939</v>
      </c>
      <c r="G67" s="32"/>
      <c r="H67" s="32"/>
      <c r="I67" s="32"/>
      <c r="J67" s="33">
        <v>134.77</v>
      </c>
      <c r="K67" s="33">
        <v>150.09</v>
      </c>
      <c r="L67" s="33">
        <v>106.96</v>
      </c>
      <c r="M67" s="33">
        <v>94.08</v>
      </c>
      <c r="N67" s="33">
        <v>32.96</v>
      </c>
      <c r="O67" s="33">
        <v>21.66</v>
      </c>
      <c r="P67" s="33">
        <v>21.66</v>
      </c>
      <c r="Q67" s="33">
        <v>21.66</v>
      </c>
      <c r="R67" s="33">
        <v>21.66</v>
      </c>
      <c r="S67" s="33">
        <v>21.66</v>
      </c>
      <c r="T67" s="33">
        <v>51.3</v>
      </c>
      <c r="U67" s="33">
        <v>99.7</v>
      </c>
      <c r="V67" s="33">
        <v>109.8</v>
      </c>
      <c r="W67" s="33">
        <v>147.52</v>
      </c>
      <c r="X67" s="33">
        <v>98.22</v>
      </c>
      <c r="Y67" s="33">
        <v>104.82</v>
      </c>
      <c r="Z67" s="33">
        <v>21.66</v>
      </c>
      <c r="AA67" s="33">
        <v>21.66</v>
      </c>
      <c r="AB67" s="33">
        <v>21.66</v>
      </c>
      <c r="AC67" s="33">
        <v>21.66</v>
      </c>
      <c r="AD67" s="33">
        <v>21.66</v>
      </c>
      <c r="AE67" s="33">
        <v>21.66</v>
      </c>
      <c r="AF67" s="33">
        <v>50.9</v>
      </c>
      <c r="AG67" s="33">
        <v>118</v>
      </c>
      <c r="AH67" s="33">
        <v>126.16</v>
      </c>
      <c r="AI67" s="33">
        <v>131.93</v>
      </c>
      <c r="AJ67" s="33">
        <v>51.86</v>
      </c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1885</v>
      </c>
      <c r="D68" s="50" t="s">
        <v>42</v>
      </c>
      <c r="E68" s="32" t="s">
        <v>3</v>
      </c>
      <c r="F68" s="32" t="s">
        <v>1940</v>
      </c>
      <c r="G68" s="32"/>
      <c r="H68" s="32"/>
      <c r="I68" s="32"/>
      <c r="J68" s="33">
        <v>52.32</v>
      </c>
      <c r="K68" s="33">
        <f>52.10+0.00</f>
        <v>52.1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1885</v>
      </c>
      <c r="D69" s="50" t="s">
        <v>42</v>
      </c>
      <c r="E69" s="32" t="s">
        <v>3</v>
      </c>
      <c r="F69" s="32" t="s">
        <v>1941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3">
        <f>0.00+58.98</f>
        <v>58.98</v>
      </c>
      <c r="AJ69" s="33">
        <v>46.53</v>
      </c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1885</v>
      </c>
      <c r="D70" s="50" t="s">
        <v>42</v>
      </c>
      <c r="E70" s="32" t="s">
        <v>3</v>
      </c>
      <c r="F70" s="32" t="s">
        <v>1942</v>
      </c>
      <c r="G70" s="32"/>
      <c r="H70" s="32"/>
      <c r="I70" s="32"/>
      <c r="J70" s="33">
        <v>78.1</v>
      </c>
      <c r="K70" s="33">
        <v>92.05</v>
      </c>
      <c r="L70" s="33">
        <v>67.96</v>
      </c>
      <c r="M70" s="33">
        <v>62.98</v>
      </c>
      <c r="N70" s="33">
        <v>39.42</v>
      </c>
      <c r="O70" s="33">
        <v>21.66</v>
      </c>
      <c r="P70" s="33">
        <v>21.66</v>
      </c>
      <c r="Q70" s="33">
        <v>21.66</v>
      </c>
      <c r="R70" s="33">
        <v>21.66</v>
      </c>
      <c r="S70" s="33">
        <v>21.66</v>
      </c>
      <c r="T70" s="33">
        <v>21.66</v>
      </c>
      <c r="U70" s="33">
        <v>41.05</v>
      </c>
      <c r="V70" s="33">
        <v>80.11</v>
      </c>
      <c r="W70" s="33">
        <v>85.21</v>
      </c>
      <c r="X70" s="33">
        <v>70.02</v>
      </c>
      <c r="Y70" s="33">
        <v>71.29</v>
      </c>
      <c r="Z70" s="33">
        <v>46.12</v>
      </c>
      <c r="AA70" s="33">
        <v>21.66</v>
      </c>
      <c r="AB70" s="33">
        <v>21.66</v>
      </c>
      <c r="AC70" s="33">
        <v>21.66</v>
      </c>
      <c r="AD70" s="33">
        <v>21.66</v>
      </c>
      <c r="AE70" s="33">
        <v>21.66</v>
      </c>
      <c r="AF70" s="33">
        <v>21.66</v>
      </c>
      <c r="AG70" s="33">
        <v>85.76</v>
      </c>
      <c r="AH70" s="33">
        <v>82.9</v>
      </c>
      <c r="AI70" s="33">
        <v>86.19</v>
      </c>
      <c r="AJ70" s="33">
        <v>81.89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1885</v>
      </c>
      <c r="D71" s="50" t="s">
        <v>42</v>
      </c>
      <c r="E71" s="32" t="s">
        <v>3</v>
      </c>
      <c r="F71" s="32" t="s">
        <v>1943</v>
      </c>
      <c r="G71" s="32"/>
      <c r="H71" s="32"/>
      <c r="I71" s="32"/>
      <c r="J71" s="33">
        <v>21.66</v>
      </c>
      <c r="K71" s="33">
        <v>21.66</v>
      </c>
      <c r="L71" s="33">
        <v>21.66</v>
      </c>
      <c r="M71" s="33">
        <v>21.66</v>
      </c>
      <c r="N71" s="33">
        <v>21.66</v>
      </c>
      <c r="O71" s="33">
        <v>21.66</v>
      </c>
      <c r="P71" s="33">
        <v>21.66</v>
      </c>
      <c r="Q71" s="33">
        <v>21.66</v>
      </c>
      <c r="R71" s="33">
        <v>21.66</v>
      </c>
      <c r="S71" s="33">
        <v>21.66</v>
      </c>
      <c r="T71" s="33">
        <v>21.66</v>
      </c>
      <c r="U71" s="33">
        <v>21.66</v>
      </c>
      <c r="V71" s="33">
        <v>21.66</v>
      </c>
      <c r="W71" s="33">
        <v>21.66</v>
      </c>
      <c r="X71" s="33">
        <v>21.66</v>
      </c>
      <c r="Y71" s="33">
        <v>21.66</v>
      </c>
      <c r="Z71" s="33">
        <v>21.66</v>
      </c>
      <c r="AA71" s="33">
        <v>21.66</v>
      </c>
      <c r="AB71" s="33">
        <v>21.66</v>
      </c>
      <c r="AC71" s="33">
        <v>21.66</v>
      </c>
      <c r="AD71" s="33">
        <v>21.66</v>
      </c>
      <c r="AE71" s="33">
        <v>21.66</v>
      </c>
      <c r="AF71" s="33">
        <v>32.49</v>
      </c>
      <c r="AG71" s="33">
        <v>32.49</v>
      </c>
      <c r="AH71" s="33">
        <v>32.49</v>
      </c>
      <c r="AI71" s="33">
        <v>32.49</v>
      </c>
      <c r="AJ71" s="33">
        <v>32.49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1885</v>
      </c>
      <c r="D72" s="50" t="s">
        <v>42</v>
      </c>
      <c r="E72" s="32" t="s">
        <v>3</v>
      </c>
      <c r="F72" s="32" t="s">
        <v>1944</v>
      </c>
      <c r="G72" s="32"/>
      <c r="H72" s="32"/>
      <c r="I72" s="32"/>
      <c r="J72" s="33">
        <v>144.58</v>
      </c>
      <c r="K72" s="33">
        <v>137.74</v>
      </c>
      <c r="L72" s="33">
        <v>131.49</v>
      </c>
      <c r="M72" s="33">
        <v>124.61</v>
      </c>
      <c r="N72" s="33">
        <v>33.92</v>
      </c>
      <c r="O72" s="33">
        <v>21.66</v>
      </c>
      <c r="P72" s="33">
        <v>21.66</v>
      </c>
      <c r="Q72" s="33">
        <v>21.66</v>
      </c>
      <c r="R72" s="33">
        <v>21.66</v>
      </c>
      <c r="S72" s="33">
        <v>21.66</v>
      </c>
      <c r="T72" s="33">
        <v>40.72</v>
      </c>
      <c r="U72" s="33">
        <v>103.56</v>
      </c>
      <c r="V72" s="33">
        <v>96.89</v>
      </c>
      <c r="W72" s="33">
        <v>115.81</v>
      </c>
      <c r="X72" s="33">
        <v>101.19</v>
      </c>
      <c r="Y72" s="33">
        <v>105.16</v>
      </c>
      <c r="Z72" s="33">
        <v>21.66</v>
      </c>
      <c r="AA72" s="33">
        <v>21.66</v>
      </c>
      <c r="AB72" s="33">
        <v>21.66</v>
      </c>
      <c r="AC72" s="33">
        <v>21.66</v>
      </c>
      <c r="AD72" s="33">
        <v>21.66</v>
      </c>
      <c r="AE72" s="33">
        <v>21.66</v>
      </c>
      <c r="AF72" s="33">
        <v>29.35</v>
      </c>
      <c r="AG72" s="33">
        <v>53.28</v>
      </c>
      <c r="AH72" s="33">
        <v>39.42</v>
      </c>
      <c r="AI72" s="33">
        <v>32.49</v>
      </c>
      <c r="AJ72" s="33">
        <v>32.49</v>
      </c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1885</v>
      </c>
      <c r="D73" s="50" t="s">
        <v>42</v>
      </c>
      <c r="E73" s="32" t="s">
        <v>3</v>
      </c>
      <c r="F73" s="32" t="s">
        <v>1945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3">
        <f>0.00+54.15</f>
        <v>54.15</v>
      </c>
      <c r="Z73" s="33">
        <v>23.76</v>
      </c>
      <c r="AA73" s="33">
        <v>27.82</v>
      </c>
      <c r="AB73" s="33">
        <v>28.72</v>
      </c>
      <c r="AC73" s="33">
        <v>25.04</v>
      </c>
      <c r="AD73" s="33">
        <v>22.21</v>
      </c>
      <c r="AE73" s="33">
        <v>23.06</v>
      </c>
      <c r="AF73" s="33">
        <v>32.61</v>
      </c>
      <c r="AG73" s="33">
        <v>32.49</v>
      </c>
      <c r="AH73" s="33">
        <v>32.49</v>
      </c>
      <c r="AI73" s="33">
        <v>32.49</v>
      </c>
      <c r="AJ73" s="33">
        <v>32.49</v>
      </c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1885</v>
      </c>
      <c r="D74" s="50" t="s">
        <v>42</v>
      </c>
      <c r="E74" s="32" t="s">
        <v>3</v>
      </c>
      <c r="F74" s="32" t="s">
        <v>1946</v>
      </c>
      <c r="G74" s="32"/>
      <c r="H74" s="32"/>
      <c r="I74" s="32"/>
      <c r="J74" s="33">
        <v>21.66</v>
      </c>
      <c r="K74" s="33">
        <v>63.42</v>
      </c>
      <c r="L74" s="33">
        <v>79.37</v>
      </c>
      <c r="M74" s="33">
        <v>37.19</v>
      </c>
      <c r="N74" s="33">
        <v>178.64</v>
      </c>
      <c r="O74" s="33">
        <v>274.84</v>
      </c>
      <c r="P74" s="33">
        <v>84.38</v>
      </c>
      <c r="Q74" s="33">
        <v>21.66</v>
      </c>
      <c r="R74" s="33">
        <v>21.66</v>
      </c>
      <c r="S74" s="33">
        <v>21.66</v>
      </c>
      <c r="T74" s="33">
        <v>21.66</v>
      </c>
      <c r="U74" s="33">
        <v>115.23</v>
      </c>
      <c r="V74" s="33">
        <v>144.46</v>
      </c>
      <c r="W74" s="33">
        <v>172.89</v>
      </c>
      <c r="X74" s="33">
        <v>124.76</v>
      </c>
      <c r="Y74" s="33">
        <v>119.42</v>
      </c>
      <c r="Z74" s="33">
        <v>196.22</v>
      </c>
      <c r="AA74" s="33">
        <v>232.53</v>
      </c>
      <c r="AB74" s="33">
        <v>44.89</v>
      </c>
      <c r="AC74" s="33">
        <v>21.66</v>
      </c>
      <c r="AD74" s="33">
        <v>21.66</v>
      </c>
      <c r="AE74" s="33">
        <v>21.66</v>
      </c>
      <c r="AF74" s="33">
        <v>41.54</v>
      </c>
      <c r="AG74" s="33">
        <v>32.49</v>
      </c>
      <c r="AH74" s="33">
        <v>32.49</v>
      </c>
      <c r="AI74" s="33">
        <v>58.13</v>
      </c>
      <c r="AJ74" s="33">
        <v>80.74</v>
      </c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1885</v>
      </c>
      <c r="D75" s="50" t="s">
        <v>42</v>
      </c>
      <c r="E75" s="32" t="s">
        <v>3</v>
      </c>
      <c r="F75" s="32" t="s">
        <v>1947</v>
      </c>
      <c r="G75" s="32"/>
      <c r="H75" s="32"/>
      <c r="I75" s="32"/>
      <c r="J75" s="33">
        <v>944.02</v>
      </c>
      <c r="K75" s="33">
        <v>1115.64</v>
      </c>
      <c r="L75" s="33">
        <v>826.73</v>
      </c>
      <c r="M75" s="33">
        <v>619.35</v>
      </c>
      <c r="N75" s="33">
        <v>743.52</v>
      </c>
      <c r="O75" s="33">
        <v>1075.89</v>
      </c>
      <c r="P75" s="33">
        <v>1839.38</v>
      </c>
      <c r="Q75" s="33">
        <v>2061.37</v>
      </c>
      <c r="R75" s="33">
        <v>1693.27</v>
      </c>
      <c r="S75" s="33">
        <v>1473.36</v>
      </c>
      <c r="T75" s="33">
        <v>980.34</v>
      </c>
      <c r="U75" s="33">
        <v>789.55</v>
      </c>
      <c r="V75" s="33">
        <v>910.77</v>
      </c>
      <c r="W75" s="33">
        <v>1018.86</v>
      </c>
      <c r="X75" s="33">
        <v>696.35</v>
      </c>
      <c r="Y75" s="33">
        <v>694.86</v>
      </c>
      <c r="Z75" s="33">
        <v>693.34</v>
      </c>
      <c r="AA75" s="33">
        <v>990.04</v>
      </c>
      <c r="AB75" s="33">
        <v>1584.79</v>
      </c>
      <c r="AC75" s="33">
        <v>1767.41</v>
      </c>
      <c r="AD75" s="33">
        <v>1466.52</v>
      </c>
      <c r="AE75" s="33">
        <v>1004.25</v>
      </c>
      <c r="AF75" s="33">
        <v>593.36</v>
      </c>
      <c r="AG75" s="33">
        <v>563.13</v>
      </c>
      <c r="AH75" s="33">
        <v>689.63</v>
      </c>
      <c r="AI75" s="33">
        <v>811.39</v>
      </c>
      <c r="AJ75" s="33">
        <v>580.98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1885</v>
      </c>
      <c r="D76" s="50" t="s">
        <v>42</v>
      </c>
      <c r="E76" s="32" t="s">
        <v>3</v>
      </c>
      <c r="F76" s="32" t="s">
        <v>1948</v>
      </c>
      <c r="G76" s="32"/>
      <c r="H76" s="32"/>
      <c r="I76" s="32"/>
      <c r="J76" s="32"/>
      <c r="K76" s="33">
        <v>1074.96</v>
      </c>
      <c r="L76" s="33">
        <v>1074.96</v>
      </c>
      <c r="M76" s="33">
        <v>1074.96</v>
      </c>
      <c r="N76" s="33">
        <v>1074.96</v>
      </c>
      <c r="O76" s="33">
        <v>1075.2</v>
      </c>
      <c r="P76" s="33">
        <v>1075.34</v>
      </c>
      <c r="Q76" s="33">
        <v>1075.34</v>
      </c>
      <c r="R76" s="33">
        <v>1075.34</v>
      </c>
      <c r="S76" s="33">
        <v>1075.34</v>
      </c>
      <c r="T76" s="33">
        <v>1075.34</v>
      </c>
      <c r="U76" s="33">
        <v>1083.02</v>
      </c>
      <c r="V76" s="33">
        <v>1087.88</v>
      </c>
      <c r="W76" s="33">
        <v>1087.88</v>
      </c>
      <c r="X76" s="33">
        <v>1087.88</v>
      </c>
      <c r="Y76" s="33">
        <v>1087.88</v>
      </c>
      <c r="Z76" s="33">
        <v>1087.88</v>
      </c>
      <c r="AA76" s="33">
        <v>1082.86</v>
      </c>
      <c r="AB76" s="33">
        <v>1079.96</v>
      </c>
      <c r="AC76" s="33">
        <v>1079.96</v>
      </c>
      <c r="AD76" s="33">
        <v>1079.96</v>
      </c>
      <c r="AE76" s="33">
        <v>1079.96</v>
      </c>
      <c r="AF76" s="33">
        <v>1079.96</v>
      </c>
      <c r="AG76" s="33">
        <v>1085.21</v>
      </c>
      <c r="AH76" s="33">
        <v>1087.31</v>
      </c>
      <c r="AI76" s="33">
        <v>1087.2</v>
      </c>
      <c r="AJ76" s="33">
        <v>1087.13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1885</v>
      </c>
      <c r="D77" s="50" t="s">
        <v>42</v>
      </c>
      <c r="E77" s="32" t="s">
        <v>3</v>
      </c>
      <c r="F77" s="32" t="s">
        <v>1949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3">
        <f>0.00+87.86</f>
        <v>87.86</v>
      </c>
      <c r="AE77" s="33">
        <v>92.31</v>
      </c>
      <c r="AF77" s="33">
        <f>42.16+0.00</f>
        <v>42.16</v>
      </c>
      <c r="AG77" s="32"/>
      <c r="AH77" s="32"/>
      <c r="AI77" s="32"/>
      <c r="AJ77" s="32"/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1885</v>
      </c>
      <c r="D78" s="50" t="s">
        <v>42</v>
      </c>
      <c r="E78" s="32" t="s">
        <v>3</v>
      </c>
      <c r="F78" s="32" t="s">
        <v>1950</v>
      </c>
      <c r="G78" s="32"/>
      <c r="H78" s="32"/>
      <c r="I78" s="32"/>
      <c r="J78" s="33">
        <v>591.19</v>
      </c>
      <c r="K78" s="33">
        <v>848.31</v>
      </c>
      <c r="L78" s="33">
        <v>709.03</v>
      </c>
      <c r="M78" s="33">
        <v>598.25</v>
      </c>
      <c r="N78" s="33">
        <v>676.86</v>
      </c>
      <c r="O78" s="33">
        <v>887.52</v>
      </c>
      <c r="P78" s="33">
        <v>1355.2</v>
      </c>
      <c r="Q78" s="33">
        <v>1917.8</v>
      </c>
      <c r="R78" s="33">
        <v>1548.72</v>
      </c>
      <c r="S78" s="33">
        <v>1389.97</v>
      </c>
      <c r="T78" s="33">
        <v>987.19</v>
      </c>
      <c r="U78" s="33">
        <v>585.06</v>
      </c>
      <c r="V78" s="33">
        <v>663.04</v>
      </c>
      <c r="W78" s="33">
        <v>784.73</v>
      </c>
      <c r="X78" s="33">
        <v>638.76</v>
      </c>
      <c r="Y78" s="33">
        <v>743.97</v>
      </c>
      <c r="Z78" s="33">
        <v>800.12</v>
      </c>
      <c r="AA78" s="33">
        <v>1065.82</v>
      </c>
      <c r="AB78" s="33">
        <v>1740.22</v>
      </c>
      <c r="AC78" s="33">
        <v>1914.83</v>
      </c>
      <c r="AD78" s="33">
        <v>1693.45</v>
      </c>
      <c r="AE78" s="33">
        <v>1370.93</v>
      </c>
      <c r="AF78" s="33">
        <v>917.45</v>
      </c>
      <c r="AG78" s="33">
        <v>714.63</v>
      </c>
      <c r="AH78" s="33">
        <v>741.73</v>
      </c>
      <c r="AI78" s="33">
        <v>693.25</v>
      </c>
      <c r="AJ78" s="33">
        <v>600.17</v>
      </c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1885</v>
      </c>
      <c r="D79" s="50" t="s">
        <v>42</v>
      </c>
      <c r="E79" s="32" t="s">
        <v>3</v>
      </c>
      <c r="F79" s="32" t="s">
        <v>1951</v>
      </c>
      <c r="G79" s="32"/>
      <c r="H79" s="32"/>
      <c r="I79" s="32"/>
      <c r="J79" s="33">
        <v>25.15</v>
      </c>
      <c r="K79" s="33">
        <v>25.68</v>
      </c>
      <c r="L79" s="33">
        <v>25.15</v>
      </c>
      <c r="M79" s="33">
        <v>25.15</v>
      </c>
      <c r="N79" s="33">
        <v>25.26</v>
      </c>
      <c r="O79" s="33">
        <v>30.57</v>
      </c>
      <c r="P79" s="33">
        <v>84.38</v>
      </c>
      <c r="Q79" s="33">
        <f>0.00+111.75</f>
        <v>111.75</v>
      </c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1885</v>
      </c>
      <c r="D80" s="50" t="s">
        <v>42</v>
      </c>
      <c r="E80" s="32" t="s">
        <v>3</v>
      </c>
      <c r="F80" s="32" t="s">
        <v>1952</v>
      </c>
      <c r="G80" s="32"/>
      <c r="H80" s="32"/>
      <c r="I80" s="32"/>
      <c r="J80" s="33">
        <v>21.66</v>
      </c>
      <c r="K80" s="33">
        <v>22.08</v>
      </c>
      <c r="L80" s="33">
        <v>21.66</v>
      </c>
      <c r="M80" s="33">
        <v>21.66</v>
      </c>
      <c r="N80" s="33">
        <v>21.76</v>
      </c>
      <c r="O80" s="33">
        <v>21.66</v>
      </c>
      <c r="P80" s="33">
        <v>21.78</v>
      </c>
      <c r="Q80" s="33">
        <v>21.79</v>
      </c>
      <c r="R80" s="33">
        <v>21.66</v>
      </c>
      <c r="S80" s="33">
        <v>21.66</v>
      </c>
      <c r="T80" s="33">
        <v>21.78</v>
      </c>
      <c r="U80" s="33">
        <v>52.48</v>
      </c>
      <c r="V80" s="33">
        <v>93.15</v>
      </c>
      <c r="W80" s="33">
        <v>21.77</v>
      </c>
      <c r="X80" s="33">
        <v>30.95</v>
      </c>
      <c r="Y80" s="33">
        <v>21.66</v>
      </c>
      <c r="Z80" s="33">
        <v>21.66</v>
      </c>
      <c r="AA80" s="33">
        <v>21.66</v>
      </c>
      <c r="AB80" s="33">
        <v>21.66</v>
      </c>
      <c r="AC80" s="33">
        <v>21.66</v>
      </c>
      <c r="AD80" s="33">
        <v>21.66</v>
      </c>
      <c r="AE80" s="33">
        <v>21.66</v>
      </c>
      <c r="AF80" s="33">
        <v>150.27</v>
      </c>
      <c r="AG80" s="33">
        <v>124.11</v>
      </c>
      <c r="AH80" s="33">
        <v>125.19</v>
      </c>
      <c r="AI80" s="33">
        <v>32.49</v>
      </c>
      <c r="AJ80" s="33">
        <v>32.49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1885</v>
      </c>
      <c r="D81" s="50" t="s">
        <v>42</v>
      </c>
      <c r="E81" s="32" t="s">
        <v>3</v>
      </c>
      <c r="F81" s="32" t="s">
        <v>1953</v>
      </c>
      <c r="G81" s="32"/>
      <c r="H81" s="32"/>
      <c r="I81" s="32"/>
      <c r="J81" s="33">
        <v>519.97</v>
      </c>
      <c r="K81" s="33">
        <v>728.82</v>
      </c>
      <c r="L81" s="33">
        <v>552.33</v>
      </c>
      <c r="M81" s="33">
        <v>472.61</v>
      </c>
      <c r="N81" s="33">
        <v>385.08</v>
      </c>
      <c r="O81" s="33">
        <v>581.72</v>
      </c>
      <c r="P81" s="33">
        <v>900.89</v>
      </c>
      <c r="Q81" s="33">
        <v>1054.09</v>
      </c>
      <c r="R81" s="33">
        <v>896.41</v>
      </c>
      <c r="S81" s="33">
        <v>742.26</v>
      </c>
      <c r="T81" s="33">
        <v>502.29</v>
      </c>
      <c r="U81" s="33">
        <v>339.91</v>
      </c>
      <c r="V81" s="33">
        <v>473.41</v>
      </c>
      <c r="W81" s="33">
        <v>753.83</v>
      </c>
      <c r="X81" s="33">
        <v>437.22</v>
      </c>
      <c r="Y81" s="33">
        <v>433.27</v>
      </c>
      <c r="Z81" s="33">
        <v>426.74</v>
      </c>
      <c r="AA81" s="33">
        <v>656.96</v>
      </c>
      <c r="AB81" s="33">
        <v>1206.96</v>
      </c>
      <c r="AC81" s="33">
        <v>1303.05</v>
      </c>
      <c r="AD81" s="33">
        <v>1191.7</v>
      </c>
      <c r="AE81" s="33">
        <v>847.72</v>
      </c>
      <c r="AF81" s="33">
        <v>512.58</v>
      </c>
      <c r="AG81" s="33">
        <v>485.36</v>
      </c>
      <c r="AH81" s="33">
        <v>505.74</v>
      </c>
      <c r="AI81" s="33">
        <v>570.5</v>
      </c>
      <c r="AJ81" s="33">
        <v>434.02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1885</v>
      </c>
      <c r="D82" s="50" t="s">
        <v>42</v>
      </c>
      <c r="E82" s="32" t="s">
        <v>3</v>
      </c>
      <c r="F82" s="32" t="s">
        <v>1954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>
        <f>143.41+0.00</f>
        <v>143.41</v>
      </c>
      <c r="Z82" s="33">
        <v>21.66</v>
      </c>
      <c r="AA82" s="33">
        <v>21.66</v>
      </c>
      <c r="AB82" s="33">
        <v>21.66</v>
      </c>
      <c r="AC82" s="33">
        <v>21.66</v>
      </c>
      <c r="AD82" s="33">
        <v>21.66</v>
      </c>
      <c r="AE82" s="33">
        <v>21.66</v>
      </c>
      <c r="AF82" s="33">
        <v>21.66</v>
      </c>
      <c r="AG82" s="33">
        <v>32.49</v>
      </c>
      <c r="AH82" s="33">
        <v>32.49</v>
      </c>
      <c r="AI82" s="33">
        <v>32.49</v>
      </c>
      <c r="AJ82" s="33">
        <v>32.49</v>
      </c>
      <c r="AK82" s="32"/>
      <c r="AL82" s="34">
        <f>SUM(G82:AK82)</f>
      </c>
      <c r="AM82" s="35"/>
    </row>
    <row r="83" ht="13.5" customHeight="1" spans="2:39" x14ac:dyDescent="0.25">
      <c r="B83" s="51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40"/>
    </row>
    <row r="84" ht="13.5" customHeight="1" spans="2:39" x14ac:dyDescent="0.25">
      <c r="B84" s="20"/>
      <c r="C84" s="21"/>
      <c r="D84" s="21" t="s">
        <v>85</v>
      </c>
      <c r="E84" s="21"/>
      <c r="F84" s="21"/>
      <c r="G84" s="22">
        <f>SUM(G24:G82)</f>
      </c>
      <c r="H84" s="22">
        <f>SUM(H24:H82)</f>
      </c>
      <c r="I84" s="22">
        <f>SUM(I24:I82)</f>
      </c>
      <c r="J84" s="22">
        <f>SUM(J24:J82)</f>
      </c>
      <c r="K84" s="22">
        <f>SUM(K24:K82)</f>
      </c>
      <c r="L84" s="22">
        <f>SUM(L24:L82)</f>
      </c>
      <c r="M84" s="22">
        <f>SUM(M24:M82)</f>
      </c>
      <c r="N84" s="22">
        <f>SUM(N24:N82)</f>
      </c>
      <c r="O84" s="22">
        <f>SUM(O24:O82)</f>
      </c>
      <c r="P84" s="22">
        <f>SUM(P24:P82)</f>
      </c>
      <c r="Q84" s="22">
        <f>SUM(Q24:Q82)</f>
      </c>
      <c r="R84" s="22">
        <f>SUM(R24:R82)</f>
      </c>
      <c r="S84" s="22">
        <f>SUM(S24:S82)</f>
      </c>
      <c r="T84" s="22">
        <f>SUM(T24:T82)</f>
      </c>
      <c r="U84" s="22">
        <f>SUM(U24:U82)</f>
      </c>
      <c r="V84" s="22">
        <f>SUM(V24:V82)</f>
      </c>
      <c r="W84" s="22">
        <f>SUM(W24:W82)</f>
      </c>
      <c r="X84" s="22">
        <f>SUM(X24:X82)</f>
      </c>
      <c r="Y84" s="22">
        <f>SUM(Y24:Y82)</f>
      </c>
      <c r="Z84" s="22">
        <f>SUM(Z24:Z82)</f>
      </c>
      <c r="AA84" s="22">
        <f>SUM(AA24:AA82)</f>
      </c>
      <c r="AB84" s="22">
        <f>SUM(AB24:AB82)</f>
      </c>
      <c r="AC84" s="22">
        <f>SUM(AC24:AC82)</f>
      </c>
      <c r="AD84" s="22">
        <f>SUM(AD24:AD82)</f>
      </c>
      <c r="AE84" s="22">
        <f>SUM(AE24:AE82)</f>
      </c>
      <c r="AF84" s="22">
        <f>SUM(AF24:AF82)</f>
      </c>
      <c r="AG84" s="22">
        <f>SUM(AG24:AG82)</f>
      </c>
      <c r="AH84" s="22">
        <f>SUM(AH24:AH82)</f>
      </c>
      <c r="AI84" s="22">
        <f>SUM(AI24:AI82)</f>
      </c>
      <c r="AJ84" s="22">
        <f>SUM(AJ24:AJ82)</f>
      </c>
      <c r="AK84" s="22">
        <f>SUM(AK24:AK82)</f>
      </c>
      <c r="AL84" s="22">
        <f>SUM(AL24:AL82)</f>
      </c>
      <c r="AM84" s="23"/>
    </row>
    <row r="86" ht="13.5" customHeight="1" spans="2:39" x14ac:dyDescent="0.25">
      <c r="B86" s="46"/>
      <c r="C86" s="28"/>
      <c r="D86" s="47" t="s">
        <v>43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9"/>
    </row>
    <row r="87" ht="13.5" customHeight="1" spans="2:39" x14ac:dyDescent="0.25">
      <c r="B87" s="48" t="s">
        <v>3</v>
      </c>
      <c r="C87" s="49" t="s">
        <v>1885</v>
      </c>
      <c r="D87" s="50" t="s">
        <v>43</v>
      </c>
      <c r="E87" s="32" t="s">
        <v>3</v>
      </c>
      <c r="F87" s="32" t="s">
        <v>1955</v>
      </c>
      <c r="G87" s="32"/>
      <c r="H87" s="32"/>
      <c r="I87" s="32"/>
      <c r="J87" s="33">
        <f>3010.31+1112.64+1827.48+385.23</f>
        <v>6335.66</v>
      </c>
      <c r="K87" s="33">
        <f>2563.62+385.32+1133.77+1262.77</f>
        <v>5345.48</v>
      </c>
      <c r="L87" s="33">
        <f>2218.09+1060.92+371.52+1249.50</f>
        <v>4900.030000000001</v>
      </c>
      <c r="M87" s="33">
        <f>2450.62+1377.13+1164.29+382.63</f>
        <v>5374.67</v>
      </c>
      <c r="N87" s="33">
        <f>2902.28+396.29+1309.52+1391.79</f>
        <v>5999.88</v>
      </c>
      <c r="O87" s="33">
        <f>2408.04+1356.61+382.63+1161.82</f>
        <v>5309.099999999999</v>
      </c>
      <c r="P87" s="33">
        <f>3495.87+2401.23+1326.90+382.19</f>
        <v>7606.19</v>
      </c>
      <c r="Q87" s="33">
        <f>3543.73+2495.52+1271.44+382.19</f>
        <v>7692.88</v>
      </c>
      <c r="R87" s="33">
        <f>3452.34+2565.72+969.98+396.76</f>
        <v>7384.799999999999</v>
      </c>
      <c r="S87" s="33">
        <f>3070.25+676.07+2356.05+806.39</f>
        <v>6908.760000000001</v>
      </c>
      <c r="T87" s="33">
        <f>2781.86+396.43+765.63+2064.48</f>
        <v>6008.4</v>
      </c>
      <c r="U87" s="33">
        <f>3374.27+2425.30+396.67+1000.77</f>
        <v>7197.01</v>
      </c>
      <c r="V87" s="33">
        <f>2927.36+1268.62+395.96+1483.66</f>
        <v>6075.599999999999</v>
      </c>
      <c r="W87" s="33">
        <f>3445.30+2986.96+397.85+683.99</f>
        <v>7514.1</v>
      </c>
      <c r="X87" s="33">
        <f>2942.58+426.11+2204.28+807.30</f>
        <v>6380.27</v>
      </c>
      <c r="Y87" s="33">
        <f>2753.65+2006.19+619.15+426.14</f>
        <v>5805.13</v>
      </c>
      <c r="Z87" s="33">
        <f>4033.23+403.92+3558.43+821.61</f>
        <v>8817.19</v>
      </c>
      <c r="AA87" s="33">
        <f>4934.88+419.08+983.94+4030.64</f>
        <v>10368.539999999999</v>
      </c>
      <c r="AB87" s="32"/>
      <c r="AC87" s="32"/>
      <c r="AD87" s="32"/>
      <c r="AE87" s="32"/>
      <c r="AF87" s="32"/>
      <c r="AG87" s="32"/>
      <c r="AH87" s="33">
        <f>418.01+1545.19+787.09</f>
        <v>2750.29</v>
      </c>
      <c r="AI87" s="33">
        <f>421.00+675.29+1517.11</f>
        <v>2613.3999999999996</v>
      </c>
      <c r="AJ87" s="33">
        <f>1871.21+534.47+1158.86</f>
        <v>3564.54</v>
      </c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1885</v>
      </c>
      <c r="D88" s="50" t="s">
        <v>43</v>
      </c>
      <c r="E88" s="32" t="s">
        <v>3</v>
      </c>
      <c r="F88" s="32" t="s">
        <v>1956</v>
      </c>
      <c r="G88" s="32"/>
      <c r="H88" s="32"/>
      <c r="I88" s="32"/>
      <c r="J88" s="33">
        <f>1906.76+1691.94</f>
        <v>3598.7</v>
      </c>
      <c r="K88" s="33">
        <f>2114.54+1923.27</f>
        <v>4037.81</v>
      </c>
      <c r="L88" s="33">
        <f>1891.55+1678.85</f>
        <v>3570.3999999999996</v>
      </c>
      <c r="M88" s="33">
        <f>1921.47+1721.25</f>
        <v>3642.7200000000003</v>
      </c>
      <c r="N88" s="33">
        <f>2320.58+2102.84</f>
        <v>4423.42</v>
      </c>
      <c r="O88" s="33">
        <f>2272.71+2040.28</f>
        <v>4312.99</v>
      </c>
      <c r="P88" s="33">
        <f>2881.04+2836.26</f>
        <v>5717.3</v>
      </c>
      <c r="Q88" s="33">
        <f>3237.48+3301.82</f>
        <v>6539.3</v>
      </c>
      <c r="R88" s="33">
        <f>2705.50+2606.95</f>
        <v>5312.45</v>
      </c>
      <c r="S88" s="33">
        <f>2496.89+2126.02</f>
        <v>4622.91</v>
      </c>
      <c r="T88" s="33">
        <f>2815.99+2509.24</f>
        <v>5325.23</v>
      </c>
      <c r="U88" s="33">
        <f>1956.76+1619.41</f>
        <v>3576.17</v>
      </c>
      <c r="V88" s="33">
        <f>2272.65+2040.23</f>
        <v>4312.88</v>
      </c>
      <c r="W88" s="33">
        <f>2050.76+1694.67</f>
        <v>3745.4300000000003</v>
      </c>
      <c r="X88" s="33">
        <f>2116.58+1769.67</f>
        <v>3886.25</v>
      </c>
      <c r="Y88" s="33">
        <f>1882.90+1580.03</f>
        <v>3462.9300000000003</v>
      </c>
      <c r="Z88" s="33">
        <f>2237.06+1867.60</f>
        <v>4104.66</v>
      </c>
      <c r="AA88" s="33">
        <f>2208.16+1844.04</f>
        <v>4052.2</v>
      </c>
      <c r="AB88" s="33">
        <f>1995.56+1808.49</f>
        <v>3804.05</v>
      </c>
      <c r="AC88" s="33">
        <f>2535.10+2416.37</f>
        <v>4951.469999999999</v>
      </c>
      <c r="AD88" s="33">
        <f>2644.91+2561.75</f>
        <v>5206.66</v>
      </c>
      <c r="AE88" s="33">
        <f>2282.02+2083.11</f>
        <v>4365.13</v>
      </c>
      <c r="AF88" s="33">
        <f>2801.83+2771.16</f>
        <v>5572.99</v>
      </c>
      <c r="AG88" s="33">
        <f>1814.22+1648.93</f>
        <v>3463.15</v>
      </c>
      <c r="AH88" s="33">
        <f>2074.11+1877.30</f>
        <v>3951.41</v>
      </c>
      <c r="AI88" s="33">
        <f>1646.58+1501.64</f>
        <v>3148.2200000000003</v>
      </c>
      <c r="AJ88" s="33">
        <f>1969.07+1690.79</f>
        <v>3659.8599999999997</v>
      </c>
      <c r="AK88" s="32"/>
      <c r="AL88" s="34">
        <f>SUM(G88:AK88)</f>
      </c>
      <c r="AM88" s="35"/>
    </row>
    <row r="89" ht="13.5" customHeight="1" spans="2:39" x14ac:dyDescent="0.25">
      <c r="B89" s="51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40"/>
    </row>
    <row r="90" ht="13.5" customHeight="1" spans="2:39" x14ac:dyDescent="0.25">
      <c r="B90" s="20"/>
      <c r="C90" s="21"/>
      <c r="D90" s="21" t="s">
        <v>89</v>
      </c>
      <c r="E90" s="21"/>
      <c r="F90" s="21"/>
      <c r="G90" s="22">
        <f>SUM(G87:G88)</f>
      </c>
      <c r="H90" s="22">
        <f>SUM(H87:H88)</f>
      </c>
      <c r="I90" s="22">
        <f>SUM(I87:I88)</f>
      </c>
      <c r="J90" s="22">
        <f>SUM(J87:J88)</f>
      </c>
      <c r="K90" s="22">
        <f>SUM(K87:K88)</f>
      </c>
      <c r="L90" s="22">
        <f>SUM(L87:L88)</f>
      </c>
      <c r="M90" s="22">
        <f>SUM(M87:M88)</f>
      </c>
      <c r="N90" s="22">
        <f>SUM(N87:N88)</f>
      </c>
      <c r="O90" s="22">
        <f>SUM(O87:O88)</f>
      </c>
      <c r="P90" s="22">
        <f>SUM(P87:P88)</f>
      </c>
      <c r="Q90" s="22">
        <f>SUM(Q87:Q88)</f>
      </c>
      <c r="R90" s="22">
        <f>SUM(R87:R88)</f>
      </c>
      <c r="S90" s="22">
        <f>SUM(S87:S88)</f>
      </c>
      <c r="T90" s="22">
        <f>SUM(T87:T88)</f>
      </c>
      <c r="U90" s="22">
        <f>SUM(U87:U88)</f>
      </c>
      <c r="V90" s="22">
        <f>SUM(V87:V88)</f>
      </c>
      <c r="W90" s="22">
        <f>SUM(W87:W88)</f>
      </c>
      <c r="X90" s="22">
        <f>SUM(X87:X88)</f>
      </c>
      <c r="Y90" s="22">
        <f>SUM(Y87:Y88)</f>
      </c>
      <c r="Z90" s="22">
        <f>SUM(Z87:Z88)</f>
      </c>
      <c r="AA90" s="22">
        <f>SUM(AA87:AA88)</f>
      </c>
      <c r="AB90" s="22">
        <f>SUM(AB87:AB88)</f>
      </c>
      <c r="AC90" s="22">
        <f>SUM(AC87:AC88)</f>
      </c>
      <c r="AD90" s="22">
        <f>SUM(AD87:AD88)</f>
      </c>
      <c r="AE90" s="22">
        <f>SUM(AE87:AE88)</f>
      </c>
      <c r="AF90" s="22">
        <f>SUM(AF87:AF88)</f>
      </c>
      <c r="AG90" s="22">
        <f>SUM(AG87:AG88)</f>
      </c>
      <c r="AH90" s="22">
        <f>SUM(AH87:AH88)</f>
      </c>
      <c r="AI90" s="22">
        <f>SUM(AI87:AI88)</f>
      </c>
      <c r="AJ90" s="22">
        <f>SUM(AJ87:AJ88)</f>
      </c>
      <c r="AK90" s="22">
        <f>SUM(AK87:AK88)</f>
      </c>
      <c r="AL90" s="22">
        <f>SUM(AL87:AL88)</f>
      </c>
      <c r="AM90" s="23"/>
    </row>
    <row r="92" ht="13.5" customHeight="1" spans="2:39" x14ac:dyDescent="0.25">
      <c r="B92" s="46"/>
      <c r="C92" s="28"/>
      <c r="D92" s="47" t="s">
        <v>44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9"/>
    </row>
    <row r="93" ht="13.5" customHeight="1" spans="2:39" x14ac:dyDescent="0.25">
      <c r="B93" s="48" t="s">
        <v>3</v>
      </c>
      <c r="C93" s="49" t="s">
        <v>1885</v>
      </c>
      <c r="D93" s="50" t="s">
        <v>44</v>
      </c>
      <c r="E93" s="32" t="s">
        <v>3</v>
      </c>
      <c r="F93" s="32" t="s">
        <v>1955</v>
      </c>
      <c r="G93" s="32"/>
      <c r="H93" s="32"/>
      <c r="I93" s="32"/>
      <c r="J93" s="33">
        <v>1078.43</v>
      </c>
      <c r="K93" s="33">
        <v>1078.66</v>
      </c>
      <c r="L93" s="33">
        <v>1040.02</v>
      </c>
      <c r="M93" s="33">
        <v>1122.38</v>
      </c>
      <c r="N93" s="33">
        <v>1162.51</v>
      </c>
      <c r="O93" s="33">
        <v>1122.4</v>
      </c>
      <c r="P93" s="33">
        <v>1128.44</v>
      </c>
      <c r="Q93" s="33">
        <v>1128.44</v>
      </c>
      <c r="R93" s="33">
        <v>1171.44</v>
      </c>
      <c r="S93" s="33">
        <v>1128.44</v>
      </c>
      <c r="T93" s="33">
        <v>1170.49</v>
      </c>
      <c r="U93" s="33">
        <v>1171.18</v>
      </c>
      <c r="V93" s="33">
        <v>1169.09</v>
      </c>
      <c r="W93" s="33">
        <v>1167.07</v>
      </c>
      <c r="X93" s="33">
        <v>1294.6</v>
      </c>
      <c r="Y93" s="33">
        <v>1294.71</v>
      </c>
      <c r="Z93" s="33">
        <v>1227.19</v>
      </c>
      <c r="AA93" s="33">
        <v>1273.24</v>
      </c>
      <c r="AB93" s="33">
        <v>1252.26</v>
      </c>
      <c r="AC93" s="33">
        <v>1670.98</v>
      </c>
      <c r="AD93" s="33">
        <v>1227.15</v>
      </c>
      <c r="AE93" s="33">
        <v>1226.89</v>
      </c>
      <c r="AF93" s="33">
        <v>1226.19</v>
      </c>
      <c r="AG93" s="33">
        <v>1270</v>
      </c>
      <c r="AH93" s="33">
        <v>1269.98</v>
      </c>
      <c r="AI93" s="33">
        <v>1279.08</v>
      </c>
      <c r="AJ93" s="33">
        <v>1686.68</v>
      </c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1885</v>
      </c>
      <c r="D94" s="50" t="s">
        <v>44</v>
      </c>
      <c r="E94" s="32" t="s">
        <v>3</v>
      </c>
      <c r="F94" s="32" t="s">
        <v>1956</v>
      </c>
      <c r="G94" s="32"/>
      <c r="H94" s="32"/>
      <c r="I94" s="32"/>
      <c r="J94" s="33">
        <v>481.84</v>
      </c>
      <c r="K94" s="33">
        <v>481.77</v>
      </c>
      <c r="L94" s="33">
        <v>481.85</v>
      </c>
      <c r="M94" s="33">
        <v>607.17</v>
      </c>
      <c r="N94" s="33">
        <v>519.89</v>
      </c>
      <c r="O94" s="33">
        <v>519.91</v>
      </c>
      <c r="P94" s="33">
        <v>671.44</v>
      </c>
      <c r="Q94" s="33">
        <v>526.44</v>
      </c>
      <c r="R94" s="33">
        <v>526.44</v>
      </c>
      <c r="S94" s="33">
        <v>657.23</v>
      </c>
      <c r="T94" s="33">
        <v>538.21</v>
      </c>
      <c r="U94" s="33">
        <v>537.02</v>
      </c>
      <c r="V94" s="33">
        <v>607.02</v>
      </c>
      <c r="W94" s="33">
        <v>1226.26</v>
      </c>
      <c r="X94" s="33">
        <v>1020.01</v>
      </c>
      <c r="Y94" s="33">
        <v>1038.82</v>
      </c>
      <c r="Z94" s="33">
        <v>588.16</v>
      </c>
      <c r="AA94" s="33">
        <v>586.84</v>
      </c>
      <c r="AB94" s="33">
        <v>1127.9</v>
      </c>
      <c r="AC94" s="33">
        <v>627.22</v>
      </c>
      <c r="AD94" s="33">
        <v>568.97</v>
      </c>
      <c r="AE94" s="33">
        <v>713.26</v>
      </c>
      <c r="AF94" s="33">
        <v>567.91</v>
      </c>
      <c r="AG94" s="33">
        <v>568.27</v>
      </c>
      <c r="AH94" s="33">
        <v>655.27</v>
      </c>
      <c r="AI94" s="33">
        <v>692.55</v>
      </c>
      <c r="AJ94" s="33">
        <v>856.19</v>
      </c>
      <c r="AK94" s="32"/>
      <c r="AL94" s="34">
        <f>SUM(G94:AK94)</f>
      </c>
      <c r="AM94" s="35"/>
    </row>
    <row r="95" ht="13.5" customHeight="1" spans="2:39" x14ac:dyDescent="0.25">
      <c r="B95" s="51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40"/>
    </row>
    <row r="96" ht="13.5" customHeight="1" spans="2:39" x14ac:dyDescent="0.25">
      <c r="B96" s="20"/>
      <c r="C96" s="21"/>
      <c r="D96" s="21" t="s">
        <v>90</v>
      </c>
      <c r="E96" s="21"/>
      <c r="F96" s="21"/>
      <c r="G96" s="22">
        <f>SUM(G93:G94)</f>
      </c>
      <c r="H96" s="22">
        <f>SUM(H93:H94)</f>
      </c>
      <c r="I96" s="22">
        <f>SUM(I93:I94)</f>
      </c>
      <c r="J96" s="22">
        <f>SUM(J93:J94)</f>
      </c>
      <c r="K96" s="22">
        <f>SUM(K93:K94)</f>
      </c>
      <c r="L96" s="22">
        <f>SUM(L93:L94)</f>
      </c>
      <c r="M96" s="22">
        <f>SUM(M93:M94)</f>
      </c>
      <c r="N96" s="22">
        <f>SUM(N93:N94)</f>
      </c>
      <c r="O96" s="22">
        <f>SUM(O93:O94)</f>
      </c>
      <c r="P96" s="22">
        <f>SUM(P93:P94)</f>
      </c>
      <c r="Q96" s="22">
        <f>SUM(Q93:Q94)</f>
      </c>
      <c r="R96" s="22">
        <f>SUM(R93:R94)</f>
      </c>
      <c r="S96" s="22">
        <f>SUM(S93:S94)</f>
      </c>
      <c r="T96" s="22">
        <f>SUM(T93:T94)</f>
      </c>
      <c r="U96" s="22">
        <f>SUM(U93:U94)</f>
      </c>
      <c r="V96" s="22">
        <f>SUM(V93:V94)</f>
      </c>
      <c r="W96" s="22">
        <f>SUM(W93:W94)</f>
      </c>
      <c r="X96" s="22">
        <f>SUM(X93:X94)</f>
      </c>
      <c r="Y96" s="22">
        <f>SUM(Y93:Y94)</f>
      </c>
      <c r="Z96" s="22">
        <f>SUM(Z93:Z94)</f>
      </c>
      <c r="AA96" s="22">
        <f>SUM(AA93:AA94)</f>
      </c>
      <c r="AB96" s="22">
        <f>SUM(AB93:AB94)</f>
      </c>
      <c r="AC96" s="22">
        <f>SUM(AC93:AC94)</f>
      </c>
      <c r="AD96" s="22">
        <f>SUM(AD93:AD94)</f>
      </c>
      <c r="AE96" s="22">
        <f>SUM(AE93:AE94)</f>
      </c>
      <c r="AF96" s="22">
        <f>SUM(AF93:AF94)</f>
      </c>
      <c r="AG96" s="22">
        <f>SUM(AG93:AG94)</f>
      </c>
      <c r="AH96" s="22">
        <f>SUM(AH93:AH94)</f>
      </c>
      <c r="AI96" s="22">
        <f>SUM(AI93:AI94)</f>
      </c>
      <c r="AJ96" s="22">
        <f>SUM(AJ93:AJ94)</f>
      </c>
      <c r="AK96" s="22">
        <f>SUM(AK93:AK94)</f>
      </c>
      <c r="AL96" s="22">
        <f>SUM(AL93:AL94)</f>
      </c>
      <c r="AM96" s="23"/>
    </row>
    <row r="99" ht="12.75" customHeight="1" spans="2:39" x14ac:dyDescent="0.25">
      <c r="B99" s="11" t="s">
        <v>40</v>
      </c>
      <c r="C99" s="12"/>
      <c r="D99" s="12"/>
      <c r="E99" s="12"/>
      <c r="F99" s="12"/>
      <c r="G99" s="52" t="s">
        <v>7</v>
      </c>
      <c r="H99" s="52" t="s">
        <v>8</v>
      </c>
      <c r="I99" s="52" t="s">
        <v>9</v>
      </c>
      <c r="J99" s="52" t="s">
        <v>10</v>
      </c>
      <c r="K99" s="52" t="s">
        <v>11</v>
      </c>
      <c r="L99" s="52" t="s">
        <v>12</v>
      </c>
      <c r="M99" s="52" t="s">
        <v>13</v>
      </c>
      <c r="N99" s="52" t="s">
        <v>14</v>
      </c>
      <c r="O99" s="52" t="s">
        <v>15</v>
      </c>
      <c r="P99" s="52" t="s">
        <v>16</v>
      </c>
      <c r="Q99" s="52" t="s">
        <v>17</v>
      </c>
      <c r="R99" s="52" t="s">
        <v>18</v>
      </c>
      <c r="S99" s="52" t="s">
        <v>19</v>
      </c>
      <c r="T99" s="52" t="s">
        <v>20</v>
      </c>
      <c r="U99" s="52" t="s">
        <v>21</v>
      </c>
      <c r="V99" s="52" t="s">
        <v>22</v>
      </c>
      <c r="W99" s="52" t="s">
        <v>23</v>
      </c>
      <c r="X99" s="52" t="s">
        <v>24</v>
      </c>
      <c r="Y99" s="52" t="s">
        <v>25</v>
      </c>
      <c r="Z99" s="52" t="s">
        <v>26</v>
      </c>
      <c r="AA99" s="52" t="s">
        <v>27</v>
      </c>
      <c r="AB99" s="52" t="s">
        <v>28</v>
      </c>
      <c r="AC99" s="52" t="s">
        <v>29</v>
      </c>
      <c r="AD99" s="52" t="s">
        <v>30</v>
      </c>
      <c r="AE99" s="52" t="s">
        <v>31</v>
      </c>
      <c r="AF99" s="52" t="s">
        <v>32</v>
      </c>
      <c r="AG99" s="52" t="s">
        <v>33</v>
      </c>
      <c r="AH99" s="52" t="s">
        <v>34</v>
      </c>
      <c r="AI99" s="52" t="s">
        <v>35</v>
      </c>
      <c r="AJ99" s="52" t="s">
        <v>36</v>
      </c>
      <c r="AK99" s="52" t="s">
        <v>37</v>
      </c>
      <c r="AL99" s="52" t="s">
        <v>38</v>
      </c>
      <c r="AM99" s="15"/>
    </row>
    <row r="100" ht="12.75" customHeight="1" spans="2:39" x14ac:dyDescent="0.25">
      <c r="B100" s="16"/>
      <c r="C100" s="17"/>
      <c r="D100" s="17" t="s">
        <v>41</v>
      </c>
      <c r="E100" s="17"/>
      <c r="F100" s="17"/>
      <c r="G100" s="18">
        <f>G21</f>
      </c>
      <c r="H100" s="18">
        <f>H21</f>
      </c>
      <c r="I100" s="18">
        <f>I21</f>
      </c>
      <c r="J100" s="18">
        <f>J21</f>
      </c>
      <c r="K100" s="18">
        <f>K21</f>
      </c>
      <c r="L100" s="18">
        <f>L21</f>
      </c>
      <c r="M100" s="18">
        <f>M21</f>
      </c>
      <c r="N100" s="18">
        <f>N21</f>
      </c>
      <c r="O100" s="18">
        <f>O21</f>
      </c>
      <c r="P100" s="18">
        <f>P21</f>
      </c>
      <c r="Q100" s="18">
        <f>Q21</f>
      </c>
      <c r="R100" s="18">
        <f>R21</f>
      </c>
      <c r="S100" s="18">
        <f>S21</f>
      </c>
      <c r="T100" s="18">
        <f>T21</f>
      </c>
      <c r="U100" s="18">
        <f>U21</f>
      </c>
      <c r="V100" s="18">
        <f>V21</f>
      </c>
      <c r="W100" s="18">
        <f>W21</f>
      </c>
      <c r="X100" s="18">
        <f>X21</f>
      </c>
      <c r="Y100" s="18">
        <f>Y21</f>
      </c>
      <c r="Z100" s="18">
        <f>Z21</f>
      </c>
      <c r="AA100" s="18">
        <f>AA21</f>
      </c>
      <c r="AB100" s="18">
        <f>AB21</f>
      </c>
      <c r="AC100" s="18">
        <f>AC21</f>
      </c>
      <c r="AD100" s="18">
        <f>AD21</f>
      </c>
      <c r="AE100" s="18">
        <f>AE21</f>
      </c>
      <c r="AF100" s="18">
        <f>AF21</f>
      </c>
      <c r="AG100" s="18">
        <f>AG21</f>
      </c>
      <c r="AH100" s="18">
        <f>AH21</f>
      </c>
      <c r="AI100" s="18">
        <f>AI21</f>
      </c>
      <c r="AJ100" s="18">
        <f>AJ21</f>
      </c>
      <c r="AK100" s="18">
        <f>AK21</f>
      </c>
      <c r="AL100" s="18">
        <f>AL21</f>
      </c>
      <c r="AM100" s="19"/>
    </row>
    <row r="101" ht="12.75" customHeight="1" spans="2:39" x14ac:dyDescent="0.25">
      <c r="B101" s="16"/>
      <c r="C101" s="17"/>
      <c r="D101" s="17" t="s">
        <v>42</v>
      </c>
      <c r="E101" s="17"/>
      <c r="F101" s="17"/>
      <c r="G101" s="18">
        <f>G84</f>
      </c>
      <c r="H101" s="18">
        <f>H84</f>
      </c>
      <c r="I101" s="18">
        <f>I84</f>
      </c>
      <c r="J101" s="18">
        <f>J84</f>
      </c>
      <c r="K101" s="18">
        <f>K84</f>
      </c>
      <c r="L101" s="18">
        <f>L84</f>
      </c>
      <c r="M101" s="18">
        <f>M84</f>
      </c>
      <c r="N101" s="18">
        <f>N84</f>
      </c>
      <c r="O101" s="18">
        <f>O84</f>
      </c>
      <c r="P101" s="18">
        <f>P84</f>
      </c>
      <c r="Q101" s="18">
        <f>Q84</f>
      </c>
      <c r="R101" s="18">
        <f>R84</f>
      </c>
      <c r="S101" s="18">
        <f>S84</f>
      </c>
      <c r="T101" s="18">
        <f>T84</f>
      </c>
      <c r="U101" s="18">
        <f>U84</f>
      </c>
      <c r="V101" s="18">
        <f>V84</f>
      </c>
      <c r="W101" s="18">
        <f>W84</f>
      </c>
      <c r="X101" s="18">
        <f>X84</f>
      </c>
      <c r="Y101" s="18">
        <f>Y84</f>
      </c>
      <c r="Z101" s="18">
        <f>Z84</f>
      </c>
      <c r="AA101" s="18">
        <f>AA84</f>
      </c>
      <c r="AB101" s="18">
        <f>AB84</f>
      </c>
      <c r="AC101" s="18">
        <f>AC84</f>
      </c>
      <c r="AD101" s="18">
        <f>AD84</f>
      </c>
      <c r="AE101" s="18">
        <f>AE84</f>
      </c>
      <c r="AF101" s="18">
        <f>AF84</f>
      </c>
      <c r="AG101" s="18">
        <f>AG84</f>
      </c>
      <c r="AH101" s="18">
        <f>AH84</f>
      </c>
      <c r="AI101" s="18">
        <f>AI84</f>
      </c>
      <c r="AJ101" s="18">
        <f>AJ84</f>
      </c>
      <c r="AK101" s="18">
        <f>AK84</f>
      </c>
      <c r="AL101" s="18">
        <f>AL84</f>
      </c>
      <c r="AM101" s="19"/>
    </row>
    <row r="102" ht="12.75" customHeight="1" spans="2:39" x14ac:dyDescent="0.25">
      <c r="B102" s="16"/>
      <c r="C102" s="17"/>
      <c r="D102" s="17" t="s">
        <v>43</v>
      </c>
      <c r="E102" s="17"/>
      <c r="F102" s="17"/>
      <c r="G102" s="18">
        <f>G90</f>
      </c>
      <c r="H102" s="18">
        <f>H90</f>
      </c>
      <c r="I102" s="18">
        <f>I90</f>
      </c>
      <c r="J102" s="18">
        <f>J90</f>
      </c>
      <c r="K102" s="18">
        <f>K90</f>
      </c>
      <c r="L102" s="18">
        <f>L90</f>
      </c>
      <c r="M102" s="18">
        <f>M90</f>
      </c>
      <c r="N102" s="18">
        <f>N90</f>
      </c>
      <c r="O102" s="18">
        <f>O90</f>
      </c>
      <c r="P102" s="18">
        <f>P90</f>
      </c>
      <c r="Q102" s="18">
        <f>Q90</f>
      </c>
      <c r="R102" s="18">
        <f>R90</f>
      </c>
      <c r="S102" s="18">
        <f>S90</f>
      </c>
      <c r="T102" s="18">
        <f>T90</f>
      </c>
      <c r="U102" s="18">
        <f>U90</f>
      </c>
      <c r="V102" s="18">
        <f>V90</f>
      </c>
      <c r="W102" s="18">
        <f>W90</f>
      </c>
      <c r="X102" s="18">
        <f>X90</f>
      </c>
      <c r="Y102" s="18">
        <f>Y90</f>
      </c>
      <c r="Z102" s="18">
        <f>Z90</f>
      </c>
      <c r="AA102" s="18">
        <f>AA90</f>
      </c>
      <c r="AB102" s="18">
        <f>AB90</f>
      </c>
      <c r="AC102" s="18">
        <f>AC90</f>
      </c>
      <c r="AD102" s="18">
        <f>AD90</f>
      </c>
      <c r="AE102" s="18">
        <f>AE90</f>
      </c>
      <c r="AF102" s="18">
        <f>AF90</f>
      </c>
      <c r="AG102" s="18">
        <f>AG90</f>
      </c>
      <c r="AH102" s="18">
        <f>AH90</f>
      </c>
      <c r="AI102" s="18">
        <f>AI90</f>
      </c>
      <c r="AJ102" s="18">
        <f>AJ90</f>
      </c>
      <c r="AK102" s="18">
        <f>AK90</f>
      </c>
      <c r="AL102" s="18">
        <f>AL90</f>
      </c>
      <c r="AM102" s="19"/>
    </row>
    <row r="103" ht="12.75" customHeight="1" spans="2:39" x14ac:dyDescent="0.25">
      <c r="B103" s="16"/>
      <c r="C103" s="17"/>
      <c r="D103" s="17" t="s">
        <v>44</v>
      </c>
      <c r="E103" s="17"/>
      <c r="F103" s="17"/>
      <c r="G103" s="18">
        <f>G96</f>
      </c>
      <c r="H103" s="18">
        <f>H96</f>
      </c>
      <c r="I103" s="18">
        <f>I96</f>
      </c>
      <c r="J103" s="18">
        <f>J96</f>
      </c>
      <c r="K103" s="18">
        <f>K96</f>
      </c>
      <c r="L103" s="18">
        <f>L96</f>
      </c>
      <c r="M103" s="18">
        <f>M96</f>
      </c>
      <c r="N103" s="18">
        <f>N96</f>
      </c>
      <c r="O103" s="18">
        <f>O96</f>
      </c>
      <c r="P103" s="18">
        <f>P96</f>
      </c>
      <c r="Q103" s="18">
        <f>Q96</f>
      </c>
      <c r="R103" s="18">
        <f>R96</f>
      </c>
      <c r="S103" s="18">
        <f>S96</f>
      </c>
      <c r="T103" s="18">
        <f>T96</f>
      </c>
      <c r="U103" s="18">
        <f>U96</f>
      </c>
      <c r="V103" s="18">
        <f>V96</f>
      </c>
      <c r="W103" s="18">
        <f>W96</f>
      </c>
      <c r="X103" s="18">
        <f>X96</f>
      </c>
      <c r="Y103" s="18">
        <f>Y96</f>
      </c>
      <c r="Z103" s="18">
        <f>Z96</f>
      </c>
      <c r="AA103" s="18">
        <f>AA96</f>
      </c>
      <c r="AB103" s="18">
        <f>AB96</f>
      </c>
      <c r="AC103" s="18">
        <f>AC96</f>
      </c>
      <c r="AD103" s="18">
        <f>AD96</f>
      </c>
      <c r="AE103" s="18">
        <f>AE96</f>
      </c>
      <c r="AF103" s="18">
        <f>AF96</f>
      </c>
      <c r="AG103" s="18">
        <f>AG96</f>
      </c>
      <c r="AH103" s="18">
        <f>AH96</f>
      </c>
      <c r="AI103" s="18">
        <f>AI96</f>
      </c>
      <c r="AJ103" s="18">
        <f>AJ96</f>
      </c>
      <c r="AK103" s="18">
        <f>AK96</f>
      </c>
      <c r="AL103" s="18">
        <f>AL96</f>
      </c>
      <c r="AM103" s="19"/>
    </row>
    <row r="104" ht="12.75" customHeight="1" spans="2:39" x14ac:dyDescent="0.25">
      <c r="B104" s="20"/>
      <c r="C104" s="21"/>
      <c r="D104" s="21" t="s">
        <v>45</v>
      </c>
      <c r="E104" s="21"/>
      <c r="F104" s="21"/>
      <c r="G104" s="22">
        <f>G100+G101+G102+G103</f>
      </c>
      <c r="H104" s="22">
        <f>H100+H101+H102+H103</f>
      </c>
      <c r="I104" s="22">
        <f>I100+I101+I102+I103</f>
      </c>
      <c r="J104" s="22">
        <f>J100+J101+J102+J103</f>
      </c>
      <c r="K104" s="22">
        <f>K100+K101+K102+K103</f>
      </c>
      <c r="L104" s="22">
        <f>L100+L101+L102+L103</f>
      </c>
      <c r="M104" s="22">
        <f>M100+M101+M102+M103</f>
      </c>
      <c r="N104" s="22">
        <f>N100+N101+N102+N103</f>
      </c>
      <c r="O104" s="22">
        <f>O100+O101+O102+O103</f>
      </c>
      <c r="P104" s="22">
        <f>P100+P101+P102+P103</f>
      </c>
      <c r="Q104" s="22">
        <f>Q100+Q101+Q102+Q103</f>
      </c>
      <c r="R104" s="22">
        <f>R100+R101+R102+R103</f>
      </c>
      <c r="S104" s="22">
        <f>S100+S101+S102+S103</f>
      </c>
      <c r="T104" s="22">
        <f>T100+T101+T102+T103</f>
      </c>
      <c r="U104" s="22">
        <f>U100+U101+U102+U103</f>
      </c>
      <c r="V104" s="22">
        <f>V100+V101+V102+V103</f>
      </c>
      <c r="W104" s="22">
        <f>W100+W101+W102+W103</f>
      </c>
      <c r="X104" s="22">
        <f>X100+X101+X102+X103</f>
      </c>
      <c r="Y104" s="22">
        <f>Y100+Y101+Y102+Y103</f>
      </c>
      <c r="Z104" s="22">
        <f>Z100+Z101+Z102+Z103</f>
      </c>
      <c r="AA104" s="22">
        <f>AA100+AA101+AA102+AA103</f>
      </c>
      <c r="AB104" s="22">
        <f>AB100+AB101+AB102+AB103</f>
      </c>
      <c r="AC104" s="22">
        <f>AC100+AC101+AC102+AC103</f>
      </c>
      <c r="AD104" s="22">
        <f>AD100+AD101+AD102+AD103</f>
      </c>
      <c r="AE104" s="22">
        <f>AE100+AE101+AE102+AE103</f>
      </c>
      <c r="AF104" s="22">
        <f>AF100+AF101+AF102+AF103</f>
      </c>
      <c r="AG104" s="22">
        <f>AG100+AG101+AG102+AG103</f>
      </c>
      <c r="AH104" s="22">
        <f>AH100+AH101+AH102+AH103</f>
      </c>
      <c r="AI104" s="22">
        <f>AI100+AI101+AI102+AI103</f>
      </c>
      <c r="AJ104" s="22">
        <f>AJ100+AJ101+AJ102+AJ103</f>
      </c>
      <c r="AK104" s="22">
        <f>AK100+AK101+AK102+AK103</f>
      </c>
      <c r="AL104" s="22">
        <f>AL100+AL101+AL102+AL103</f>
      </c>
      <c r="AM104" s="23"/>
    </row>
    <row r="106" ht="12.75" customHeight="1" spans="2:39" x14ac:dyDescent="0.25">
      <c r="B106" s="11" t="s">
        <v>46</v>
      </c>
      <c r="C106" s="12"/>
      <c r="D106" s="12"/>
      <c r="E106" s="12"/>
      <c r="F106" s="12"/>
      <c r="G106" s="52" t="s">
        <v>7</v>
      </c>
      <c r="H106" s="52" t="s">
        <v>8</v>
      </c>
      <c r="I106" s="52" t="s">
        <v>9</v>
      </c>
      <c r="J106" s="52" t="s">
        <v>10</v>
      </c>
      <c r="K106" s="52" t="s">
        <v>11</v>
      </c>
      <c r="L106" s="52" t="s">
        <v>12</v>
      </c>
      <c r="M106" s="52" t="s">
        <v>13</v>
      </c>
      <c r="N106" s="52" t="s">
        <v>14</v>
      </c>
      <c r="O106" s="52" t="s">
        <v>15</v>
      </c>
      <c r="P106" s="52" t="s">
        <v>16</v>
      </c>
      <c r="Q106" s="52" t="s">
        <v>17</v>
      </c>
      <c r="R106" s="52" t="s">
        <v>18</v>
      </c>
      <c r="S106" s="52" t="s">
        <v>19</v>
      </c>
      <c r="T106" s="52" t="s">
        <v>20</v>
      </c>
      <c r="U106" s="52" t="s">
        <v>21</v>
      </c>
      <c r="V106" s="52" t="s">
        <v>22</v>
      </c>
      <c r="W106" s="52" t="s">
        <v>23</v>
      </c>
      <c r="X106" s="52" t="s">
        <v>24</v>
      </c>
      <c r="Y106" s="52" t="s">
        <v>25</v>
      </c>
      <c r="Z106" s="52" t="s">
        <v>26</v>
      </c>
      <c r="AA106" s="52" t="s">
        <v>27</v>
      </c>
      <c r="AB106" s="52" t="s">
        <v>28</v>
      </c>
      <c r="AC106" s="52" t="s">
        <v>29</v>
      </c>
      <c r="AD106" s="52" t="s">
        <v>30</v>
      </c>
      <c r="AE106" s="52" t="s">
        <v>31</v>
      </c>
      <c r="AF106" s="52" t="s">
        <v>32</v>
      </c>
      <c r="AG106" s="52" t="s">
        <v>33</v>
      </c>
      <c r="AH106" s="52" t="s">
        <v>34</v>
      </c>
      <c r="AI106" s="52" t="s">
        <v>35</v>
      </c>
      <c r="AJ106" s="52" t="s">
        <v>36</v>
      </c>
      <c r="AK106" s="52" t="s">
        <v>37</v>
      </c>
      <c r="AL106" s="52" t="s">
        <v>38</v>
      </c>
      <c r="AM106" s="15"/>
    </row>
    <row r="107" ht="12.75" customHeight="1" spans="2:39" x14ac:dyDescent="0.25">
      <c r="B107" s="16"/>
      <c r="C107" s="17"/>
      <c r="D107" s="17" t="s">
        <v>41</v>
      </c>
      <c r="E107" s="17"/>
      <c r="F107" s="1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9"/>
    </row>
    <row r="108" ht="12.75" customHeight="1" spans="2:39" x14ac:dyDescent="0.25">
      <c r="B108" s="16"/>
      <c r="C108" s="17"/>
      <c r="D108" s="17" t="s">
        <v>42</v>
      </c>
      <c r="E108" s="17"/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9"/>
    </row>
    <row r="109" ht="12.75" customHeight="1" spans="2:39" x14ac:dyDescent="0.25">
      <c r="B109" s="16"/>
      <c r="C109" s="17"/>
      <c r="D109" s="17" t="s">
        <v>43</v>
      </c>
      <c r="E109" s="17"/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9"/>
    </row>
    <row r="110" ht="12.75" customHeight="1" spans="2:39" x14ac:dyDescent="0.25">
      <c r="B110" s="16"/>
      <c r="C110" s="17"/>
      <c r="D110" s="17" t="s">
        <v>44</v>
      </c>
      <c r="E110" s="17"/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9"/>
    </row>
    <row r="111" ht="12.75" customHeight="1" spans="2:39" x14ac:dyDescent="0.25">
      <c r="B111" s="20"/>
      <c r="C111" s="21"/>
      <c r="D111" s="21" t="s">
        <v>45</v>
      </c>
      <c r="E111" s="21"/>
      <c r="F111" s="21"/>
      <c r="G111" s="22">
        <f>G107+G108+G109+G110</f>
      </c>
      <c r="H111" s="22">
        <f>H107+H108+H109+H110</f>
      </c>
      <c r="I111" s="22">
        <f>I107+I108+I109+I110</f>
      </c>
      <c r="J111" s="22">
        <f>J107+J108+J109+J110</f>
      </c>
      <c r="K111" s="22">
        <f>K107+K108+K109+K110</f>
      </c>
      <c r="L111" s="22">
        <f>L107+L108+L109+L110</f>
      </c>
      <c r="M111" s="22">
        <f>M107+M108+M109+M110</f>
      </c>
      <c r="N111" s="22">
        <f>N107+N108+N109+N110</f>
      </c>
      <c r="O111" s="22">
        <f>O107+O108+O109+O110</f>
      </c>
      <c r="P111" s="22">
        <f>P107+P108+P109+P110</f>
      </c>
      <c r="Q111" s="22">
        <f>Q107+Q108+Q109+Q110</f>
      </c>
      <c r="R111" s="22">
        <f>R107+R108+R109+R110</f>
      </c>
      <c r="S111" s="22">
        <f>S107+S108+S109+S110</f>
      </c>
      <c r="T111" s="22">
        <f>T107+T108+T109+T110</f>
      </c>
      <c r="U111" s="22">
        <f>U107+U108+U109+U110</f>
      </c>
      <c r="V111" s="22">
        <f>V107+V108+V109+V110</f>
      </c>
      <c r="W111" s="22">
        <f>W107+W108+W109+W110</f>
      </c>
      <c r="X111" s="22">
        <f>X107+X108+X109+X110</f>
      </c>
      <c r="Y111" s="22">
        <f>Y107+Y108+Y109+Y110</f>
      </c>
      <c r="Z111" s="22">
        <f>Z107+Z108+Z109+Z110</f>
      </c>
      <c r="AA111" s="22">
        <f>AA107+AA108+AA109+AA110</f>
      </c>
      <c r="AB111" s="22">
        <f>AB107+AB108+AB109+AB110</f>
      </c>
      <c r="AC111" s="22">
        <f>AC107+AC108+AC109+AC110</f>
      </c>
      <c r="AD111" s="22">
        <f>AD107+AD108+AD109+AD110</f>
      </c>
      <c r="AE111" s="22">
        <f>AE107+AE108+AE109+AE110</f>
      </c>
      <c r="AF111" s="22">
        <f>AF107+AF108+AF109+AF110</f>
      </c>
      <c r="AG111" s="22">
        <f>AG107+AG108+AG109+AG110</f>
      </c>
      <c r="AH111" s="22">
        <f>AH107+AH108+AH109+AH110</f>
      </c>
      <c r="AI111" s="22">
        <f>AI107+AI108+AI109+AI110</f>
      </c>
      <c r="AJ111" s="22">
        <f>AJ107+AJ108+AJ109+AJ110</f>
      </c>
      <c r="AK111" s="22">
        <f>AK107+AK108+AK109+AK110</f>
      </c>
      <c r="AL111" s="22">
        <f>AL107+AL108+AL109+AL110</f>
      </c>
      <c r="AM111" s="23"/>
    </row>
    <row r="113" ht="12.75" customHeight="1" spans="2:39" x14ac:dyDescent="0.25">
      <c r="B113" s="11" t="s">
        <v>47</v>
      </c>
      <c r="C113" s="12"/>
      <c r="D113" s="12"/>
      <c r="E113" s="12"/>
      <c r="F113" s="12"/>
      <c r="G113" s="52" t="s">
        <v>7</v>
      </c>
      <c r="H113" s="52" t="s">
        <v>8</v>
      </c>
      <c r="I113" s="52" t="s">
        <v>9</v>
      </c>
      <c r="J113" s="52" t="s">
        <v>10</v>
      </c>
      <c r="K113" s="52" t="s">
        <v>11</v>
      </c>
      <c r="L113" s="52" t="s">
        <v>12</v>
      </c>
      <c r="M113" s="52" t="s">
        <v>13</v>
      </c>
      <c r="N113" s="52" t="s">
        <v>14</v>
      </c>
      <c r="O113" s="52" t="s">
        <v>15</v>
      </c>
      <c r="P113" s="52" t="s">
        <v>16</v>
      </c>
      <c r="Q113" s="52" t="s">
        <v>17</v>
      </c>
      <c r="R113" s="52" t="s">
        <v>18</v>
      </c>
      <c r="S113" s="52" t="s">
        <v>19</v>
      </c>
      <c r="T113" s="52" t="s">
        <v>20</v>
      </c>
      <c r="U113" s="52" t="s">
        <v>21</v>
      </c>
      <c r="V113" s="52" t="s">
        <v>22</v>
      </c>
      <c r="W113" s="52" t="s">
        <v>23</v>
      </c>
      <c r="X113" s="52" t="s">
        <v>24</v>
      </c>
      <c r="Y113" s="52" t="s">
        <v>25</v>
      </c>
      <c r="Z113" s="52" t="s">
        <v>26</v>
      </c>
      <c r="AA113" s="52" t="s">
        <v>27</v>
      </c>
      <c r="AB113" s="52" t="s">
        <v>28</v>
      </c>
      <c r="AC113" s="52" t="s">
        <v>29</v>
      </c>
      <c r="AD113" s="52" t="s">
        <v>30</v>
      </c>
      <c r="AE113" s="52" t="s">
        <v>31</v>
      </c>
      <c r="AF113" s="52" t="s">
        <v>32</v>
      </c>
      <c r="AG113" s="52" t="s">
        <v>33</v>
      </c>
      <c r="AH113" s="52" t="s">
        <v>34</v>
      </c>
      <c r="AI113" s="52" t="s">
        <v>35</v>
      </c>
      <c r="AJ113" s="52" t="s">
        <v>36</v>
      </c>
      <c r="AK113" s="52" t="s">
        <v>37</v>
      </c>
      <c r="AL113" s="52" t="s">
        <v>38</v>
      </c>
      <c r="AM113" s="15"/>
    </row>
    <row r="114" ht="12.75" customHeight="1" spans="2:39" x14ac:dyDescent="0.25">
      <c r="B114" s="16"/>
      <c r="C114" s="17"/>
      <c r="D114" s="17" t="s">
        <v>41</v>
      </c>
      <c r="E114" s="17"/>
      <c r="F114" s="17"/>
      <c r="G114" s="24">
        <f>G107-G100</f>
      </c>
      <c r="H114" s="24">
        <f>H107-H100</f>
      </c>
      <c r="I114" s="24">
        <f>I107-I100</f>
      </c>
      <c r="J114" s="24">
        <f>J107-J100</f>
      </c>
      <c r="K114" s="24">
        <f>K107-K100</f>
      </c>
      <c r="L114" s="24">
        <f>L107-L100</f>
      </c>
      <c r="M114" s="24">
        <f>M107-M100</f>
      </c>
      <c r="N114" s="24">
        <f>N107-N100</f>
      </c>
      <c r="O114" s="24">
        <f>O107-O100</f>
      </c>
      <c r="P114" s="24">
        <f>P107-P100</f>
      </c>
      <c r="Q114" s="24">
        <f>Q107-Q100</f>
      </c>
      <c r="R114" s="24">
        <f>R107-R100</f>
      </c>
      <c r="S114" s="24">
        <f>S107-S100</f>
      </c>
      <c r="T114" s="24">
        <f>T107-T100</f>
      </c>
      <c r="U114" s="24">
        <f>U107-U100</f>
      </c>
      <c r="V114" s="24">
        <f>V107-V100</f>
      </c>
      <c r="W114" s="24">
        <f>W107-W100</f>
      </c>
      <c r="X114" s="24">
        <f>X107-X100</f>
      </c>
      <c r="Y114" s="24">
        <f>Y107-Y100</f>
      </c>
      <c r="Z114" s="24">
        <f>Z107-Z100</f>
      </c>
      <c r="AA114" s="24">
        <f>AA107-AA100</f>
      </c>
      <c r="AB114" s="24">
        <f>AB107-AB100</f>
      </c>
      <c r="AC114" s="24">
        <f>AC107-AC100</f>
      </c>
      <c r="AD114" s="24">
        <f>AD107-AD100</f>
      </c>
      <c r="AE114" s="24">
        <f>AE107-AE100</f>
      </c>
      <c r="AF114" s="24">
        <f>AF107-AF100</f>
      </c>
      <c r="AG114" s="24">
        <f>AG107-AG100</f>
      </c>
      <c r="AH114" s="24">
        <f>AH107-AH100</f>
      </c>
      <c r="AI114" s="24">
        <f>AI107-AI100</f>
      </c>
      <c r="AJ114" s="24">
        <f>AJ107-AJ100</f>
      </c>
      <c r="AK114" s="24">
        <f>AK107-AK100</f>
      </c>
      <c r="AL114" s="24">
        <f>AL107-AL100</f>
      </c>
      <c r="AM114" s="19"/>
    </row>
    <row r="115" ht="12.75" customHeight="1" spans="2:39" x14ac:dyDescent="0.25">
      <c r="B115" s="16"/>
      <c r="C115" s="17"/>
      <c r="D115" s="17" t="s">
        <v>42</v>
      </c>
      <c r="E115" s="17"/>
      <c r="F115" s="17"/>
      <c r="G115" s="24">
        <f>G108-G101</f>
      </c>
      <c r="H115" s="24">
        <f>H108-H101</f>
      </c>
      <c r="I115" s="24">
        <f>I108-I101</f>
      </c>
      <c r="J115" s="24">
        <f>J108-J101</f>
      </c>
      <c r="K115" s="24">
        <f>K108-K101</f>
      </c>
      <c r="L115" s="24">
        <f>L108-L101</f>
      </c>
      <c r="M115" s="24">
        <f>M108-M101</f>
      </c>
      <c r="N115" s="24">
        <f>N108-N101</f>
      </c>
      <c r="O115" s="24">
        <f>O108-O101</f>
      </c>
      <c r="P115" s="24">
        <f>P108-P101</f>
      </c>
      <c r="Q115" s="24">
        <f>Q108-Q101</f>
      </c>
      <c r="R115" s="24">
        <f>R108-R101</f>
      </c>
      <c r="S115" s="24">
        <f>S108-S101</f>
      </c>
      <c r="T115" s="24">
        <f>T108-T101</f>
      </c>
      <c r="U115" s="24">
        <f>U108-U101</f>
      </c>
      <c r="V115" s="24">
        <f>V108-V101</f>
      </c>
      <c r="W115" s="24">
        <f>W108-W101</f>
      </c>
      <c r="X115" s="24">
        <f>X108-X101</f>
      </c>
      <c r="Y115" s="24">
        <f>Y108-Y101</f>
      </c>
      <c r="Z115" s="24">
        <f>Z108-Z101</f>
      </c>
      <c r="AA115" s="24">
        <f>AA108-AA101</f>
      </c>
      <c r="AB115" s="24">
        <f>AB108-AB101</f>
      </c>
      <c r="AC115" s="24">
        <f>AC108-AC101</f>
      </c>
      <c r="AD115" s="24">
        <f>AD108-AD101</f>
      </c>
      <c r="AE115" s="24">
        <f>AE108-AE101</f>
      </c>
      <c r="AF115" s="24">
        <f>AF108-AF101</f>
      </c>
      <c r="AG115" s="24">
        <f>AG108-AG101</f>
      </c>
      <c r="AH115" s="24">
        <f>AH108-AH101</f>
      </c>
      <c r="AI115" s="24">
        <f>AI108-AI101</f>
      </c>
      <c r="AJ115" s="24">
        <f>AJ108-AJ101</f>
      </c>
      <c r="AK115" s="24">
        <f>AK108-AK101</f>
      </c>
      <c r="AL115" s="24">
        <f>AL108-AL101</f>
      </c>
      <c r="AM115" s="19"/>
    </row>
    <row r="116" ht="12.75" customHeight="1" spans="2:39" x14ac:dyDescent="0.25">
      <c r="B116" s="16"/>
      <c r="C116" s="17"/>
      <c r="D116" s="17" t="s">
        <v>43</v>
      </c>
      <c r="E116" s="17"/>
      <c r="F116" s="17"/>
      <c r="G116" s="24">
        <f>G109-G102</f>
      </c>
      <c r="H116" s="24">
        <f>H109-H102</f>
      </c>
      <c r="I116" s="24">
        <f>I109-I102</f>
      </c>
      <c r="J116" s="24">
        <f>J109-J102</f>
      </c>
      <c r="K116" s="24">
        <f>K109-K102</f>
      </c>
      <c r="L116" s="24">
        <f>L109-L102</f>
      </c>
      <c r="M116" s="24">
        <f>M109-M102</f>
      </c>
      <c r="N116" s="24">
        <f>N109-N102</f>
      </c>
      <c r="O116" s="24">
        <f>O109-O102</f>
      </c>
      <c r="P116" s="24">
        <f>P109-P102</f>
      </c>
      <c r="Q116" s="24">
        <f>Q109-Q102</f>
      </c>
      <c r="R116" s="24">
        <f>R109-R102</f>
      </c>
      <c r="S116" s="24">
        <f>S109-S102</f>
      </c>
      <c r="T116" s="24">
        <f>T109-T102</f>
      </c>
      <c r="U116" s="24">
        <f>U109-U102</f>
      </c>
      <c r="V116" s="24">
        <f>V109-V102</f>
      </c>
      <c r="W116" s="24">
        <f>W109-W102</f>
      </c>
      <c r="X116" s="24">
        <f>X109-X102</f>
      </c>
      <c r="Y116" s="24">
        <f>Y109-Y102</f>
      </c>
      <c r="Z116" s="24">
        <f>Z109-Z102</f>
      </c>
      <c r="AA116" s="24">
        <f>AA109-AA102</f>
      </c>
      <c r="AB116" s="24">
        <f>AB109-AB102</f>
      </c>
      <c r="AC116" s="24">
        <f>AC109-AC102</f>
      </c>
      <c r="AD116" s="24">
        <f>AD109-AD102</f>
      </c>
      <c r="AE116" s="24">
        <f>AE109-AE102</f>
      </c>
      <c r="AF116" s="24">
        <f>AF109-AF102</f>
      </c>
      <c r="AG116" s="24">
        <f>AG109-AG102</f>
      </c>
      <c r="AH116" s="24">
        <f>AH109-AH102</f>
      </c>
      <c r="AI116" s="24">
        <f>AI109-AI102</f>
      </c>
      <c r="AJ116" s="24">
        <f>AJ109-AJ102</f>
      </c>
      <c r="AK116" s="24">
        <f>AK109-AK102</f>
      </c>
      <c r="AL116" s="24">
        <f>AL109-AL102</f>
      </c>
      <c r="AM116" s="19"/>
    </row>
    <row r="117" ht="12.75" customHeight="1" spans="2:39" x14ac:dyDescent="0.25">
      <c r="B117" s="16"/>
      <c r="C117" s="17"/>
      <c r="D117" s="17" t="s">
        <v>44</v>
      </c>
      <c r="E117" s="17"/>
      <c r="F117" s="17"/>
      <c r="G117" s="24">
        <f>G110-G103</f>
      </c>
      <c r="H117" s="24">
        <f>H110-H103</f>
      </c>
      <c r="I117" s="24">
        <f>I110-I103</f>
      </c>
      <c r="J117" s="24">
        <f>J110-J103</f>
      </c>
      <c r="K117" s="24">
        <f>K110-K103</f>
      </c>
      <c r="L117" s="24">
        <f>L110-L103</f>
      </c>
      <c r="M117" s="24">
        <f>M110-M103</f>
      </c>
      <c r="N117" s="24">
        <f>N110-N103</f>
      </c>
      <c r="O117" s="24">
        <f>O110-O103</f>
      </c>
      <c r="P117" s="24">
        <f>P110-P103</f>
      </c>
      <c r="Q117" s="24">
        <f>Q110-Q103</f>
      </c>
      <c r="R117" s="24">
        <f>R110-R103</f>
      </c>
      <c r="S117" s="24">
        <f>S110-S103</f>
      </c>
      <c r="T117" s="24">
        <f>T110-T103</f>
      </c>
      <c r="U117" s="24">
        <f>U110-U103</f>
      </c>
      <c r="V117" s="24">
        <f>V110-V103</f>
      </c>
      <c r="W117" s="24">
        <f>W110-W103</f>
      </c>
      <c r="X117" s="24">
        <f>X110-X103</f>
      </c>
      <c r="Y117" s="24">
        <f>Y110-Y103</f>
      </c>
      <c r="Z117" s="24">
        <f>Z110-Z103</f>
      </c>
      <c r="AA117" s="24">
        <f>AA110-AA103</f>
      </c>
      <c r="AB117" s="24">
        <f>AB110-AB103</f>
      </c>
      <c r="AC117" s="24">
        <f>AC110-AC103</f>
      </c>
      <c r="AD117" s="24">
        <f>AD110-AD103</f>
      </c>
      <c r="AE117" s="24">
        <f>AE110-AE103</f>
      </c>
      <c r="AF117" s="24">
        <f>AF110-AF103</f>
      </c>
      <c r="AG117" s="24">
        <f>AG110-AG103</f>
      </c>
      <c r="AH117" s="24">
        <f>AH110-AH103</f>
      </c>
      <c r="AI117" s="24">
        <f>AI110-AI103</f>
      </c>
      <c r="AJ117" s="24">
        <f>AJ110-AJ103</f>
      </c>
      <c r="AK117" s="24">
        <f>AK110-AK103</f>
      </c>
      <c r="AL117" s="24">
        <f>AL110-AL103</f>
      </c>
      <c r="AM117" s="19"/>
    </row>
    <row r="118" ht="12.75" customHeight="1" spans="2:39" x14ac:dyDescent="0.25">
      <c r="B118" s="20"/>
      <c r="C118" s="21"/>
      <c r="D118" s="21" t="s">
        <v>45</v>
      </c>
      <c r="E118" s="21"/>
      <c r="F118" s="21"/>
      <c r="G118" s="25">
        <f>G114+G115+G116+G117</f>
      </c>
      <c r="H118" s="25">
        <f>H114+H115+H116+H117</f>
      </c>
      <c r="I118" s="25">
        <f>I114+I115+I116+I117</f>
      </c>
      <c r="J118" s="25">
        <f>J114+J115+J116+J117</f>
      </c>
      <c r="K118" s="25">
        <f>K114+K115+K116+K117</f>
      </c>
      <c r="L118" s="25">
        <f>L114+L115+L116+L117</f>
      </c>
      <c r="M118" s="25">
        <f>M114+M115+M116+M117</f>
      </c>
      <c r="N118" s="25">
        <f>N114+N115+N116+N117</f>
      </c>
      <c r="O118" s="25">
        <f>O114+O115+O116+O117</f>
      </c>
      <c r="P118" s="25">
        <f>P114+P115+P116+P117</f>
      </c>
      <c r="Q118" s="25">
        <f>Q114+Q115+Q116+Q117</f>
      </c>
      <c r="R118" s="25">
        <f>R114+R115+R116+R117</f>
      </c>
      <c r="S118" s="25">
        <f>S114+S115+S116+S117</f>
      </c>
      <c r="T118" s="25">
        <f>T114+T115+T116+T117</f>
      </c>
      <c r="U118" s="25">
        <f>U114+U115+U116+U117</f>
      </c>
      <c r="V118" s="25">
        <f>V114+V115+V116+V117</f>
      </c>
      <c r="W118" s="25">
        <f>W114+W115+W116+W117</f>
      </c>
      <c r="X118" s="25">
        <f>X114+X115+X116+X117</f>
      </c>
      <c r="Y118" s="25">
        <f>Y114+Y115+Y116+Y117</f>
      </c>
      <c r="Z118" s="25">
        <f>Z114+Z115+Z116+Z117</f>
      </c>
      <c r="AA118" s="25">
        <f>AA114+AA115+AA116+AA117</f>
      </c>
      <c r="AB118" s="25">
        <f>AB114+AB115+AB116+AB117</f>
      </c>
      <c r="AC118" s="25">
        <f>AC114+AC115+AC116+AC117</f>
      </c>
      <c r="AD118" s="25">
        <f>AD114+AD115+AD116+AD117</f>
      </c>
      <c r="AE118" s="25">
        <f>AE114+AE115+AE116+AE117</f>
      </c>
      <c r="AF118" s="25">
        <f>AF114+AF115+AF116+AF117</f>
      </c>
      <c r="AG118" s="25">
        <f>AG114+AG115+AG116+AG117</f>
      </c>
      <c r="AH118" s="25">
        <f>AH114+AH115+AH116+AH117</f>
      </c>
      <c r="AI118" s="25">
        <f>AI114+AI115+AI116+AI117</f>
      </c>
      <c r="AJ118" s="25">
        <f>AJ114+AJ115+AJ116+AJ117</f>
      </c>
      <c r="AK118" s="25">
        <f>AK114+AK115+AK116+AK117</f>
      </c>
      <c r="AL118" s="25">
        <f>AL114+AL115+AL116+AL117</f>
      </c>
      <c r="AM11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1984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1985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6">
        <f>59.00+0.00</f>
        <v>59</v>
      </c>
      <c r="AG13" s="33">
        <v>44</v>
      </c>
      <c r="AH13" s="33">
        <v>48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1986</v>
      </c>
      <c r="E14" s="32"/>
      <c r="F14" s="32"/>
      <c r="G14" s="32"/>
      <c r="H14" s="33">
        <v>198.41</v>
      </c>
      <c r="I14" s="33">
        <v>177.29</v>
      </c>
      <c r="J14" s="33">
        <v>183.28</v>
      </c>
      <c r="K14" s="33">
        <v>146.94</v>
      </c>
      <c r="L14" s="33">
        <v>101.1</v>
      </c>
      <c r="M14" s="33">
        <v>120.3</v>
      </c>
      <c r="N14" s="33">
        <v>41.3</v>
      </c>
      <c r="O14" s="33">
        <v>39.86</v>
      </c>
      <c r="P14" s="33">
        <v>134.54</v>
      </c>
      <c r="Q14" s="33">
        <v>122.14</v>
      </c>
      <c r="R14" s="33">
        <v>58.08</v>
      </c>
      <c r="S14" s="33">
        <v>196.92</v>
      </c>
      <c r="T14" s="33">
        <v>196.62</v>
      </c>
      <c r="U14" s="33">
        <v>232.32</v>
      </c>
      <c r="V14" s="33">
        <v>184.83</v>
      </c>
      <c r="W14" s="33">
        <v>209.8</v>
      </c>
      <c r="X14" s="33">
        <v>97.81</v>
      </c>
      <c r="Y14" s="33">
        <v>67.71</v>
      </c>
      <c r="Z14" s="33">
        <v>53.76</v>
      </c>
      <c r="AA14" s="33">
        <v>48.05</v>
      </c>
      <c r="AB14" s="33">
        <v>49.6</v>
      </c>
      <c r="AC14" s="33">
        <v>44.95</v>
      </c>
      <c r="AD14" s="33">
        <v>66.68</v>
      </c>
      <c r="AE14" s="33">
        <v>157.22</v>
      </c>
      <c r="AF14" s="33">
        <v>163.49</v>
      </c>
      <c r="AG14" s="33">
        <v>195.55</v>
      </c>
      <c r="AH14" s="33">
        <v>240.22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1987</v>
      </c>
      <c r="E15" s="32"/>
      <c r="F15" s="32"/>
      <c r="G15" s="32"/>
      <c r="H15" s="33">
        <v>2306.54</v>
      </c>
      <c r="I15" s="33">
        <v>2793.4</v>
      </c>
      <c r="J15" s="33">
        <v>2536.09</v>
      </c>
      <c r="K15" s="33">
        <v>2431.93</v>
      </c>
      <c r="L15" s="33">
        <v>2360.72</v>
      </c>
      <c r="M15" s="33">
        <v>2889.39</v>
      </c>
      <c r="N15" s="33">
        <v>3068.83</v>
      </c>
      <c r="O15" s="33">
        <v>3023.08</v>
      </c>
      <c r="P15" s="33">
        <v>3062.28</v>
      </c>
      <c r="Q15" s="33">
        <v>2720.23</v>
      </c>
      <c r="R15" s="33">
        <v>2118.84</v>
      </c>
      <c r="S15" s="33">
        <v>2552.07</v>
      </c>
      <c r="T15" s="33">
        <v>2476.83</v>
      </c>
      <c r="U15" s="33">
        <v>3937.39</v>
      </c>
      <c r="V15" s="33">
        <v>3019.94</v>
      </c>
      <c r="W15" s="33">
        <v>2997.8</v>
      </c>
      <c r="X15" s="33">
        <v>2832.7</v>
      </c>
      <c r="Y15" s="33">
        <v>3266.45</v>
      </c>
      <c r="Z15" s="33">
        <v>3319.69</v>
      </c>
      <c r="AA15" s="33">
        <v>3550.92</v>
      </c>
      <c r="AB15" s="33">
        <v>3142.85</v>
      </c>
      <c r="AC15" s="33">
        <v>2565.21</v>
      </c>
      <c r="AD15" s="33">
        <v>1938.64</v>
      </c>
      <c r="AE15" s="33">
        <v>1917.06</v>
      </c>
      <c r="AF15" s="33">
        <v>2421.58</v>
      </c>
      <c r="AG15" s="33">
        <v>3841.51</v>
      </c>
      <c r="AH15" s="33">
        <v>3435.95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1988</v>
      </c>
      <c r="E16" s="32"/>
      <c r="F16" s="32"/>
      <c r="G16" s="32"/>
      <c r="H16" s="36">
        <f>28.30+496.18</f>
        <v>524.48</v>
      </c>
      <c r="I16" s="36">
        <f>24.81+517.05</f>
        <v>541.8599999999999</v>
      </c>
      <c r="J16" s="36">
        <f>469.92+28.30</f>
        <v>498.22</v>
      </c>
      <c r="K16" s="36">
        <f>458.84+25.71</f>
        <v>484.54999999999995</v>
      </c>
      <c r="L16" s="36">
        <f>580.03+28.90</f>
        <v>608.93</v>
      </c>
      <c r="M16" s="36">
        <f>32.88+815.74</f>
        <v>848.62</v>
      </c>
      <c r="N16" s="36">
        <f>732.67+28.90</f>
        <v>761.5699999999999</v>
      </c>
      <c r="O16" s="36">
        <f>29.89+656.85</f>
        <v>686.74</v>
      </c>
      <c r="P16" s="36">
        <f>722.77+31.89</f>
        <v>754.66</v>
      </c>
      <c r="Q16" s="36">
        <f>28.90+596.14</f>
        <v>625.04</v>
      </c>
      <c r="R16" s="36">
        <f>385.79+23.98</f>
        <v>409.77000000000004</v>
      </c>
      <c r="S16" s="36">
        <f>31.89+537.46</f>
        <v>569.35</v>
      </c>
      <c r="T16" s="36">
        <f>29.89+523.12</f>
        <v>553.01</v>
      </c>
      <c r="U16" s="36">
        <f>31.89+671.07</f>
        <v>702.96</v>
      </c>
      <c r="V16" s="36">
        <f>29.89+521.09</f>
        <v>550.98</v>
      </c>
      <c r="W16" s="36">
        <f>28.90+507.46</f>
        <v>536.36</v>
      </c>
      <c r="X16" s="36">
        <f>619.93+28.90</f>
        <v>648.8299999999999</v>
      </c>
      <c r="Y16" s="36">
        <f>31.89+745.51</f>
        <v>777.4</v>
      </c>
      <c r="Z16" s="36">
        <f>28.90+713.41</f>
        <v>742.31</v>
      </c>
      <c r="AA16" s="36">
        <f>30.89+792.15</f>
        <v>823.04</v>
      </c>
      <c r="AB16" s="36">
        <f>31.89+735.73</f>
        <v>767.62</v>
      </c>
      <c r="AC16" s="36">
        <f>597.79+28.90</f>
        <v>626.6899999999999</v>
      </c>
      <c r="AD16" s="36">
        <f>437.37+25.58</f>
        <v>462.95</v>
      </c>
      <c r="AE16" s="36">
        <f>30.89+563.98</f>
        <v>594.87</v>
      </c>
      <c r="AF16" s="36">
        <f>30.89+608.27</f>
        <v>639.16</v>
      </c>
      <c r="AG16" s="36">
        <f>659.93+28.90</f>
        <v>688.8299999999999</v>
      </c>
      <c r="AH16" s="36">
        <f>577.30+31.89</f>
        <v>609.1899999999999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1989</v>
      </c>
      <c r="E17" s="32"/>
      <c r="F17" s="32"/>
      <c r="G17" s="32"/>
      <c r="H17" s="33">
        <v>1127</v>
      </c>
      <c r="I17" s="33">
        <v>828</v>
      </c>
      <c r="J17" s="33">
        <v>981</v>
      </c>
      <c r="K17" s="33">
        <v>463</v>
      </c>
      <c r="L17" s="33">
        <v>463</v>
      </c>
      <c r="M17" s="33">
        <v>348</v>
      </c>
      <c r="N17" s="33">
        <v>358</v>
      </c>
      <c r="O17" s="33">
        <v>213</v>
      </c>
      <c r="P17" s="33">
        <v>268</v>
      </c>
      <c r="Q17" s="33">
        <v>316</v>
      </c>
      <c r="R17" s="33">
        <v>370</v>
      </c>
      <c r="S17" s="33">
        <v>1082</v>
      </c>
      <c r="T17" s="33">
        <v>995</v>
      </c>
      <c r="U17" s="33">
        <v>1007</v>
      </c>
      <c r="V17" s="33">
        <v>657</v>
      </c>
      <c r="W17" s="33">
        <v>610</v>
      </c>
      <c r="X17" s="33">
        <v>500</v>
      </c>
      <c r="Y17" s="33">
        <v>408</v>
      </c>
      <c r="Z17" s="33">
        <v>345</v>
      </c>
      <c r="AA17" s="33">
        <v>374</v>
      </c>
      <c r="AB17" s="33">
        <v>419</v>
      </c>
      <c r="AC17" s="33">
        <v>425</v>
      </c>
      <c r="AD17" s="33">
        <v>634</v>
      </c>
      <c r="AE17" s="33">
        <v>828</v>
      </c>
      <c r="AF17" s="33">
        <v>983</v>
      </c>
      <c r="AG17" s="33">
        <v>728</v>
      </c>
      <c r="AH17" s="33">
        <v>719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1990</v>
      </c>
      <c r="E18" s="32"/>
      <c r="F18" s="32"/>
      <c r="G18" s="32"/>
      <c r="H18" s="33">
        <v>248.27</v>
      </c>
      <c r="I18" s="33">
        <v>201.76</v>
      </c>
      <c r="J18" s="33">
        <v>244.92</v>
      </c>
      <c r="K18" s="33">
        <v>235.28</v>
      </c>
      <c r="L18" s="33">
        <v>390.64</v>
      </c>
      <c r="M18" s="33">
        <v>474.1</v>
      </c>
      <c r="N18" s="33">
        <v>395.58</v>
      </c>
      <c r="O18" s="33">
        <v>379.7</v>
      </c>
      <c r="P18" s="33">
        <v>314.41</v>
      </c>
      <c r="Q18" s="33">
        <v>243.73</v>
      </c>
      <c r="R18" s="33">
        <v>261.58</v>
      </c>
      <c r="S18" s="33">
        <v>263.82</v>
      </c>
      <c r="T18" s="33">
        <v>237.91</v>
      </c>
      <c r="U18" s="33">
        <v>297.09</v>
      </c>
      <c r="V18" s="33">
        <v>278.94</v>
      </c>
      <c r="W18" s="33">
        <v>314.75</v>
      </c>
      <c r="X18" s="33">
        <v>415.5</v>
      </c>
      <c r="Y18" s="33">
        <v>371.27</v>
      </c>
      <c r="Z18" s="33">
        <v>323.25</v>
      </c>
      <c r="AA18" s="33">
        <v>364.57</v>
      </c>
      <c r="AB18" s="33">
        <v>304.24</v>
      </c>
      <c r="AC18" s="33">
        <v>299.51</v>
      </c>
      <c r="AD18" s="33">
        <v>327.14</v>
      </c>
      <c r="AE18" s="33">
        <v>318.21</v>
      </c>
      <c r="AF18" s="33">
        <v>260.21</v>
      </c>
      <c r="AG18" s="33">
        <v>259.88</v>
      </c>
      <c r="AH18" s="33">
        <v>331.4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1991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6">
        <f>0.00+110.00</f>
        <v>110</v>
      </c>
      <c r="AG19" s="33">
        <v>53</v>
      </c>
      <c r="AH19" s="33">
        <v>56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1992</v>
      </c>
      <c r="E20" s="32"/>
      <c r="F20" s="32"/>
      <c r="G20" s="32"/>
      <c r="H20" s="33">
        <v>704.71</v>
      </c>
      <c r="I20" s="33">
        <v>632.34</v>
      </c>
      <c r="J20" s="33">
        <v>452.44</v>
      </c>
      <c r="K20" s="33">
        <v>644.02</v>
      </c>
      <c r="L20" s="33">
        <v>656.82</v>
      </c>
      <c r="M20" s="33">
        <v>662.79</v>
      </c>
      <c r="N20" s="33">
        <v>630.09</v>
      </c>
      <c r="O20" s="33">
        <v>537.95</v>
      </c>
      <c r="P20" s="33">
        <v>700.19</v>
      </c>
      <c r="Q20" s="33">
        <v>622.44</v>
      </c>
      <c r="R20" s="33">
        <v>461.06</v>
      </c>
      <c r="S20" s="33">
        <v>448.35</v>
      </c>
      <c r="T20" s="33">
        <v>418.84</v>
      </c>
      <c r="U20" s="33">
        <v>500.15</v>
      </c>
      <c r="V20" s="33">
        <v>477.16</v>
      </c>
      <c r="W20" s="33">
        <v>518.94</v>
      </c>
      <c r="X20" s="33">
        <v>517.77</v>
      </c>
      <c r="Y20" s="33">
        <v>535.82</v>
      </c>
      <c r="Z20" s="33">
        <v>483.89</v>
      </c>
      <c r="AA20" s="33">
        <v>526.3</v>
      </c>
      <c r="AB20" s="33">
        <v>488.23</v>
      </c>
      <c r="AC20" s="33">
        <v>411.23</v>
      </c>
      <c r="AD20" s="33">
        <v>447.29</v>
      </c>
      <c r="AE20" s="33">
        <v>529.23</v>
      </c>
      <c r="AF20" s="33">
        <v>473.83</v>
      </c>
      <c r="AG20" s="33">
        <v>559.02</v>
      </c>
      <c r="AH20" s="33">
        <v>621.6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1993</v>
      </c>
      <c r="E21" s="32"/>
      <c r="F21" s="32"/>
      <c r="G21" s="32"/>
      <c r="H21" s="33">
        <v>43.84</v>
      </c>
      <c r="I21" s="33">
        <v>38.53</v>
      </c>
      <c r="J21" s="33">
        <v>43.84</v>
      </c>
      <c r="K21" s="33">
        <v>39.86</v>
      </c>
      <c r="L21" s="33">
        <v>38.53</v>
      </c>
      <c r="M21" s="33">
        <v>55.08</v>
      </c>
      <c r="N21" s="33">
        <v>38.53</v>
      </c>
      <c r="O21" s="33">
        <v>39.86</v>
      </c>
      <c r="P21" s="33">
        <v>42.51</v>
      </c>
      <c r="Q21" s="33">
        <v>38.53</v>
      </c>
      <c r="R21" s="33">
        <v>38.53</v>
      </c>
      <c r="S21" s="33">
        <v>42.51</v>
      </c>
      <c r="T21" s="33">
        <v>39.86</v>
      </c>
      <c r="U21" s="33">
        <v>42.51</v>
      </c>
      <c r="V21" s="33">
        <v>39.86</v>
      </c>
      <c r="W21" s="33">
        <v>38.53</v>
      </c>
      <c r="X21" s="33">
        <v>44.95</v>
      </c>
      <c r="Y21" s="33">
        <v>49.6</v>
      </c>
      <c r="Z21" s="33">
        <v>44.95</v>
      </c>
      <c r="AA21" s="33">
        <v>48.05</v>
      </c>
      <c r="AB21" s="33">
        <v>49.6</v>
      </c>
      <c r="AC21" s="33">
        <v>44.95</v>
      </c>
      <c r="AD21" s="33">
        <v>46.5</v>
      </c>
      <c r="AE21" s="33">
        <v>46.5</v>
      </c>
      <c r="AF21" s="33">
        <v>49.6</v>
      </c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1994</v>
      </c>
      <c r="E22" s="32"/>
      <c r="F22" s="32"/>
      <c r="G22" s="32"/>
      <c r="H22" s="33">
        <v>191.81</v>
      </c>
      <c r="I22" s="33">
        <v>342.03</v>
      </c>
      <c r="J22" s="33">
        <v>409.29</v>
      </c>
      <c r="K22" s="33">
        <v>205.17</v>
      </c>
      <c r="L22" s="33">
        <v>64.25</v>
      </c>
      <c r="M22" s="33">
        <v>61.41</v>
      </c>
      <c r="N22" s="33">
        <v>43.99</v>
      </c>
      <c r="O22" s="33">
        <v>42.43</v>
      </c>
      <c r="P22" s="33">
        <v>45.54</v>
      </c>
      <c r="Q22" s="33">
        <v>41.33</v>
      </c>
      <c r="R22" s="33">
        <v>137.3</v>
      </c>
      <c r="S22" s="33">
        <v>152.64</v>
      </c>
      <c r="T22" s="33">
        <v>115.04</v>
      </c>
      <c r="U22" s="33">
        <v>264.23</v>
      </c>
      <c r="V22" s="33">
        <v>237.3</v>
      </c>
      <c r="W22" s="33">
        <v>237.32</v>
      </c>
      <c r="X22" s="33">
        <v>207.3</v>
      </c>
      <c r="Y22" s="33">
        <v>144.89</v>
      </c>
      <c r="Z22" s="33">
        <v>126.3</v>
      </c>
      <c r="AA22" s="33">
        <v>214.31</v>
      </c>
      <c r="AB22" s="33">
        <v>118.96</v>
      </c>
      <c r="AC22" s="33">
        <v>122.03</v>
      </c>
      <c r="AD22" s="33">
        <v>132.99</v>
      </c>
      <c r="AE22" s="33">
        <v>173.12</v>
      </c>
      <c r="AF22" s="33">
        <v>199.84</v>
      </c>
      <c r="AG22" s="33">
        <v>391.43</v>
      </c>
      <c r="AH22" s="33">
        <v>436.32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1995</v>
      </c>
      <c r="E23" s="32"/>
      <c r="F23" s="32"/>
      <c r="G23" s="32"/>
      <c r="H23" s="33">
        <v>175.82</v>
      </c>
      <c r="I23" s="33">
        <v>196.83</v>
      </c>
      <c r="J23" s="33">
        <v>190.46</v>
      </c>
      <c r="K23" s="33">
        <v>119.08</v>
      </c>
      <c r="L23" s="33">
        <v>169.32</v>
      </c>
      <c r="M23" s="33">
        <v>217.49</v>
      </c>
      <c r="N23" s="33">
        <v>245.83</v>
      </c>
      <c r="O23" s="33">
        <v>244.26</v>
      </c>
      <c r="P23" s="33">
        <v>253.45</v>
      </c>
      <c r="Q23" s="33">
        <v>196.53</v>
      </c>
      <c r="R23" s="33">
        <v>168.77</v>
      </c>
      <c r="S23" s="33">
        <v>274.91</v>
      </c>
      <c r="T23" s="33">
        <v>225.17</v>
      </c>
      <c r="U23" s="33">
        <v>292.45</v>
      </c>
      <c r="V23" s="33">
        <v>223.04</v>
      </c>
      <c r="W23" s="33">
        <v>204.39</v>
      </c>
      <c r="X23" s="33">
        <v>194.94</v>
      </c>
      <c r="Y23" s="33">
        <v>266.02</v>
      </c>
      <c r="Z23" s="33">
        <v>257.34</v>
      </c>
      <c r="AA23" s="33">
        <v>303.37</v>
      </c>
      <c r="AB23" s="33">
        <v>291.96</v>
      </c>
      <c r="AC23" s="33">
        <v>243.38</v>
      </c>
      <c r="AD23" s="33">
        <v>217.4</v>
      </c>
      <c r="AE23" s="33">
        <v>262.43</v>
      </c>
      <c r="AF23" s="33">
        <v>257.58</v>
      </c>
      <c r="AG23" s="33">
        <v>326.7</v>
      </c>
      <c r="AH23" s="33">
        <v>294.65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1996</v>
      </c>
      <c r="E24" s="32"/>
      <c r="F24" s="32"/>
      <c r="G24" s="32"/>
      <c r="H24" s="33">
        <v>171.22</v>
      </c>
      <c r="I24" s="33">
        <v>212.93</v>
      </c>
      <c r="J24" s="33">
        <v>255.6</v>
      </c>
      <c r="K24" s="33">
        <v>228.34</v>
      </c>
      <c r="L24" s="33">
        <v>229.78</v>
      </c>
      <c r="M24" s="33">
        <v>342.14</v>
      </c>
      <c r="N24" s="33">
        <v>367.4</v>
      </c>
      <c r="O24" s="33">
        <v>315.74</v>
      </c>
      <c r="P24" s="33">
        <v>386.04</v>
      </c>
      <c r="Q24" s="33">
        <v>323.63</v>
      </c>
      <c r="R24" s="33">
        <v>256.88</v>
      </c>
      <c r="S24" s="33">
        <v>255.91</v>
      </c>
      <c r="T24" s="33">
        <v>166.18</v>
      </c>
      <c r="U24" s="33">
        <v>235.67</v>
      </c>
      <c r="V24" s="33">
        <v>249.21</v>
      </c>
      <c r="W24" s="33">
        <v>240.35</v>
      </c>
      <c r="X24" s="33">
        <v>333.19</v>
      </c>
      <c r="Y24" s="33">
        <v>442.92</v>
      </c>
      <c r="Z24" s="33">
        <v>445.12</v>
      </c>
      <c r="AA24" s="33">
        <v>494.23</v>
      </c>
      <c r="AB24" s="33">
        <v>468.86</v>
      </c>
      <c r="AC24" s="33">
        <v>408.8</v>
      </c>
      <c r="AD24" s="33">
        <v>275.28</v>
      </c>
      <c r="AE24" s="33">
        <v>220.23</v>
      </c>
      <c r="AF24" s="33">
        <v>303.21</v>
      </c>
      <c r="AG24" s="33">
        <v>384.68</v>
      </c>
      <c r="AH24" s="33">
        <v>325.23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1997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6">
        <f>0.00+101.00</f>
        <v>101</v>
      </c>
      <c r="AG25" s="33">
        <v>134</v>
      </c>
      <c r="AH25" s="33">
        <v>90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1998</v>
      </c>
      <c r="E26" s="32"/>
      <c r="F26" s="32"/>
      <c r="G26" s="32"/>
      <c r="H26" s="33">
        <v>132.34</v>
      </c>
      <c r="I26" s="33">
        <v>116.49</v>
      </c>
      <c r="J26" s="33">
        <v>117.78</v>
      </c>
      <c r="K26" s="33">
        <v>117.24</v>
      </c>
      <c r="L26" s="33">
        <v>140.79</v>
      </c>
      <c r="M26" s="33">
        <v>193.22</v>
      </c>
      <c r="N26" s="33">
        <v>196.38</v>
      </c>
      <c r="O26" s="33">
        <v>192.8</v>
      </c>
      <c r="P26" s="33">
        <v>183</v>
      </c>
      <c r="Q26" s="33">
        <v>192.03</v>
      </c>
      <c r="R26" s="33">
        <v>139.21</v>
      </c>
      <c r="S26" s="33">
        <v>126.68</v>
      </c>
      <c r="T26" s="33">
        <v>140.77</v>
      </c>
      <c r="U26" s="33">
        <v>164.9</v>
      </c>
      <c r="V26" s="33">
        <v>147.85</v>
      </c>
      <c r="W26" s="33">
        <v>150.55</v>
      </c>
      <c r="X26" s="33">
        <v>176.11</v>
      </c>
      <c r="Y26" s="33">
        <v>222.7</v>
      </c>
      <c r="Z26" s="33">
        <v>210.24</v>
      </c>
      <c r="AA26" s="33">
        <v>199.62</v>
      </c>
      <c r="AB26" s="33">
        <v>201.17</v>
      </c>
      <c r="AC26" s="33">
        <v>193.58</v>
      </c>
      <c r="AD26" s="33">
        <v>152.68</v>
      </c>
      <c r="AE26" s="33">
        <v>142.77</v>
      </c>
      <c r="AF26" s="33">
        <v>164.12</v>
      </c>
      <c r="AG26" s="33">
        <v>173.41</v>
      </c>
      <c r="AH26" s="33">
        <v>154.09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1999</v>
      </c>
      <c r="E27" s="32"/>
      <c r="F27" s="32"/>
      <c r="G27" s="32"/>
      <c r="H27" s="33">
        <v>293.24</v>
      </c>
      <c r="I27" s="33">
        <v>281.4</v>
      </c>
      <c r="J27" s="33">
        <v>344.08</v>
      </c>
      <c r="K27" s="33">
        <v>224.61</v>
      </c>
      <c r="L27" s="33">
        <v>211.89</v>
      </c>
      <c r="M27" s="33">
        <v>319.21</v>
      </c>
      <c r="N27" s="33">
        <v>348.54</v>
      </c>
      <c r="O27" s="33">
        <v>277.3</v>
      </c>
      <c r="P27" s="33">
        <v>288.06</v>
      </c>
      <c r="Q27" s="33">
        <v>249.24</v>
      </c>
      <c r="R27" s="33">
        <v>196.31</v>
      </c>
      <c r="S27" s="33">
        <v>281.09</v>
      </c>
      <c r="T27" s="33">
        <v>303.95</v>
      </c>
      <c r="U27" s="33">
        <v>390.89</v>
      </c>
      <c r="V27" s="33">
        <v>397.54</v>
      </c>
      <c r="W27" s="33">
        <v>430.28</v>
      </c>
      <c r="X27" s="33">
        <v>386.77</v>
      </c>
      <c r="Y27" s="33">
        <v>403.17</v>
      </c>
      <c r="Z27" s="33">
        <v>421.88</v>
      </c>
      <c r="AA27" s="33">
        <v>631.63</v>
      </c>
      <c r="AB27" s="33">
        <v>583</v>
      </c>
      <c r="AC27" s="33">
        <v>449.52</v>
      </c>
      <c r="AD27" s="33">
        <v>307.45</v>
      </c>
      <c r="AE27" s="33">
        <v>317.72</v>
      </c>
      <c r="AF27" s="33">
        <v>282.54</v>
      </c>
      <c r="AG27" s="33">
        <v>401.56</v>
      </c>
      <c r="AH27" s="33">
        <v>412.7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2000</v>
      </c>
      <c r="E28" s="32"/>
      <c r="F28" s="32"/>
      <c r="G28" s="32"/>
      <c r="H28" s="33">
        <v>159</v>
      </c>
      <c r="I28" s="33">
        <v>140</v>
      </c>
      <c r="J28" s="33">
        <v>141</v>
      </c>
      <c r="K28" s="33">
        <v>138</v>
      </c>
      <c r="L28" s="33">
        <v>173</v>
      </c>
      <c r="M28" s="33">
        <v>197</v>
      </c>
      <c r="N28" s="33">
        <v>194</v>
      </c>
      <c r="O28" s="33">
        <v>195</v>
      </c>
      <c r="P28" s="33">
        <v>206</v>
      </c>
      <c r="Q28" s="33">
        <v>174</v>
      </c>
      <c r="R28" s="33">
        <v>158</v>
      </c>
      <c r="S28" s="33">
        <v>162</v>
      </c>
      <c r="T28" s="33">
        <v>152</v>
      </c>
      <c r="U28" s="33">
        <v>209</v>
      </c>
      <c r="V28" s="33">
        <v>156</v>
      </c>
      <c r="W28" s="33">
        <v>165</v>
      </c>
      <c r="X28" s="33">
        <v>175</v>
      </c>
      <c r="Y28" s="33">
        <v>227</v>
      </c>
      <c r="Z28" s="33">
        <v>211</v>
      </c>
      <c r="AA28" s="33">
        <v>255</v>
      </c>
      <c r="AB28" s="33">
        <v>224</v>
      </c>
      <c r="AC28" s="33">
        <v>192</v>
      </c>
      <c r="AD28" s="33">
        <v>180</v>
      </c>
      <c r="AE28" s="33">
        <v>129</v>
      </c>
      <c r="AF28" s="33">
        <v>107</v>
      </c>
      <c r="AG28" s="33">
        <v>186</v>
      </c>
      <c r="AH28" s="33">
        <v>77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2001</v>
      </c>
      <c r="E29" s="32"/>
      <c r="F29" s="32"/>
      <c r="G29" s="32"/>
      <c r="H29" s="33">
        <v>50</v>
      </c>
      <c r="I29" s="33">
        <v>73</v>
      </c>
      <c r="J29" s="33">
        <v>101</v>
      </c>
      <c r="K29" s="33">
        <v>59</v>
      </c>
      <c r="L29" s="33">
        <v>71</v>
      </c>
      <c r="M29" s="33">
        <v>89</v>
      </c>
      <c r="N29" s="33">
        <v>93</v>
      </c>
      <c r="O29" s="33">
        <v>88</v>
      </c>
      <c r="P29" s="33">
        <v>94</v>
      </c>
      <c r="Q29" s="33">
        <v>79</v>
      </c>
      <c r="R29" s="33">
        <v>53</v>
      </c>
      <c r="S29" s="33">
        <v>95</v>
      </c>
      <c r="T29" s="33">
        <v>118</v>
      </c>
      <c r="U29" s="36">
        <f>156.08+0.00</f>
        <v>156.08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2002</v>
      </c>
      <c r="E30" s="32"/>
      <c r="F30" s="32"/>
      <c r="G30" s="32"/>
      <c r="H30" s="32"/>
      <c r="I30" s="32"/>
      <c r="J30" s="32"/>
      <c r="K30" s="33">
        <v>48.21</v>
      </c>
      <c r="L30" s="33">
        <v>171.12</v>
      </c>
      <c r="M30" s="33">
        <v>272.56</v>
      </c>
      <c r="N30" s="33">
        <v>401.35</v>
      </c>
      <c r="O30" s="33">
        <v>41.2</v>
      </c>
      <c r="P30" s="33">
        <v>44.42</v>
      </c>
      <c r="Q30" s="33">
        <v>40.32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2003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6">
        <f>55.00+55.00</f>
        <v>110</v>
      </c>
      <c r="Q31" s="33">
        <v>81</v>
      </c>
      <c r="R31" s="33">
        <v>50</v>
      </c>
      <c r="S31" s="33">
        <v>49</v>
      </c>
      <c r="T31" s="33">
        <v>44</v>
      </c>
      <c r="U31" s="33">
        <v>71</v>
      </c>
      <c r="V31" s="33">
        <v>42</v>
      </c>
      <c r="W31" s="33">
        <v>47</v>
      </c>
      <c r="X31" s="33">
        <v>68</v>
      </c>
      <c r="Y31" s="33">
        <v>92</v>
      </c>
      <c r="Z31" s="33">
        <v>102</v>
      </c>
      <c r="AA31" s="33">
        <v>120</v>
      </c>
      <c r="AB31" s="33">
        <v>110</v>
      </c>
      <c r="AC31" s="33">
        <v>96</v>
      </c>
      <c r="AD31" s="33">
        <v>125</v>
      </c>
      <c r="AE31" s="33">
        <v>122</v>
      </c>
      <c r="AF31" s="33">
        <v>139</v>
      </c>
      <c r="AG31" s="33">
        <v>155</v>
      </c>
      <c r="AH31" s="33">
        <v>156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2004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6">
        <f>0.00+150.00</f>
        <v>150</v>
      </c>
      <c r="R32" s="33">
        <v>39</v>
      </c>
      <c r="S32" s="33">
        <v>54</v>
      </c>
      <c r="T32" s="36">
        <f>56.00+0.00+19.78</f>
        <v>75.78</v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2005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6">
        <f>55.00+55.00</f>
        <v>110</v>
      </c>
      <c r="Q33" s="33">
        <v>82</v>
      </c>
      <c r="R33" s="33">
        <v>54.37</v>
      </c>
      <c r="S33" s="33">
        <v>66.57</v>
      </c>
      <c r="T33" s="33">
        <v>56.05</v>
      </c>
      <c r="U33" s="33">
        <v>69.26</v>
      </c>
      <c r="V33" s="33">
        <v>54.8</v>
      </c>
      <c r="W33" s="36">
        <f>79.09+0.00+7.16</f>
        <v>86.25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2006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6">
        <f>0.00+1665.10</f>
        <v>1665.1</v>
      </c>
      <c r="W34" s="33">
        <v>48.87</v>
      </c>
      <c r="X34" s="33">
        <v>64.14</v>
      </c>
      <c r="Y34" s="33">
        <v>87.77</v>
      </c>
      <c r="Z34" s="33">
        <v>84.46</v>
      </c>
      <c r="AA34" s="33">
        <v>102.25</v>
      </c>
      <c r="AB34" s="33">
        <v>161.18</v>
      </c>
      <c r="AC34" s="33">
        <v>176.95</v>
      </c>
      <c r="AD34" s="32"/>
      <c r="AE34" s="32"/>
      <c r="AF34" s="32"/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2007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6">
        <f>0.00+133.91</f>
        <v>133.91</v>
      </c>
      <c r="Q35" s="33">
        <v>69.54</v>
      </c>
      <c r="R35" s="33">
        <v>47.97</v>
      </c>
      <c r="S35" s="33">
        <v>49.81</v>
      </c>
      <c r="T35" s="36">
        <f>16.32+0.00</f>
        <v>16.32</v>
      </c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4">
        <f>SUM(E35:AI35)</f>
      </c>
      <c r="AK35" s="35"/>
    </row>
    <row r="36" ht="12.75" customHeight="1" spans="2:37" x14ac:dyDescent="0.25"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40"/>
    </row>
    <row r="37" ht="12.75" customHeight="1" spans="2:37" x14ac:dyDescent="0.25">
      <c r="B37" s="20" t="s">
        <v>85</v>
      </c>
      <c r="C37" s="21"/>
      <c r="D37" s="21"/>
      <c r="E37" s="22">
        <f>SUM(E13:E35)</f>
      </c>
      <c r="F37" s="22">
        <f>SUM(F13:F35)</f>
      </c>
      <c r="G37" s="22">
        <f>SUM(G13:G35)</f>
      </c>
      <c r="H37" s="22">
        <f>SUM(H13:H35)</f>
      </c>
      <c r="I37" s="22">
        <f>SUM(I13:I35)</f>
      </c>
      <c r="J37" s="22">
        <f>SUM(J13:J35)</f>
      </c>
      <c r="K37" s="22">
        <f>SUM(K13:K35)</f>
      </c>
      <c r="L37" s="22">
        <f>SUM(L13:L35)</f>
      </c>
      <c r="M37" s="22">
        <f>SUM(M13:M35)</f>
      </c>
      <c r="N37" s="22">
        <f>SUM(N13:N35)</f>
      </c>
      <c r="O37" s="22">
        <f>SUM(O13:O35)</f>
      </c>
      <c r="P37" s="22">
        <f>SUM(P13:P35)</f>
      </c>
      <c r="Q37" s="22">
        <f>SUM(Q13:Q35)</f>
      </c>
      <c r="R37" s="22">
        <f>SUM(R13:R35)</f>
      </c>
      <c r="S37" s="22">
        <f>SUM(S13:S35)</f>
      </c>
      <c r="T37" s="22">
        <f>SUM(T13:T35)</f>
      </c>
      <c r="U37" s="22">
        <f>SUM(U13:U35)</f>
      </c>
      <c r="V37" s="22">
        <f>SUM(V13:V35)</f>
      </c>
      <c r="W37" s="22">
        <f>SUM(W13:W35)</f>
      </c>
      <c r="X37" s="22">
        <f>SUM(X13:X35)</f>
      </c>
      <c r="Y37" s="22">
        <f>SUM(Y13:Y35)</f>
      </c>
      <c r="Z37" s="22">
        <f>SUM(Z13:Z35)</f>
      </c>
      <c r="AA37" s="22">
        <f>SUM(AA13:AA35)</f>
      </c>
      <c r="AB37" s="22">
        <f>SUM(AB13:AB35)</f>
      </c>
      <c r="AC37" s="22">
        <f>SUM(AC13:AC35)</f>
      </c>
      <c r="AD37" s="22">
        <f>SUM(AD13:AD35)</f>
      </c>
      <c r="AE37" s="22">
        <f>SUM(AE13:AE35)</f>
      </c>
      <c r="AF37" s="22">
        <f>SUM(AF13:AF35)</f>
      </c>
      <c r="AG37" s="22">
        <f>SUM(AG13:AG35)</f>
      </c>
      <c r="AH37" s="22">
        <f>SUM(AH13:AH35)</f>
      </c>
      <c r="AI37" s="22">
        <f>SUM(AI13:AI35)</f>
      </c>
      <c r="AJ37" s="22">
        <f>SUM(AJ13:AJ35)</f>
      </c>
      <c r="AK37" s="23"/>
    </row>
    <row r="39" ht="12.75" customHeight="1" spans="2:37" x14ac:dyDescent="0.25">
      <c r="B39" s="26" t="s">
        <v>43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9"/>
    </row>
    <row r="40" ht="12.75" customHeight="1" spans="2:37" x14ac:dyDescent="0.25"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40"/>
    </row>
    <row r="41" ht="12.75" customHeight="1" spans="2:37" x14ac:dyDescent="0.25">
      <c r="B41" s="20" t="s">
        <v>89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3"/>
    </row>
    <row r="43" ht="12.75" customHeight="1" spans="2:37" x14ac:dyDescent="0.25">
      <c r="B43" s="26" t="s">
        <v>44</v>
      </c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9"/>
    </row>
    <row r="44" ht="12.75" customHeight="1" spans="2:37" x14ac:dyDescent="0.25">
      <c r="B44" s="37"/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40"/>
    </row>
    <row r="45" ht="12.75" customHeight="1" spans="2:37" x14ac:dyDescent="0.25">
      <c r="B45" s="20" t="s">
        <v>90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3"/>
    </row>
    <row r="48" ht="12.75" customHeight="1" spans="2:37" x14ac:dyDescent="0.25">
      <c r="B48" s="11" t="s">
        <v>40</v>
      </c>
      <c r="C48" s="12"/>
      <c r="D48" s="13"/>
      <c r="E48" s="14" t="s">
        <v>7</v>
      </c>
      <c r="F48" s="14" t="s">
        <v>8</v>
      </c>
      <c r="G48" s="14" t="s">
        <v>9</v>
      </c>
      <c r="H48" s="14" t="s">
        <v>10</v>
      </c>
      <c r="I48" s="14" t="s">
        <v>11</v>
      </c>
      <c r="J48" s="14" t="s">
        <v>12</v>
      </c>
      <c r="K48" s="14" t="s">
        <v>13</v>
      </c>
      <c r="L48" s="14" t="s">
        <v>14</v>
      </c>
      <c r="M48" s="14" t="s">
        <v>15</v>
      </c>
      <c r="N48" s="14" t="s">
        <v>16</v>
      </c>
      <c r="O48" s="14" t="s">
        <v>17</v>
      </c>
      <c r="P48" s="14" t="s">
        <v>18</v>
      </c>
      <c r="Q48" s="14" t="s">
        <v>19</v>
      </c>
      <c r="R48" s="14" t="s">
        <v>20</v>
      </c>
      <c r="S48" s="14" t="s">
        <v>21</v>
      </c>
      <c r="T48" s="14" t="s">
        <v>22</v>
      </c>
      <c r="U48" s="14" t="s">
        <v>23</v>
      </c>
      <c r="V48" s="14" t="s">
        <v>24</v>
      </c>
      <c r="W48" s="14" t="s">
        <v>25</v>
      </c>
      <c r="X48" s="14" t="s">
        <v>26</v>
      </c>
      <c r="Y48" s="14" t="s">
        <v>27</v>
      </c>
      <c r="Z48" s="14" t="s">
        <v>28</v>
      </c>
      <c r="AA48" s="14" t="s">
        <v>29</v>
      </c>
      <c r="AB48" s="14" t="s">
        <v>30</v>
      </c>
      <c r="AC48" s="14" t="s">
        <v>31</v>
      </c>
      <c r="AD48" s="14" t="s">
        <v>32</v>
      </c>
      <c r="AE48" s="14" t="s">
        <v>33</v>
      </c>
      <c r="AF48" s="14" t="s">
        <v>34</v>
      </c>
      <c r="AG48" s="14" t="s">
        <v>35</v>
      </c>
      <c r="AH48" s="14" t="s">
        <v>36</v>
      </c>
      <c r="AI48" s="14" t="s">
        <v>37</v>
      </c>
      <c r="AJ48" s="14" t="s">
        <v>38</v>
      </c>
      <c r="AK48" s="15"/>
    </row>
    <row r="49" ht="12.75" customHeight="1" spans="2:37" x14ac:dyDescent="0.25">
      <c r="B49" s="16" t="s">
        <v>41</v>
      </c>
      <c r="C49" s="17"/>
      <c r="D49" s="17"/>
      <c r="E49" s="18">
        <f>E10</f>
      </c>
      <c r="F49" s="18">
        <f>F10</f>
      </c>
      <c r="G49" s="18">
        <f>G10</f>
      </c>
      <c r="H49" s="18">
        <f>H10</f>
      </c>
      <c r="I49" s="18">
        <f>I10</f>
      </c>
      <c r="J49" s="18">
        <f>J10</f>
      </c>
      <c r="K49" s="18">
        <f>K10</f>
      </c>
      <c r="L49" s="18">
        <f>L10</f>
      </c>
      <c r="M49" s="18">
        <f>M10</f>
      </c>
      <c r="N49" s="18">
        <f>N10</f>
      </c>
      <c r="O49" s="18">
        <f>O10</f>
      </c>
      <c r="P49" s="18">
        <f>P10</f>
      </c>
      <c r="Q49" s="18">
        <f>Q10</f>
      </c>
      <c r="R49" s="18">
        <f>R10</f>
      </c>
      <c r="S49" s="18">
        <f>S10</f>
      </c>
      <c r="T49" s="18">
        <f>T10</f>
      </c>
      <c r="U49" s="18">
        <f>U10</f>
      </c>
      <c r="V49" s="18">
        <f>V10</f>
      </c>
      <c r="W49" s="18">
        <f>W10</f>
      </c>
      <c r="X49" s="18">
        <f>X10</f>
      </c>
      <c r="Y49" s="18">
        <f>Y10</f>
      </c>
      <c r="Z49" s="18">
        <f>Z10</f>
      </c>
      <c r="AA49" s="18">
        <f>AA10</f>
      </c>
      <c r="AB49" s="18">
        <f>AB10</f>
      </c>
      <c r="AC49" s="18">
        <f>AC10</f>
      </c>
      <c r="AD49" s="18">
        <f>AD10</f>
      </c>
      <c r="AE49" s="18">
        <f>AE10</f>
      </c>
      <c r="AF49" s="18">
        <f>AF10</f>
      </c>
      <c r="AG49" s="18">
        <f>AG10</f>
      </c>
      <c r="AH49" s="18">
        <f>AH10</f>
      </c>
      <c r="AI49" s="18">
        <f>AI10</f>
      </c>
      <c r="AJ49" s="18">
        <f>AJ10</f>
      </c>
      <c r="AK49" s="19"/>
    </row>
    <row r="50" ht="12.75" customHeight="1" spans="2:37" x14ac:dyDescent="0.25">
      <c r="B50" s="16" t="s">
        <v>42</v>
      </c>
      <c r="C50" s="17"/>
      <c r="D50" s="17"/>
      <c r="E50" s="18">
        <f>E37</f>
      </c>
      <c r="F50" s="18">
        <f>F37</f>
      </c>
      <c r="G50" s="18">
        <f>G37</f>
      </c>
      <c r="H50" s="18">
        <f>H37</f>
      </c>
      <c r="I50" s="18">
        <f>I37</f>
      </c>
      <c r="J50" s="18">
        <f>J37</f>
      </c>
      <c r="K50" s="18">
        <f>K37</f>
      </c>
      <c r="L50" s="18">
        <f>L37</f>
      </c>
      <c r="M50" s="18">
        <f>M37</f>
      </c>
      <c r="N50" s="18">
        <f>N37</f>
      </c>
      <c r="O50" s="18">
        <f>O37</f>
      </c>
      <c r="P50" s="18">
        <f>P37</f>
      </c>
      <c r="Q50" s="18">
        <f>Q37</f>
      </c>
      <c r="R50" s="18">
        <f>R37</f>
      </c>
      <c r="S50" s="18">
        <f>S37</f>
      </c>
      <c r="T50" s="18">
        <f>T37</f>
      </c>
      <c r="U50" s="18">
        <f>U37</f>
      </c>
      <c r="V50" s="18">
        <f>V37</f>
      </c>
      <c r="W50" s="18">
        <f>W37</f>
      </c>
      <c r="X50" s="18">
        <f>X37</f>
      </c>
      <c r="Y50" s="18">
        <f>Y37</f>
      </c>
      <c r="Z50" s="18">
        <f>Z37</f>
      </c>
      <c r="AA50" s="18">
        <f>AA37</f>
      </c>
      <c r="AB50" s="18">
        <f>AB37</f>
      </c>
      <c r="AC50" s="18">
        <f>AC37</f>
      </c>
      <c r="AD50" s="18">
        <f>AD37</f>
      </c>
      <c r="AE50" s="18">
        <f>AE37</f>
      </c>
      <c r="AF50" s="18">
        <f>AF37</f>
      </c>
      <c r="AG50" s="18">
        <f>AG37</f>
      </c>
      <c r="AH50" s="18">
        <f>AH37</f>
      </c>
      <c r="AI50" s="18">
        <f>AI37</f>
      </c>
      <c r="AJ50" s="18">
        <f>AJ37</f>
      </c>
      <c r="AK50" s="19"/>
    </row>
    <row r="51" ht="12.75" customHeight="1" spans="2:37" x14ac:dyDescent="0.25">
      <c r="B51" s="16" t="s">
        <v>43</v>
      </c>
      <c r="C51" s="17"/>
      <c r="D51" s="17"/>
      <c r="E51" s="18">
        <f>E41</f>
      </c>
      <c r="F51" s="18">
        <f>F41</f>
      </c>
      <c r="G51" s="18">
        <f>G41</f>
      </c>
      <c r="H51" s="18">
        <f>H41</f>
      </c>
      <c r="I51" s="18">
        <f>I41</f>
      </c>
      <c r="J51" s="18">
        <f>J41</f>
      </c>
      <c r="K51" s="18">
        <f>K41</f>
      </c>
      <c r="L51" s="18">
        <f>L41</f>
      </c>
      <c r="M51" s="18">
        <f>M41</f>
      </c>
      <c r="N51" s="18">
        <f>N41</f>
      </c>
      <c r="O51" s="18">
        <f>O41</f>
      </c>
      <c r="P51" s="18">
        <f>P41</f>
      </c>
      <c r="Q51" s="18">
        <f>Q41</f>
      </c>
      <c r="R51" s="18">
        <f>R41</f>
      </c>
      <c r="S51" s="18">
        <f>S41</f>
      </c>
      <c r="T51" s="18">
        <f>T41</f>
      </c>
      <c r="U51" s="18">
        <f>U41</f>
      </c>
      <c r="V51" s="18">
        <f>V41</f>
      </c>
      <c r="W51" s="18">
        <f>W41</f>
      </c>
      <c r="X51" s="18">
        <f>X41</f>
      </c>
      <c r="Y51" s="18">
        <f>Y41</f>
      </c>
      <c r="Z51" s="18">
        <f>Z41</f>
      </c>
      <c r="AA51" s="18">
        <f>AA41</f>
      </c>
      <c r="AB51" s="18">
        <f>AB41</f>
      </c>
      <c r="AC51" s="18">
        <f>AC41</f>
      </c>
      <c r="AD51" s="18">
        <f>AD41</f>
      </c>
      <c r="AE51" s="18">
        <f>AE41</f>
      </c>
      <c r="AF51" s="18">
        <f>AF41</f>
      </c>
      <c r="AG51" s="18">
        <f>AG41</f>
      </c>
      <c r="AH51" s="18">
        <f>AH41</f>
      </c>
      <c r="AI51" s="18">
        <f>AI41</f>
      </c>
      <c r="AJ51" s="18">
        <f>AJ41</f>
      </c>
      <c r="AK51" s="19"/>
    </row>
    <row r="52" ht="12.75" customHeight="1" spans="2:37" x14ac:dyDescent="0.25">
      <c r="B52" s="16" t="s">
        <v>44</v>
      </c>
      <c r="C52" s="17"/>
      <c r="D52" s="17"/>
      <c r="E52" s="18">
        <f>E45</f>
      </c>
      <c r="F52" s="18">
        <f>F45</f>
      </c>
      <c r="G52" s="18">
        <f>G45</f>
      </c>
      <c r="H52" s="18">
        <f>H45</f>
      </c>
      <c r="I52" s="18">
        <f>I45</f>
      </c>
      <c r="J52" s="18">
        <f>J45</f>
      </c>
      <c r="K52" s="18">
        <f>K45</f>
      </c>
      <c r="L52" s="18">
        <f>L45</f>
      </c>
      <c r="M52" s="18">
        <f>M45</f>
      </c>
      <c r="N52" s="18">
        <f>N45</f>
      </c>
      <c r="O52" s="18">
        <f>O45</f>
      </c>
      <c r="P52" s="18">
        <f>P45</f>
      </c>
      <c r="Q52" s="18">
        <f>Q45</f>
      </c>
      <c r="R52" s="18">
        <f>R45</f>
      </c>
      <c r="S52" s="18">
        <f>S45</f>
      </c>
      <c r="T52" s="18">
        <f>T45</f>
      </c>
      <c r="U52" s="18">
        <f>U45</f>
      </c>
      <c r="V52" s="18">
        <f>V45</f>
      </c>
      <c r="W52" s="18">
        <f>W45</f>
      </c>
      <c r="X52" s="18">
        <f>X45</f>
      </c>
      <c r="Y52" s="18">
        <f>Y45</f>
      </c>
      <c r="Z52" s="18">
        <f>Z45</f>
      </c>
      <c r="AA52" s="18">
        <f>AA45</f>
      </c>
      <c r="AB52" s="18">
        <f>AB45</f>
      </c>
      <c r="AC52" s="18">
        <f>AC45</f>
      </c>
      <c r="AD52" s="18">
        <f>AD45</f>
      </c>
      <c r="AE52" s="18">
        <f>AE45</f>
      </c>
      <c r="AF52" s="18">
        <f>AF45</f>
      </c>
      <c r="AG52" s="18">
        <f>AG45</f>
      </c>
      <c r="AH52" s="18">
        <f>AH45</f>
      </c>
      <c r="AI52" s="18">
        <f>AI45</f>
      </c>
      <c r="AJ52" s="18">
        <f>AJ45</f>
      </c>
      <c r="AK52" s="19"/>
    </row>
    <row r="53" ht="12.75" customHeight="1" spans="2:37" x14ac:dyDescent="0.25">
      <c r="B53" s="20" t="s">
        <v>45</v>
      </c>
      <c r="C53" s="21"/>
      <c r="D53" s="21"/>
      <c r="E53" s="22">
        <f>E49+E50+E51+E52</f>
      </c>
      <c r="F53" s="22">
        <f>F49+F50+F51+F52</f>
      </c>
      <c r="G53" s="22">
        <f>G49+G50+G51+G52</f>
      </c>
      <c r="H53" s="22">
        <f>H49+H50+H51+H52</f>
      </c>
      <c r="I53" s="22">
        <f>I49+I50+I51+I52</f>
      </c>
      <c r="J53" s="22">
        <f>J49+J50+J51+J52</f>
      </c>
      <c r="K53" s="22">
        <f>K49+K50+K51+K52</f>
      </c>
      <c r="L53" s="22">
        <f>L49+L50+L51+L52</f>
      </c>
      <c r="M53" s="22">
        <f>M49+M50+M51+M52</f>
      </c>
      <c r="N53" s="22">
        <f>N49+N50+N51+N52</f>
      </c>
      <c r="O53" s="22">
        <f>O49+O50+O51+O52</f>
      </c>
      <c r="P53" s="22">
        <f>P49+P50+P51+P52</f>
      </c>
      <c r="Q53" s="22">
        <f>Q49+Q50+Q51+Q52</f>
      </c>
      <c r="R53" s="22">
        <f>R49+R50+R51+R52</f>
      </c>
      <c r="S53" s="22">
        <f>S49+S50+S51+S52</f>
      </c>
      <c r="T53" s="22">
        <f>T49+T50+T51+T52</f>
      </c>
      <c r="U53" s="22">
        <f>U49+U50+U51+U52</f>
      </c>
      <c r="V53" s="22">
        <f>V49+V50+V51+V52</f>
      </c>
      <c r="W53" s="22">
        <f>W49+W50+W51+W52</f>
      </c>
      <c r="X53" s="22">
        <f>X49+X50+X51+X52</f>
      </c>
      <c r="Y53" s="22">
        <f>Y49+Y50+Y51+Y52</f>
      </c>
      <c r="Z53" s="22">
        <f>Z49+Z50+Z51+Z52</f>
      </c>
      <c r="AA53" s="22">
        <f>AA49+AA50+AA51+AA52</f>
      </c>
      <c r="AB53" s="22">
        <f>AB49+AB50+AB51+AB52</f>
      </c>
      <c r="AC53" s="22">
        <f>AC49+AC50+AC51+AC52</f>
      </c>
      <c r="AD53" s="22">
        <f>AD49+AD50+AD51+AD52</f>
      </c>
      <c r="AE53" s="22">
        <f>AE49+AE50+AE51+AE52</f>
      </c>
      <c r="AF53" s="22">
        <f>AF49+AF50+AF51+AF52</f>
      </c>
      <c r="AG53" s="22">
        <f>AG49+AG50+AG51+AG52</f>
      </c>
      <c r="AH53" s="22">
        <f>AH49+AH50+AH51+AH52</f>
      </c>
      <c r="AI53" s="22">
        <f>AI49+AI50+AI51+AI52</f>
      </c>
      <c r="AJ53" s="22">
        <f>AJ49+AJ50+AJ51+AJ52</f>
      </c>
      <c r="AK53" s="23"/>
    </row>
    <row r="55" ht="12.75" customHeight="1" spans="2:37" x14ac:dyDescent="0.25">
      <c r="B55" s="11" t="s">
        <v>46</v>
      </c>
      <c r="C55" s="12"/>
      <c r="D55" s="13"/>
      <c r="E55" s="14" t="s">
        <v>7</v>
      </c>
      <c r="F55" s="14" t="s">
        <v>8</v>
      </c>
      <c r="G55" s="14" t="s">
        <v>9</v>
      </c>
      <c r="H55" s="14" t="s">
        <v>10</v>
      </c>
      <c r="I55" s="14" t="s">
        <v>11</v>
      </c>
      <c r="J55" s="14" t="s">
        <v>12</v>
      </c>
      <c r="K55" s="14" t="s">
        <v>13</v>
      </c>
      <c r="L55" s="14" t="s">
        <v>14</v>
      </c>
      <c r="M55" s="14" t="s">
        <v>15</v>
      </c>
      <c r="N55" s="14" t="s">
        <v>16</v>
      </c>
      <c r="O55" s="14" t="s">
        <v>17</v>
      </c>
      <c r="P55" s="14" t="s">
        <v>18</v>
      </c>
      <c r="Q55" s="14" t="s">
        <v>19</v>
      </c>
      <c r="R55" s="14" t="s">
        <v>20</v>
      </c>
      <c r="S55" s="14" t="s">
        <v>21</v>
      </c>
      <c r="T55" s="14" t="s">
        <v>22</v>
      </c>
      <c r="U55" s="14" t="s">
        <v>23</v>
      </c>
      <c r="V55" s="14" t="s">
        <v>24</v>
      </c>
      <c r="W55" s="14" t="s">
        <v>25</v>
      </c>
      <c r="X55" s="14" t="s">
        <v>26</v>
      </c>
      <c r="Y55" s="14" t="s">
        <v>27</v>
      </c>
      <c r="Z55" s="14" t="s">
        <v>28</v>
      </c>
      <c r="AA55" s="14" t="s">
        <v>29</v>
      </c>
      <c r="AB55" s="14" t="s">
        <v>30</v>
      </c>
      <c r="AC55" s="14" t="s">
        <v>31</v>
      </c>
      <c r="AD55" s="14" t="s">
        <v>32</v>
      </c>
      <c r="AE55" s="14" t="s">
        <v>33</v>
      </c>
      <c r="AF55" s="14" t="s">
        <v>34</v>
      </c>
      <c r="AG55" s="14" t="s">
        <v>35</v>
      </c>
      <c r="AH55" s="14" t="s">
        <v>36</v>
      </c>
      <c r="AI55" s="14" t="s">
        <v>37</v>
      </c>
      <c r="AJ55" s="14" t="s">
        <v>38</v>
      </c>
      <c r="AK55" s="15"/>
    </row>
    <row r="56" ht="12.75" customHeight="1" spans="2:37" x14ac:dyDescent="0.25">
      <c r="B56" s="16" t="s">
        <v>41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9"/>
    </row>
    <row r="57" ht="12.75" customHeight="1" spans="2:37" x14ac:dyDescent="0.25">
      <c r="B57" s="16" t="s">
        <v>42</v>
      </c>
      <c r="C57" s="17"/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9"/>
    </row>
    <row r="58" ht="12.75" customHeight="1" spans="2:37" x14ac:dyDescent="0.25">
      <c r="B58" s="16" t="s">
        <v>43</v>
      </c>
      <c r="C58" s="17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9"/>
    </row>
    <row r="59" ht="12.75" customHeight="1" spans="2:37" x14ac:dyDescent="0.25">
      <c r="B59" s="16" t="s">
        <v>44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</row>
    <row r="60" ht="12.75" customHeight="1" spans="2:37" x14ac:dyDescent="0.25">
      <c r="B60" s="20" t="s">
        <v>45</v>
      </c>
      <c r="C60" s="21"/>
      <c r="D60" s="21"/>
      <c r="E60" s="22">
        <f>E56+E57+E58+E59</f>
      </c>
      <c r="F60" s="22">
        <f>F56+F57+F58+F59</f>
      </c>
      <c r="G60" s="22">
        <f>G56+G57+G58+G59</f>
      </c>
      <c r="H60" s="22">
        <f>H56+H57+H58+H59</f>
      </c>
      <c r="I60" s="22">
        <f>I56+I57+I58+I59</f>
      </c>
      <c r="J60" s="22">
        <f>J56+J57+J58+J59</f>
      </c>
      <c r="K60" s="22">
        <f>K56+K57+K58+K59</f>
      </c>
      <c r="L60" s="22">
        <f>L56+L57+L58+L59</f>
      </c>
      <c r="M60" s="22">
        <f>M56+M57+M58+M59</f>
      </c>
      <c r="N60" s="22">
        <f>N56+N57+N58+N59</f>
      </c>
      <c r="O60" s="22">
        <f>O56+O57+O58+O59</f>
      </c>
      <c r="P60" s="22">
        <f>P56+P57+P58+P59</f>
      </c>
      <c r="Q60" s="22">
        <f>Q56+Q57+Q58+Q59</f>
      </c>
      <c r="R60" s="22">
        <f>R56+R57+R58+R59</f>
      </c>
      <c r="S60" s="22">
        <f>S56+S57+S58+S59</f>
      </c>
      <c r="T60" s="22">
        <f>T56+T57+T58+T59</f>
      </c>
      <c r="U60" s="22">
        <f>U56+U57+U58+U59</f>
      </c>
      <c r="V60" s="22">
        <f>V56+V57+V58+V59</f>
      </c>
      <c r="W60" s="22">
        <f>W56+W57+W58+W59</f>
      </c>
      <c r="X60" s="22">
        <f>X56+X57+X58+X59</f>
      </c>
      <c r="Y60" s="22">
        <f>Y56+Y57+Y58+Y59</f>
      </c>
      <c r="Z60" s="22">
        <f>Z56+Z57+Z58+Z59</f>
      </c>
      <c r="AA60" s="22">
        <f>AA56+AA57+AA58+AA59</f>
      </c>
      <c r="AB60" s="22">
        <f>AB56+AB57+AB58+AB59</f>
      </c>
      <c r="AC60" s="22">
        <f>AC56+AC57+AC58+AC59</f>
      </c>
      <c r="AD60" s="22">
        <f>AD56+AD57+AD58+AD59</f>
      </c>
      <c r="AE60" s="22">
        <f>AE56+AE57+AE58+AE59</f>
      </c>
      <c r="AF60" s="22">
        <f>AF56+AF57+AF58+AF59</f>
      </c>
      <c r="AG60" s="22">
        <f>AG56+AG57+AG58+AG59</f>
      </c>
      <c r="AH60" s="22">
        <f>AH56+AH57+AH58+AH59</f>
      </c>
      <c r="AI60" s="22">
        <f>AI56+AI57+AI58+AI59</f>
      </c>
      <c r="AJ60" s="22">
        <f>AJ56+AJ57+AJ58+AJ59</f>
      </c>
      <c r="AK60" s="23"/>
    </row>
    <row r="62" ht="12.75" customHeight="1" spans="2:37" x14ac:dyDescent="0.25">
      <c r="B62" s="11" t="s">
        <v>47</v>
      </c>
      <c r="C62" s="12"/>
      <c r="D62" s="13"/>
      <c r="E62" s="14" t="s">
        <v>7</v>
      </c>
      <c r="F62" s="14" t="s">
        <v>8</v>
      </c>
      <c r="G62" s="14" t="s">
        <v>9</v>
      </c>
      <c r="H62" s="14" t="s">
        <v>10</v>
      </c>
      <c r="I62" s="14" t="s">
        <v>11</v>
      </c>
      <c r="J62" s="14" t="s">
        <v>12</v>
      </c>
      <c r="K62" s="14" t="s">
        <v>13</v>
      </c>
      <c r="L62" s="14" t="s">
        <v>14</v>
      </c>
      <c r="M62" s="14" t="s">
        <v>15</v>
      </c>
      <c r="N62" s="14" t="s">
        <v>16</v>
      </c>
      <c r="O62" s="14" t="s">
        <v>17</v>
      </c>
      <c r="P62" s="14" t="s">
        <v>18</v>
      </c>
      <c r="Q62" s="14" t="s">
        <v>19</v>
      </c>
      <c r="R62" s="14" t="s">
        <v>20</v>
      </c>
      <c r="S62" s="14" t="s">
        <v>21</v>
      </c>
      <c r="T62" s="14" t="s">
        <v>22</v>
      </c>
      <c r="U62" s="14" t="s">
        <v>23</v>
      </c>
      <c r="V62" s="14" t="s">
        <v>24</v>
      </c>
      <c r="W62" s="14" t="s">
        <v>25</v>
      </c>
      <c r="X62" s="14" t="s">
        <v>26</v>
      </c>
      <c r="Y62" s="14" t="s">
        <v>27</v>
      </c>
      <c r="Z62" s="14" t="s">
        <v>28</v>
      </c>
      <c r="AA62" s="14" t="s">
        <v>29</v>
      </c>
      <c r="AB62" s="14" t="s">
        <v>30</v>
      </c>
      <c r="AC62" s="14" t="s">
        <v>31</v>
      </c>
      <c r="AD62" s="14" t="s">
        <v>32</v>
      </c>
      <c r="AE62" s="14" t="s">
        <v>33</v>
      </c>
      <c r="AF62" s="14" t="s">
        <v>34</v>
      </c>
      <c r="AG62" s="14" t="s">
        <v>35</v>
      </c>
      <c r="AH62" s="14" t="s">
        <v>36</v>
      </c>
      <c r="AI62" s="14" t="s">
        <v>37</v>
      </c>
      <c r="AJ62" s="14" t="s">
        <v>38</v>
      </c>
      <c r="AK62" s="15"/>
    </row>
    <row r="63" ht="12.75" customHeight="1" spans="2:37" x14ac:dyDescent="0.25">
      <c r="B63" s="16" t="s">
        <v>41</v>
      </c>
      <c r="C63" s="17"/>
      <c r="D63" s="17"/>
      <c r="E63" s="24">
        <f>E56-E49</f>
      </c>
      <c r="F63" s="24">
        <f>F56-F49</f>
      </c>
      <c r="G63" s="24">
        <f>G56-G49</f>
      </c>
      <c r="H63" s="24">
        <f>H56-H49</f>
      </c>
      <c r="I63" s="24">
        <f>I56-I49</f>
      </c>
      <c r="J63" s="24">
        <f>J56-J49</f>
      </c>
      <c r="K63" s="24">
        <f>K56-K49</f>
      </c>
      <c r="L63" s="24">
        <f>L56-L49</f>
      </c>
      <c r="M63" s="24">
        <f>M56-M49</f>
      </c>
      <c r="N63" s="24">
        <f>N56-N49</f>
      </c>
      <c r="O63" s="24">
        <f>O56-O49</f>
      </c>
      <c r="P63" s="24">
        <f>P56-P49</f>
      </c>
      <c r="Q63" s="24">
        <f>Q56-Q49</f>
      </c>
      <c r="R63" s="24">
        <f>R56-R49</f>
      </c>
      <c r="S63" s="24">
        <f>S56-S49</f>
      </c>
      <c r="T63" s="24">
        <f>T56-T49</f>
      </c>
      <c r="U63" s="24">
        <f>U56-U49</f>
      </c>
      <c r="V63" s="24">
        <f>V56-V49</f>
      </c>
      <c r="W63" s="24">
        <f>W56-W49</f>
      </c>
      <c r="X63" s="24">
        <f>X56-X49</f>
      </c>
      <c r="Y63" s="24">
        <f>Y56-Y49</f>
      </c>
      <c r="Z63" s="24">
        <f>Z56-Z49</f>
      </c>
      <c r="AA63" s="24">
        <f>AA56-AA49</f>
      </c>
      <c r="AB63" s="24">
        <f>AB56-AB49</f>
      </c>
      <c r="AC63" s="24">
        <f>AC56-AC49</f>
      </c>
      <c r="AD63" s="24">
        <f>AD56-AD49</f>
      </c>
      <c r="AE63" s="24">
        <f>AE56-AE49</f>
      </c>
      <c r="AF63" s="24">
        <f>AF56-AF49</f>
      </c>
      <c r="AG63" s="24">
        <f>AG56-AG49</f>
      </c>
      <c r="AH63" s="24">
        <f>AH56-AH49</f>
      </c>
      <c r="AI63" s="24">
        <f>AI56-AI49</f>
      </c>
      <c r="AJ63" s="24">
        <f>AJ56-AJ49</f>
      </c>
      <c r="AK63" s="19"/>
    </row>
    <row r="64" ht="12.75" customHeight="1" spans="2:37" x14ac:dyDescent="0.25">
      <c r="B64" s="16" t="s">
        <v>42</v>
      </c>
      <c r="C64" s="17"/>
      <c r="D64" s="17"/>
      <c r="E64" s="24">
        <f>E57-E50</f>
      </c>
      <c r="F64" s="24">
        <f>F57-F50</f>
      </c>
      <c r="G64" s="24">
        <f>G57-G50</f>
      </c>
      <c r="H64" s="24">
        <f>H57-H50</f>
      </c>
      <c r="I64" s="24">
        <f>I57-I50</f>
      </c>
      <c r="J64" s="24">
        <f>J57-J50</f>
      </c>
      <c r="K64" s="24">
        <f>K57-K50</f>
      </c>
      <c r="L64" s="24">
        <f>L57-L50</f>
      </c>
      <c r="M64" s="24">
        <f>M57-M50</f>
      </c>
      <c r="N64" s="24">
        <f>N57-N50</f>
      </c>
      <c r="O64" s="24">
        <f>O57-O50</f>
      </c>
      <c r="P64" s="24">
        <f>P57-P50</f>
      </c>
      <c r="Q64" s="24">
        <f>Q57-Q50</f>
      </c>
      <c r="R64" s="24">
        <f>R57-R50</f>
      </c>
      <c r="S64" s="24">
        <f>S57-S50</f>
      </c>
      <c r="T64" s="24">
        <f>T57-T50</f>
      </c>
      <c r="U64" s="24">
        <f>U57-U50</f>
      </c>
      <c r="V64" s="24">
        <f>V57-V50</f>
      </c>
      <c r="W64" s="24">
        <f>W57-W50</f>
      </c>
      <c r="X64" s="24">
        <f>X57-X50</f>
      </c>
      <c r="Y64" s="24">
        <f>Y57-Y50</f>
      </c>
      <c r="Z64" s="24">
        <f>Z57-Z50</f>
      </c>
      <c r="AA64" s="24">
        <f>AA57-AA50</f>
      </c>
      <c r="AB64" s="24">
        <f>AB57-AB50</f>
      </c>
      <c r="AC64" s="24">
        <f>AC57-AC50</f>
      </c>
      <c r="AD64" s="24">
        <f>AD57-AD50</f>
      </c>
      <c r="AE64" s="24">
        <f>AE57-AE50</f>
      </c>
      <c r="AF64" s="24">
        <f>AF57-AF50</f>
      </c>
      <c r="AG64" s="24">
        <f>AG57-AG50</f>
      </c>
      <c r="AH64" s="24">
        <f>AH57-AH50</f>
      </c>
      <c r="AI64" s="24">
        <f>AI57-AI50</f>
      </c>
      <c r="AJ64" s="24">
        <f>AJ57-AJ50</f>
      </c>
      <c r="AK64" s="19"/>
    </row>
    <row r="65" ht="12.75" customHeight="1" spans="2:37" x14ac:dyDescent="0.25">
      <c r="B65" s="16" t="s">
        <v>43</v>
      </c>
      <c r="C65" s="17"/>
      <c r="D65" s="17"/>
      <c r="E65" s="24">
        <f>E58-E51</f>
      </c>
      <c r="F65" s="24">
        <f>F58-F51</f>
      </c>
      <c r="G65" s="24">
        <f>G58-G51</f>
      </c>
      <c r="H65" s="24">
        <f>H58-H51</f>
      </c>
      <c r="I65" s="24">
        <f>I58-I51</f>
      </c>
      <c r="J65" s="24">
        <f>J58-J51</f>
      </c>
      <c r="K65" s="24">
        <f>K58-K51</f>
      </c>
      <c r="L65" s="24">
        <f>L58-L51</f>
      </c>
      <c r="M65" s="24">
        <f>M58-M51</f>
      </c>
      <c r="N65" s="24">
        <f>N58-N51</f>
      </c>
      <c r="O65" s="24">
        <f>O58-O51</f>
      </c>
      <c r="P65" s="24">
        <f>P58-P51</f>
      </c>
      <c r="Q65" s="24">
        <f>Q58-Q51</f>
      </c>
      <c r="R65" s="24">
        <f>R58-R51</f>
      </c>
      <c r="S65" s="24">
        <f>S58-S51</f>
      </c>
      <c r="T65" s="24">
        <f>T58-T51</f>
      </c>
      <c r="U65" s="24">
        <f>U58-U51</f>
      </c>
      <c r="V65" s="24">
        <f>V58-V51</f>
      </c>
      <c r="W65" s="24">
        <f>W58-W51</f>
      </c>
      <c r="X65" s="24">
        <f>X58-X51</f>
      </c>
      <c r="Y65" s="24">
        <f>Y58-Y51</f>
      </c>
      <c r="Z65" s="24">
        <f>Z58-Z51</f>
      </c>
      <c r="AA65" s="24">
        <f>AA58-AA51</f>
      </c>
      <c r="AB65" s="24">
        <f>AB58-AB51</f>
      </c>
      <c r="AC65" s="24">
        <f>AC58-AC51</f>
      </c>
      <c r="AD65" s="24">
        <f>AD58-AD51</f>
      </c>
      <c r="AE65" s="24">
        <f>AE58-AE51</f>
      </c>
      <c r="AF65" s="24">
        <f>AF58-AF51</f>
      </c>
      <c r="AG65" s="24">
        <f>AG58-AG51</f>
      </c>
      <c r="AH65" s="24">
        <f>AH58-AH51</f>
      </c>
      <c r="AI65" s="24">
        <f>AI58-AI51</f>
      </c>
      <c r="AJ65" s="24">
        <f>AJ58-AJ51</f>
      </c>
      <c r="AK65" s="19"/>
    </row>
    <row r="66" ht="12.75" customHeight="1" spans="2:37" x14ac:dyDescent="0.25">
      <c r="B66" s="16" t="s">
        <v>44</v>
      </c>
      <c r="C66" s="17"/>
      <c r="D66" s="17"/>
      <c r="E66" s="24">
        <f>E59-E52</f>
      </c>
      <c r="F66" s="24">
        <f>F59-F52</f>
      </c>
      <c r="G66" s="24">
        <f>G59-G52</f>
      </c>
      <c r="H66" s="24">
        <f>H59-H52</f>
      </c>
      <c r="I66" s="24">
        <f>I59-I52</f>
      </c>
      <c r="J66" s="24">
        <f>J59-J52</f>
      </c>
      <c r="K66" s="24">
        <f>K59-K52</f>
      </c>
      <c r="L66" s="24">
        <f>L59-L52</f>
      </c>
      <c r="M66" s="24">
        <f>M59-M52</f>
      </c>
      <c r="N66" s="24">
        <f>N59-N52</f>
      </c>
      <c r="O66" s="24">
        <f>O59-O52</f>
      </c>
      <c r="P66" s="24">
        <f>P59-P52</f>
      </c>
      <c r="Q66" s="24">
        <f>Q59-Q52</f>
      </c>
      <c r="R66" s="24">
        <f>R59-R52</f>
      </c>
      <c r="S66" s="24">
        <f>S59-S52</f>
      </c>
      <c r="T66" s="24">
        <f>T59-T52</f>
      </c>
      <c r="U66" s="24">
        <f>U59-U52</f>
      </c>
      <c r="V66" s="24">
        <f>V59-V52</f>
      </c>
      <c r="W66" s="24">
        <f>W59-W52</f>
      </c>
      <c r="X66" s="24">
        <f>X59-X52</f>
      </c>
      <c r="Y66" s="24">
        <f>Y59-Y52</f>
      </c>
      <c r="Z66" s="24">
        <f>Z59-Z52</f>
      </c>
      <c r="AA66" s="24">
        <f>AA59-AA52</f>
      </c>
      <c r="AB66" s="24">
        <f>AB59-AB52</f>
      </c>
      <c r="AC66" s="24">
        <f>AC59-AC52</f>
      </c>
      <c r="AD66" s="24">
        <f>AD59-AD52</f>
      </c>
      <c r="AE66" s="24">
        <f>AE59-AE52</f>
      </c>
      <c r="AF66" s="24">
        <f>AF59-AF52</f>
      </c>
      <c r="AG66" s="24">
        <f>AG59-AG52</f>
      </c>
      <c r="AH66" s="24">
        <f>AH59-AH52</f>
      </c>
      <c r="AI66" s="24">
        <f>AI59-AI52</f>
      </c>
      <c r="AJ66" s="24">
        <f>AJ59-AJ52</f>
      </c>
      <c r="AK66" s="19"/>
    </row>
    <row r="67" ht="12.75" customHeight="1" spans="2:37" x14ac:dyDescent="0.25">
      <c r="B67" s="20" t="s">
        <v>45</v>
      </c>
      <c r="C67" s="21"/>
      <c r="D67" s="21"/>
      <c r="E67" s="25">
        <f>E63+E64+E65+E66</f>
      </c>
      <c r="F67" s="25">
        <f>F63+F64+F65+F66</f>
      </c>
      <c r="G67" s="25">
        <f>G63+G64+G65+G66</f>
      </c>
      <c r="H67" s="25">
        <f>H63+H64+H65+H66</f>
      </c>
      <c r="I67" s="25">
        <f>I63+I64+I65+I66</f>
      </c>
      <c r="J67" s="25">
        <f>J63+J64+J65+J66</f>
      </c>
      <c r="K67" s="25">
        <f>K63+K64+K65+K66</f>
      </c>
      <c r="L67" s="25">
        <f>L63+L64+L65+L66</f>
      </c>
      <c r="M67" s="25">
        <f>M63+M64+M65+M66</f>
      </c>
      <c r="N67" s="25">
        <f>N63+N64+N65+N66</f>
      </c>
      <c r="O67" s="25">
        <f>O63+O64+O65+O66</f>
      </c>
      <c r="P67" s="25">
        <f>P63+P64+P65+P66</f>
      </c>
      <c r="Q67" s="25">
        <f>Q63+Q64+Q65+Q66</f>
      </c>
      <c r="R67" s="25">
        <f>R63+R64+R65+R66</f>
      </c>
      <c r="S67" s="25">
        <f>S63+S64+S65+S66</f>
      </c>
      <c r="T67" s="25">
        <f>T63+T64+T65+T66</f>
      </c>
      <c r="U67" s="25">
        <f>U63+U64+U65+U66</f>
      </c>
      <c r="V67" s="25">
        <f>V63+V64+V65+V66</f>
      </c>
      <c r="W67" s="25">
        <f>W63+W64+W65+W66</f>
      </c>
      <c r="X67" s="25">
        <f>X63+X64+X65+X66</f>
      </c>
      <c r="Y67" s="25">
        <f>Y63+Y64+Y65+Y66</f>
      </c>
      <c r="Z67" s="25">
        <f>Z63+Z64+Z65+Z66</f>
      </c>
      <c r="AA67" s="25">
        <f>AA63+AA64+AA65+AA66</f>
      </c>
      <c r="AB67" s="25">
        <f>AB63+AB64+AB65+AB66</f>
      </c>
      <c r="AC67" s="25">
        <f>AC63+AC64+AC65+AC66</f>
      </c>
      <c r="AD67" s="25">
        <f>AD63+AD64+AD65+AD66</f>
      </c>
      <c r="AE67" s="25">
        <f>AE63+AE64+AE65+AE66</f>
      </c>
      <c r="AF67" s="25">
        <f>AF63+AF64+AF65+AF66</f>
      </c>
      <c r="AG67" s="25">
        <f>AG63+AG64+AG65+AG66</f>
      </c>
      <c r="AH67" s="25">
        <f>AH63+AH64+AH65+AH66</f>
      </c>
      <c r="AI67" s="25">
        <f>AI63+AI64+AI65+AI66</f>
      </c>
      <c r="AJ67" s="25">
        <f>AJ63+AJ64+AJ65+AJ66</f>
      </c>
      <c r="AK6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1984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2008</v>
      </c>
      <c r="K8" s="44" t="s">
        <v>2009</v>
      </c>
      <c r="L8" s="44" t="s">
        <v>2010</v>
      </c>
      <c r="M8" s="44" t="s">
        <v>2011</v>
      </c>
      <c r="N8" s="44" t="s">
        <v>2012</v>
      </c>
      <c r="O8" s="44" t="s">
        <v>2013</v>
      </c>
      <c r="P8" s="44" t="s">
        <v>2014</v>
      </c>
      <c r="Q8" s="44" t="s">
        <v>2015</v>
      </c>
      <c r="R8" s="44" t="s">
        <v>2016</v>
      </c>
      <c r="S8" s="44" t="s">
        <v>2017</v>
      </c>
      <c r="T8" s="44" t="s">
        <v>2018</v>
      </c>
      <c r="U8" s="44" t="s">
        <v>2019</v>
      </c>
      <c r="V8" s="44" t="s">
        <v>2020</v>
      </c>
      <c r="W8" s="44" t="s">
        <v>2021</v>
      </c>
      <c r="X8" s="44" t="s">
        <v>2022</v>
      </c>
      <c r="Y8" s="44" t="s">
        <v>2023</v>
      </c>
      <c r="Z8" s="44" t="s">
        <v>2024</v>
      </c>
      <c r="AA8" s="44" t="s">
        <v>2025</v>
      </c>
      <c r="AB8" s="44" t="s">
        <v>2026</v>
      </c>
      <c r="AC8" s="44" t="s">
        <v>2027</v>
      </c>
      <c r="AD8" s="44" t="s">
        <v>2028</v>
      </c>
      <c r="AE8" s="44" t="s">
        <v>2029</v>
      </c>
      <c r="AF8" s="44" t="s">
        <v>2030</v>
      </c>
      <c r="AG8" s="44" t="s">
        <v>2031</v>
      </c>
      <c r="AH8" s="44" t="s">
        <v>2032</v>
      </c>
      <c r="AI8" s="44" t="s">
        <v>2033</v>
      </c>
      <c r="AJ8" s="44" t="s">
        <v>2034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1984</v>
      </c>
      <c r="D14" s="50" t="s">
        <v>42</v>
      </c>
      <c r="E14" s="32" t="s">
        <v>3</v>
      </c>
      <c r="F14" s="32" t="s">
        <v>1985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3">
        <f>59.00+0.00</f>
        <v>59</v>
      </c>
      <c r="AI14" s="33">
        <v>44</v>
      </c>
      <c r="AJ14" s="33">
        <v>48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1984</v>
      </c>
      <c r="D15" s="50" t="s">
        <v>42</v>
      </c>
      <c r="E15" s="32" t="s">
        <v>3</v>
      </c>
      <c r="F15" s="32" t="s">
        <v>1986</v>
      </c>
      <c r="G15" s="32"/>
      <c r="H15" s="32"/>
      <c r="I15" s="32"/>
      <c r="J15" s="33">
        <v>198.41</v>
      </c>
      <c r="K15" s="33">
        <v>177.29</v>
      </c>
      <c r="L15" s="33">
        <v>183.28</v>
      </c>
      <c r="M15" s="33">
        <v>146.94</v>
      </c>
      <c r="N15" s="33">
        <v>101.1</v>
      </c>
      <c r="O15" s="33">
        <v>120.3</v>
      </c>
      <c r="P15" s="33">
        <v>41.3</v>
      </c>
      <c r="Q15" s="33">
        <v>39.86</v>
      </c>
      <c r="R15" s="33">
        <v>134.54</v>
      </c>
      <c r="S15" s="33">
        <v>122.14</v>
      </c>
      <c r="T15" s="33">
        <v>58.08</v>
      </c>
      <c r="U15" s="33">
        <v>196.92</v>
      </c>
      <c r="V15" s="33">
        <v>196.62</v>
      </c>
      <c r="W15" s="33">
        <v>232.32</v>
      </c>
      <c r="X15" s="33">
        <v>184.83</v>
      </c>
      <c r="Y15" s="33">
        <v>209.8</v>
      </c>
      <c r="Z15" s="33">
        <v>97.81</v>
      </c>
      <c r="AA15" s="33">
        <v>67.71</v>
      </c>
      <c r="AB15" s="33">
        <v>53.76</v>
      </c>
      <c r="AC15" s="33">
        <v>48.05</v>
      </c>
      <c r="AD15" s="33">
        <v>49.6</v>
      </c>
      <c r="AE15" s="33">
        <v>44.95</v>
      </c>
      <c r="AF15" s="33">
        <v>66.68</v>
      </c>
      <c r="AG15" s="33">
        <v>157.22</v>
      </c>
      <c r="AH15" s="33">
        <v>163.49</v>
      </c>
      <c r="AI15" s="33">
        <v>195.55</v>
      </c>
      <c r="AJ15" s="33">
        <v>240.22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1984</v>
      </c>
      <c r="D16" s="50" t="s">
        <v>42</v>
      </c>
      <c r="E16" s="32" t="s">
        <v>3</v>
      </c>
      <c r="F16" s="32" t="s">
        <v>1987</v>
      </c>
      <c r="G16" s="32"/>
      <c r="H16" s="32"/>
      <c r="I16" s="32"/>
      <c r="J16" s="33">
        <v>2306.54</v>
      </c>
      <c r="K16" s="33">
        <v>2793.4</v>
      </c>
      <c r="L16" s="33">
        <v>2536.09</v>
      </c>
      <c r="M16" s="33">
        <v>2431.93</v>
      </c>
      <c r="N16" s="33">
        <v>2360.72</v>
      </c>
      <c r="O16" s="33">
        <v>2889.39</v>
      </c>
      <c r="P16" s="33">
        <v>3068.83</v>
      </c>
      <c r="Q16" s="33">
        <v>3023.08</v>
      </c>
      <c r="R16" s="33">
        <v>3062.28</v>
      </c>
      <c r="S16" s="33">
        <v>2720.23</v>
      </c>
      <c r="T16" s="33">
        <v>2118.84</v>
      </c>
      <c r="U16" s="33">
        <v>2552.07</v>
      </c>
      <c r="V16" s="33">
        <v>2476.83</v>
      </c>
      <c r="W16" s="33">
        <v>3937.39</v>
      </c>
      <c r="X16" s="33">
        <v>3019.94</v>
      </c>
      <c r="Y16" s="33">
        <v>2997.8</v>
      </c>
      <c r="Z16" s="33">
        <v>2832.7</v>
      </c>
      <c r="AA16" s="33">
        <v>3266.45</v>
      </c>
      <c r="AB16" s="33">
        <v>3319.69</v>
      </c>
      <c r="AC16" s="33">
        <v>3550.92</v>
      </c>
      <c r="AD16" s="33">
        <v>3142.85</v>
      </c>
      <c r="AE16" s="33">
        <v>2565.21</v>
      </c>
      <c r="AF16" s="33">
        <v>1938.64</v>
      </c>
      <c r="AG16" s="33">
        <v>1917.06</v>
      </c>
      <c r="AH16" s="33">
        <v>2421.58</v>
      </c>
      <c r="AI16" s="33">
        <v>3841.51</v>
      </c>
      <c r="AJ16" s="33">
        <v>3435.95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1984</v>
      </c>
      <c r="D17" s="50" t="s">
        <v>42</v>
      </c>
      <c r="E17" s="32" t="s">
        <v>3</v>
      </c>
      <c r="F17" s="32" t="s">
        <v>1988</v>
      </c>
      <c r="G17" s="32"/>
      <c r="H17" s="32"/>
      <c r="I17" s="32"/>
      <c r="J17" s="33">
        <f>28.30+496.18</f>
        <v>524.48</v>
      </c>
      <c r="K17" s="33">
        <f>24.81+517.05</f>
        <v>541.8599999999999</v>
      </c>
      <c r="L17" s="33">
        <f>469.92+28.30</f>
        <v>498.22</v>
      </c>
      <c r="M17" s="33">
        <f>458.84+25.71</f>
        <v>484.54999999999995</v>
      </c>
      <c r="N17" s="33">
        <f>580.03+28.90</f>
        <v>608.93</v>
      </c>
      <c r="O17" s="33">
        <f>32.88+815.74</f>
        <v>848.62</v>
      </c>
      <c r="P17" s="33">
        <f>732.67+28.90</f>
        <v>761.5699999999999</v>
      </c>
      <c r="Q17" s="33">
        <f>29.89+656.85</f>
        <v>686.74</v>
      </c>
      <c r="R17" s="33">
        <f>722.77+31.89</f>
        <v>754.66</v>
      </c>
      <c r="S17" s="33">
        <f>28.90+596.14</f>
        <v>625.04</v>
      </c>
      <c r="T17" s="33">
        <f>385.79+23.98</f>
        <v>409.77000000000004</v>
      </c>
      <c r="U17" s="33">
        <f>31.89+537.46</f>
        <v>569.35</v>
      </c>
      <c r="V17" s="33">
        <f>29.89+523.12</f>
        <v>553.01</v>
      </c>
      <c r="W17" s="33">
        <f>31.89+671.07</f>
        <v>702.96</v>
      </c>
      <c r="X17" s="33">
        <f>29.89+521.09</f>
        <v>550.98</v>
      </c>
      <c r="Y17" s="33">
        <f>28.90+507.46</f>
        <v>536.36</v>
      </c>
      <c r="Z17" s="33">
        <f>619.93+28.90</f>
        <v>648.8299999999999</v>
      </c>
      <c r="AA17" s="33">
        <f>31.89+745.51</f>
        <v>777.4</v>
      </c>
      <c r="AB17" s="33">
        <f>28.90+713.41</f>
        <v>742.31</v>
      </c>
      <c r="AC17" s="33">
        <f>30.89+792.15</f>
        <v>823.04</v>
      </c>
      <c r="AD17" s="33">
        <f>31.89+735.73</f>
        <v>767.62</v>
      </c>
      <c r="AE17" s="33">
        <f>597.79+28.90</f>
        <v>626.6899999999999</v>
      </c>
      <c r="AF17" s="33">
        <f>437.37+25.58</f>
        <v>462.95</v>
      </c>
      <c r="AG17" s="33">
        <f>30.89+563.98</f>
        <v>594.87</v>
      </c>
      <c r="AH17" s="33">
        <f>30.89+608.27</f>
        <v>639.16</v>
      </c>
      <c r="AI17" s="33">
        <f>659.93+28.90</f>
        <v>688.8299999999999</v>
      </c>
      <c r="AJ17" s="33">
        <f>577.30+31.89</f>
        <v>609.1899999999999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1984</v>
      </c>
      <c r="D18" s="50" t="s">
        <v>42</v>
      </c>
      <c r="E18" s="32" t="s">
        <v>3</v>
      </c>
      <c r="F18" s="32" t="s">
        <v>1989</v>
      </c>
      <c r="G18" s="32"/>
      <c r="H18" s="32"/>
      <c r="I18" s="32"/>
      <c r="J18" s="33">
        <v>1127</v>
      </c>
      <c r="K18" s="33">
        <v>828</v>
      </c>
      <c r="L18" s="33">
        <v>981</v>
      </c>
      <c r="M18" s="33">
        <v>463</v>
      </c>
      <c r="N18" s="33">
        <v>463</v>
      </c>
      <c r="O18" s="33">
        <v>348</v>
      </c>
      <c r="P18" s="33">
        <v>358</v>
      </c>
      <c r="Q18" s="33">
        <v>213</v>
      </c>
      <c r="R18" s="33">
        <v>268</v>
      </c>
      <c r="S18" s="33">
        <v>316</v>
      </c>
      <c r="T18" s="33">
        <v>370</v>
      </c>
      <c r="U18" s="33">
        <v>1082</v>
      </c>
      <c r="V18" s="33">
        <v>995</v>
      </c>
      <c r="W18" s="33">
        <v>1007</v>
      </c>
      <c r="X18" s="33">
        <v>657</v>
      </c>
      <c r="Y18" s="33">
        <v>610</v>
      </c>
      <c r="Z18" s="33">
        <v>500</v>
      </c>
      <c r="AA18" s="33">
        <v>408</v>
      </c>
      <c r="AB18" s="33">
        <v>345</v>
      </c>
      <c r="AC18" s="33">
        <v>374</v>
      </c>
      <c r="AD18" s="33">
        <v>419</v>
      </c>
      <c r="AE18" s="33">
        <v>425</v>
      </c>
      <c r="AF18" s="33">
        <v>634</v>
      </c>
      <c r="AG18" s="33">
        <v>828</v>
      </c>
      <c r="AH18" s="33">
        <v>983</v>
      </c>
      <c r="AI18" s="33">
        <v>728</v>
      </c>
      <c r="AJ18" s="33">
        <v>719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1984</v>
      </c>
      <c r="D19" s="50" t="s">
        <v>42</v>
      </c>
      <c r="E19" s="32" t="s">
        <v>3</v>
      </c>
      <c r="F19" s="32" t="s">
        <v>1990</v>
      </c>
      <c r="G19" s="32"/>
      <c r="H19" s="32"/>
      <c r="I19" s="32"/>
      <c r="J19" s="33">
        <v>248.27</v>
      </c>
      <c r="K19" s="33">
        <v>201.76</v>
      </c>
      <c r="L19" s="33">
        <v>244.92</v>
      </c>
      <c r="M19" s="33">
        <v>235.28</v>
      </c>
      <c r="N19" s="33">
        <v>390.64</v>
      </c>
      <c r="O19" s="33">
        <v>474.1</v>
      </c>
      <c r="P19" s="33">
        <v>395.58</v>
      </c>
      <c r="Q19" s="33">
        <v>379.7</v>
      </c>
      <c r="R19" s="33">
        <v>314.41</v>
      </c>
      <c r="S19" s="33">
        <v>243.73</v>
      </c>
      <c r="T19" s="33">
        <v>261.58</v>
      </c>
      <c r="U19" s="33">
        <v>263.82</v>
      </c>
      <c r="V19" s="33">
        <v>237.91</v>
      </c>
      <c r="W19" s="33">
        <v>297.09</v>
      </c>
      <c r="X19" s="33">
        <v>278.94</v>
      </c>
      <c r="Y19" s="33">
        <v>314.75</v>
      </c>
      <c r="Z19" s="33">
        <v>415.5</v>
      </c>
      <c r="AA19" s="33">
        <v>371.27</v>
      </c>
      <c r="AB19" s="33">
        <v>323.25</v>
      </c>
      <c r="AC19" s="33">
        <v>364.57</v>
      </c>
      <c r="AD19" s="33">
        <v>304.24</v>
      </c>
      <c r="AE19" s="33">
        <v>299.51</v>
      </c>
      <c r="AF19" s="33">
        <v>327.14</v>
      </c>
      <c r="AG19" s="33">
        <v>318.21</v>
      </c>
      <c r="AH19" s="33">
        <v>260.21</v>
      </c>
      <c r="AI19" s="33">
        <v>259.88</v>
      </c>
      <c r="AJ19" s="33">
        <v>331.4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1984</v>
      </c>
      <c r="D20" s="50" t="s">
        <v>42</v>
      </c>
      <c r="E20" s="32" t="s">
        <v>3</v>
      </c>
      <c r="F20" s="32" t="s">
        <v>1991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3">
        <f>0.00+110.00</f>
        <v>110</v>
      </c>
      <c r="AI20" s="33">
        <v>53</v>
      </c>
      <c r="AJ20" s="33">
        <v>56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1984</v>
      </c>
      <c r="D21" s="50" t="s">
        <v>42</v>
      </c>
      <c r="E21" s="32" t="s">
        <v>3</v>
      </c>
      <c r="F21" s="32" t="s">
        <v>1992</v>
      </c>
      <c r="G21" s="32"/>
      <c r="H21" s="32"/>
      <c r="I21" s="32"/>
      <c r="J21" s="33">
        <v>704.71</v>
      </c>
      <c r="K21" s="33">
        <v>632.34</v>
      </c>
      <c r="L21" s="33">
        <v>452.44</v>
      </c>
      <c r="M21" s="33">
        <v>644.02</v>
      </c>
      <c r="N21" s="33">
        <v>656.82</v>
      </c>
      <c r="O21" s="33">
        <v>662.79</v>
      </c>
      <c r="P21" s="33">
        <v>630.09</v>
      </c>
      <c r="Q21" s="33">
        <v>537.95</v>
      </c>
      <c r="R21" s="33">
        <v>700.19</v>
      </c>
      <c r="S21" s="33">
        <v>622.44</v>
      </c>
      <c r="T21" s="33">
        <v>461.06</v>
      </c>
      <c r="U21" s="33">
        <v>448.35</v>
      </c>
      <c r="V21" s="33">
        <v>418.84</v>
      </c>
      <c r="W21" s="33">
        <v>500.15</v>
      </c>
      <c r="X21" s="33">
        <v>477.16</v>
      </c>
      <c r="Y21" s="33">
        <v>518.94</v>
      </c>
      <c r="Z21" s="33">
        <v>517.77</v>
      </c>
      <c r="AA21" s="33">
        <v>535.82</v>
      </c>
      <c r="AB21" s="33">
        <v>483.89</v>
      </c>
      <c r="AC21" s="33">
        <v>526.3</v>
      </c>
      <c r="AD21" s="33">
        <v>488.23</v>
      </c>
      <c r="AE21" s="33">
        <v>411.23</v>
      </c>
      <c r="AF21" s="33">
        <v>447.29</v>
      </c>
      <c r="AG21" s="33">
        <v>529.23</v>
      </c>
      <c r="AH21" s="33">
        <v>473.83</v>
      </c>
      <c r="AI21" s="33">
        <v>559.02</v>
      </c>
      <c r="AJ21" s="33">
        <v>621.6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1984</v>
      </c>
      <c r="D22" s="50" t="s">
        <v>42</v>
      </c>
      <c r="E22" s="32" t="s">
        <v>3</v>
      </c>
      <c r="F22" s="32" t="s">
        <v>1993</v>
      </c>
      <c r="G22" s="32"/>
      <c r="H22" s="32"/>
      <c r="I22" s="32"/>
      <c r="J22" s="33">
        <v>43.84</v>
      </c>
      <c r="K22" s="33">
        <v>38.53</v>
      </c>
      <c r="L22" s="33">
        <v>43.84</v>
      </c>
      <c r="M22" s="33">
        <v>39.86</v>
      </c>
      <c r="N22" s="33">
        <v>38.53</v>
      </c>
      <c r="O22" s="33">
        <v>55.08</v>
      </c>
      <c r="P22" s="33">
        <v>38.53</v>
      </c>
      <c r="Q22" s="33">
        <v>39.86</v>
      </c>
      <c r="R22" s="33">
        <v>42.51</v>
      </c>
      <c r="S22" s="33">
        <v>38.53</v>
      </c>
      <c r="T22" s="33">
        <v>38.53</v>
      </c>
      <c r="U22" s="33">
        <v>42.51</v>
      </c>
      <c r="V22" s="33">
        <v>39.86</v>
      </c>
      <c r="W22" s="33">
        <v>42.51</v>
      </c>
      <c r="X22" s="33">
        <v>39.86</v>
      </c>
      <c r="Y22" s="33">
        <v>38.53</v>
      </c>
      <c r="Z22" s="33">
        <v>44.95</v>
      </c>
      <c r="AA22" s="33">
        <v>49.6</v>
      </c>
      <c r="AB22" s="33">
        <v>44.95</v>
      </c>
      <c r="AC22" s="33">
        <v>48.05</v>
      </c>
      <c r="AD22" s="33">
        <v>49.6</v>
      </c>
      <c r="AE22" s="33">
        <v>44.95</v>
      </c>
      <c r="AF22" s="33">
        <v>46.5</v>
      </c>
      <c r="AG22" s="33">
        <v>46.5</v>
      </c>
      <c r="AH22" s="33">
        <v>49.6</v>
      </c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1984</v>
      </c>
      <c r="D23" s="50" t="s">
        <v>42</v>
      </c>
      <c r="E23" s="32" t="s">
        <v>3</v>
      </c>
      <c r="F23" s="32" t="s">
        <v>1994</v>
      </c>
      <c r="G23" s="32"/>
      <c r="H23" s="32"/>
      <c r="I23" s="32"/>
      <c r="J23" s="33">
        <v>191.81</v>
      </c>
      <c r="K23" s="33">
        <v>342.03</v>
      </c>
      <c r="L23" s="33">
        <v>409.29</v>
      </c>
      <c r="M23" s="33">
        <v>205.17</v>
      </c>
      <c r="N23" s="33">
        <v>64.25</v>
      </c>
      <c r="O23" s="33">
        <v>61.41</v>
      </c>
      <c r="P23" s="33">
        <v>43.99</v>
      </c>
      <c r="Q23" s="33">
        <v>42.43</v>
      </c>
      <c r="R23" s="33">
        <v>45.54</v>
      </c>
      <c r="S23" s="33">
        <v>41.33</v>
      </c>
      <c r="T23" s="33">
        <v>137.3</v>
      </c>
      <c r="U23" s="33">
        <v>152.64</v>
      </c>
      <c r="V23" s="33">
        <v>115.04</v>
      </c>
      <c r="W23" s="33">
        <v>264.23</v>
      </c>
      <c r="X23" s="33">
        <v>237.3</v>
      </c>
      <c r="Y23" s="33">
        <v>237.32</v>
      </c>
      <c r="Z23" s="33">
        <v>207.3</v>
      </c>
      <c r="AA23" s="33">
        <v>144.89</v>
      </c>
      <c r="AB23" s="33">
        <v>126.3</v>
      </c>
      <c r="AC23" s="33">
        <v>214.31</v>
      </c>
      <c r="AD23" s="33">
        <v>118.96</v>
      </c>
      <c r="AE23" s="33">
        <v>122.03</v>
      </c>
      <c r="AF23" s="33">
        <v>132.99</v>
      </c>
      <c r="AG23" s="33">
        <v>173.12</v>
      </c>
      <c r="AH23" s="33">
        <v>199.84</v>
      </c>
      <c r="AI23" s="33">
        <v>391.43</v>
      </c>
      <c r="AJ23" s="33">
        <v>436.32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1984</v>
      </c>
      <c r="D24" s="50" t="s">
        <v>42</v>
      </c>
      <c r="E24" s="32" t="s">
        <v>3</v>
      </c>
      <c r="F24" s="32" t="s">
        <v>1995</v>
      </c>
      <c r="G24" s="32"/>
      <c r="H24" s="32"/>
      <c r="I24" s="32"/>
      <c r="J24" s="33">
        <v>175.82</v>
      </c>
      <c r="K24" s="33">
        <v>196.83</v>
      </c>
      <c r="L24" s="33">
        <v>190.46</v>
      </c>
      <c r="M24" s="33">
        <v>119.08</v>
      </c>
      <c r="N24" s="33">
        <v>169.32</v>
      </c>
      <c r="O24" s="33">
        <v>217.49</v>
      </c>
      <c r="P24" s="33">
        <v>245.83</v>
      </c>
      <c r="Q24" s="33">
        <v>244.26</v>
      </c>
      <c r="R24" s="33">
        <v>253.45</v>
      </c>
      <c r="S24" s="33">
        <v>196.53</v>
      </c>
      <c r="T24" s="33">
        <v>168.77</v>
      </c>
      <c r="U24" s="33">
        <v>274.91</v>
      </c>
      <c r="V24" s="33">
        <v>225.17</v>
      </c>
      <c r="W24" s="33">
        <v>292.45</v>
      </c>
      <c r="X24" s="33">
        <v>223.04</v>
      </c>
      <c r="Y24" s="33">
        <v>204.39</v>
      </c>
      <c r="Z24" s="33">
        <v>194.94</v>
      </c>
      <c r="AA24" s="33">
        <v>266.02</v>
      </c>
      <c r="AB24" s="33">
        <v>257.34</v>
      </c>
      <c r="AC24" s="33">
        <v>303.37</v>
      </c>
      <c r="AD24" s="33">
        <v>291.96</v>
      </c>
      <c r="AE24" s="33">
        <v>243.38</v>
      </c>
      <c r="AF24" s="33">
        <v>217.4</v>
      </c>
      <c r="AG24" s="33">
        <v>262.43</v>
      </c>
      <c r="AH24" s="33">
        <v>257.58</v>
      </c>
      <c r="AI24" s="33">
        <v>326.7</v>
      </c>
      <c r="AJ24" s="33">
        <v>294.65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1984</v>
      </c>
      <c r="D25" s="50" t="s">
        <v>42</v>
      </c>
      <c r="E25" s="32" t="s">
        <v>3</v>
      </c>
      <c r="F25" s="32" t="s">
        <v>1996</v>
      </c>
      <c r="G25" s="32"/>
      <c r="H25" s="32"/>
      <c r="I25" s="32"/>
      <c r="J25" s="33">
        <v>171.22</v>
      </c>
      <c r="K25" s="33">
        <v>212.93</v>
      </c>
      <c r="L25" s="33">
        <v>255.6</v>
      </c>
      <c r="M25" s="33">
        <v>228.34</v>
      </c>
      <c r="N25" s="33">
        <v>229.78</v>
      </c>
      <c r="O25" s="33">
        <v>342.14</v>
      </c>
      <c r="P25" s="33">
        <v>367.4</v>
      </c>
      <c r="Q25" s="33">
        <v>315.74</v>
      </c>
      <c r="R25" s="33">
        <v>386.04</v>
      </c>
      <c r="S25" s="33">
        <v>323.63</v>
      </c>
      <c r="T25" s="33">
        <v>256.88</v>
      </c>
      <c r="U25" s="33">
        <v>255.91</v>
      </c>
      <c r="V25" s="33">
        <v>166.18</v>
      </c>
      <c r="W25" s="33">
        <v>235.67</v>
      </c>
      <c r="X25" s="33">
        <v>249.21</v>
      </c>
      <c r="Y25" s="33">
        <v>240.35</v>
      </c>
      <c r="Z25" s="33">
        <v>333.19</v>
      </c>
      <c r="AA25" s="33">
        <v>442.92</v>
      </c>
      <c r="AB25" s="33">
        <v>445.12</v>
      </c>
      <c r="AC25" s="33">
        <v>494.23</v>
      </c>
      <c r="AD25" s="33">
        <v>468.86</v>
      </c>
      <c r="AE25" s="33">
        <v>408.8</v>
      </c>
      <c r="AF25" s="33">
        <v>275.28</v>
      </c>
      <c r="AG25" s="33">
        <v>220.23</v>
      </c>
      <c r="AH25" s="33">
        <v>303.21</v>
      </c>
      <c r="AI25" s="33">
        <v>384.68</v>
      </c>
      <c r="AJ25" s="33">
        <v>325.23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1984</v>
      </c>
      <c r="D26" s="50" t="s">
        <v>42</v>
      </c>
      <c r="E26" s="32" t="s">
        <v>3</v>
      </c>
      <c r="F26" s="32" t="s">
        <v>1997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3">
        <f>0.00+101.00</f>
        <v>101</v>
      </c>
      <c r="AI26" s="33">
        <v>134</v>
      </c>
      <c r="AJ26" s="33">
        <v>90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1984</v>
      </c>
      <c r="D27" s="50" t="s">
        <v>42</v>
      </c>
      <c r="E27" s="32" t="s">
        <v>3</v>
      </c>
      <c r="F27" s="32" t="s">
        <v>1998</v>
      </c>
      <c r="G27" s="32"/>
      <c r="H27" s="32"/>
      <c r="I27" s="32"/>
      <c r="J27" s="33">
        <v>132.34</v>
      </c>
      <c r="K27" s="33">
        <v>116.49</v>
      </c>
      <c r="L27" s="33">
        <v>117.78</v>
      </c>
      <c r="M27" s="33">
        <v>117.24</v>
      </c>
      <c r="N27" s="33">
        <v>140.79</v>
      </c>
      <c r="O27" s="33">
        <v>193.22</v>
      </c>
      <c r="P27" s="33">
        <v>196.38</v>
      </c>
      <c r="Q27" s="33">
        <v>192.8</v>
      </c>
      <c r="R27" s="33">
        <v>183</v>
      </c>
      <c r="S27" s="33">
        <v>192.03</v>
      </c>
      <c r="T27" s="33">
        <v>139.21</v>
      </c>
      <c r="U27" s="33">
        <v>126.68</v>
      </c>
      <c r="V27" s="33">
        <v>140.77</v>
      </c>
      <c r="W27" s="33">
        <v>164.9</v>
      </c>
      <c r="X27" s="33">
        <v>147.85</v>
      </c>
      <c r="Y27" s="33">
        <v>150.55</v>
      </c>
      <c r="Z27" s="33">
        <v>176.11</v>
      </c>
      <c r="AA27" s="33">
        <v>222.7</v>
      </c>
      <c r="AB27" s="33">
        <v>210.24</v>
      </c>
      <c r="AC27" s="33">
        <v>199.62</v>
      </c>
      <c r="AD27" s="33">
        <v>201.17</v>
      </c>
      <c r="AE27" s="33">
        <v>193.58</v>
      </c>
      <c r="AF27" s="33">
        <v>152.68</v>
      </c>
      <c r="AG27" s="33">
        <v>142.77</v>
      </c>
      <c r="AH27" s="33">
        <v>164.12</v>
      </c>
      <c r="AI27" s="33">
        <v>173.41</v>
      </c>
      <c r="AJ27" s="33">
        <v>154.09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1984</v>
      </c>
      <c r="D28" s="50" t="s">
        <v>42</v>
      </c>
      <c r="E28" s="32" t="s">
        <v>3</v>
      </c>
      <c r="F28" s="32" t="s">
        <v>1999</v>
      </c>
      <c r="G28" s="32"/>
      <c r="H28" s="32"/>
      <c r="I28" s="32"/>
      <c r="J28" s="33">
        <v>293.24</v>
      </c>
      <c r="K28" s="33">
        <v>281.4</v>
      </c>
      <c r="L28" s="33">
        <v>344.08</v>
      </c>
      <c r="M28" s="33">
        <v>224.61</v>
      </c>
      <c r="N28" s="33">
        <v>211.89</v>
      </c>
      <c r="O28" s="33">
        <v>319.21</v>
      </c>
      <c r="P28" s="33">
        <v>348.54</v>
      </c>
      <c r="Q28" s="33">
        <v>277.3</v>
      </c>
      <c r="R28" s="33">
        <v>288.06</v>
      </c>
      <c r="S28" s="33">
        <v>249.24</v>
      </c>
      <c r="T28" s="33">
        <v>196.31</v>
      </c>
      <c r="U28" s="33">
        <v>281.09</v>
      </c>
      <c r="V28" s="33">
        <v>303.95</v>
      </c>
      <c r="W28" s="33">
        <v>390.89</v>
      </c>
      <c r="X28" s="33">
        <v>397.54</v>
      </c>
      <c r="Y28" s="33">
        <v>430.28</v>
      </c>
      <c r="Z28" s="33">
        <v>386.77</v>
      </c>
      <c r="AA28" s="33">
        <v>403.17</v>
      </c>
      <c r="AB28" s="33">
        <v>421.88</v>
      </c>
      <c r="AC28" s="33">
        <v>631.63</v>
      </c>
      <c r="AD28" s="33">
        <v>583</v>
      </c>
      <c r="AE28" s="33">
        <v>449.52</v>
      </c>
      <c r="AF28" s="33">
        <v>307.45</v>
      </c>
      <c r="AG28" s="33">
        <v>317.72</v>
      </c>
      <c r="AH28" s="33">
        <v>282.54</v>
      </c>
      <c r="AI28" s="33">
        <v>401.56</v>
      </c>
      <c r="AJ28" s="33">
        <v>412.7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1984</v>
      </c>
      <c r="D29" s="50" t="s">
        <v>42</v>
      </c>
      <c r="E29" s="32" t="s">
        <v>3</v>
      </c>
      <c r="F29" s="32" t="s">
        <v>2000</v>
      </c>
      <c r="G29" s="32"/>
      <c r="H29" s="32"/>
      <c r="I29" s="32"/>
      <c r="J29" s="33">
        <v>159</v>
      </c>
      <c r="K29" s="33">
        <v>140</v>
      </c>
      <c r="L29" s="33">
        <v>141</v>
      </c>
      <c r="M29" s="33">
        <v>138</v>
      </c>
      <c r="N29" s="33">
        <v>173</v>
      </c>
      <c r="O29" s="33">
        <v>197</v>
      </c>
      <c r="P29" s="33">
        <v>194</v>
      </c>
      <c r="Q29" s="33">
        <v>195</v>
      </c>
      <c r="R29" s="33">
        <v>206</v>
      </c>
      <c r="S29" s="33">
        <v>174</v>
      </c>
      <c r="T29" s="33">
        <v>158</v>
      </c>
      <c r="U29" s="33">
        <v>162</v>
      </c>
      <c r="V29" s="33">
        <v>152</v>
      </c>
      <c r="W29" s="33">
        <v>209</v>
      </c>
      <c r="X29" s="33">
        <v>156</v>
      </c>
      <c r="Y29" s="33">
        <v>165</v>
      </c>
      <c r="Z29" s="33">
        <v>175</v>
      </c>
      <c r="AA29" s="33">
        <v>227</v>
      </c>
      <c r="AB29" s="33">
        <v>211</v>
      </c>
      <c r="AC29" s="33">
        <v>255</v>
      </c>
      <c r="AD29" s="33">
        <v>224</v>
      </c>
      <c r="AE29" s="33">
        <v>192</v>
      </c>
      <c r="AF29" s="33">
        <v>180</v>
      </c>
      <c r="AG29" s="33">
        <v>129</v>
      </c>
      <c r="AH29" s="33">
        <v>107</v>
      </c>
      <c r="AI29" s="33">
        <v>186</v>
      </c>
      <c r="AJ29" s="33">
        <v>77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1984</v>
      </c>
      <c r="D30" s="50" t="s">
        <v>42</v>
      </c>
      <c r="E30" s="32" t="s">
        <v>3</v>
      </c>
      <c r="F30" s="32" t="s">
        <v>2001</v>
      </c>
      <c r="G30" s="32"/>
      <c r="H30" s="32"/>
      <c r="I30" s="32"/>
      <c r="J30" s="33">
        <v>50</v>
      </c>
      <c r="K30" s="33">
        <v>73</v>
      </c>
      <c r="L30" s="33">
        <v>101</v>
      </c>
      <c r="M30" s="33">
        <v>59</v>
      </c>
      <c r="N30" s="33">
        <v>71</v>
      </c>
      <c r="O30" s="33">
        <v>89</v>
      </c>
      <c r="P30" s="33">
        <v>93</v>
      </c>
      <c r="Q30" s="33">
        <v>88</v>
      </c>
      <c r="R30" s="33">
        <v>94</v>
      </c>
      <c r="S30" s="33">
        <v>79</v>
      </c>
      <c r="T30" s="33">
        <v>53</v>
      </c>
      <c r="U30" s="33">
        <v>95</v>
      </c>
      <c r="V30" s="33">
        <v>118</v>
      </c>
      <c r="W30" s="33">
        <f>156.08+0.00</f>
        <v>156.08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1984</v>
      </c>
      <c r="D31" s="50" t="s">
        <v>42</v>
      </c>
      <c r="E31" s="32" t="s">
        <v>3</v>
      </c>
      <c r="F31" s="32" t="s">
        <v>2002</v>
      </c>
      <c r="G31" s="32"/>
      <c r="H31" s="32"/>
      <c r="I31" s="32"/>
      <c r="J31" s="32"/>
      <c r="K31" s="32"/>
      <c r="L31" s="32"/>
      <c r="M31" s="33">
        <v>48.21</v>
      </c>
      <c r="N31" s="33">
        <v>171.12</v>
      </c>
      <c r="O31" s="33">
        <v>272.56</v>
      </c>
      <c r="P31" s="33">
        <v>401.35</v>
      </c>
      <c r="Q31" s="33">
        <v>41.2</v>
      </c>
      <c r="R31" s="33">
        <v>44.42</v>
      </c>
      <c r="S31" s="33">
        <v>40.32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1984</v>
      </c>
      <c r="D32" s="50" t="s">
        <v>42</v>
      </c>
      <c r="E32" s="32" t="s">
        <v>3</v>
      </c>
      <c r="F32" s="32" t="s">
        <v>2003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3">
        <f>55.00+55.00</f>
        <v>110</v>
      </c>
      <c r="S32" s="33">
        <v>81</v>
      </c>
      <c r="T32" s="33">
        <v>50</v>
      </c>
      <c r="U32" s="33">
        <v>49</v>
      </c>
      <c r="V32" s="33">
        <v>44</v>
      </c>
      <c r="W32" s="33">
        <v>71</v>
      </c>
      <c r="X32" s="33">
        <v>42</v>
      </c>
      <c r="Y32" s="33">
        <v>47</v>
      </c>
      <c r="Z32" s="33">
        <v>68</v>
      </c>
      <c r="AA32" s="33">
        <v>92</v>
      </c>
      <c r="AB32" s="33">
        <v>102</v>
      </c>
      <c r="AC32" s="33">
        <v>120</v>
      </c>
      <c r="AD32" s="33">
        <v>110</v>
      </c>
      <c r="AE32" s="33">
        <v>96</v>
      </c>
      <c r="AF32" s="33">
        <v>125</v>
      </c>
      <c r="AG32" s="33">
        <v>122</v>
      </c>
      <c r="AH32" s="33">
        <v>139</v>
      </c>
      <c r="AI32" s="33">
        <v>155</v>
      </c>
      <c r="AJ32" s="33">
        <v>156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1984</v>
      </c>
      <c r="D33" s="50" t="s">
        <v>42</v>
      </c>
      <c r="E33" s="32" t="s">
        <v>3</v>
      </c>
      <c r="F33" s="32" t="s">
        <v>2004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>
        <f>0.00+150.00</f>
        <v>150</v>
      </c>
      <c r="T33" s="33">
        <v>39</v>
      </c>
      <c r="U33" s="33">
        <v>54</v>
      </c>
      <c r="V33" s="33">
        <f>56.00+0.00+19.78</f>
        <v>75.78</v>
      </c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1984</v>
      </c>
      <c r="D34" s="50" t="s">
        <v>42</v>
      </c>
      <c r="E34" s="32" t="s">
        <v>3</v>
      </c>
      <c r="F34" s="32" t="s">
        <v>2005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>
        <f>55.00+55.00</f>
        <v>110</v>
      </c>
      <c r="S34" s="33">
        <v>82</v>
      </c>
      <c r="T34" s="33">
        <v>54.37</v>
      </c>
      <c r="U34" s="33">
        <v>66.57</v>
      </c>
      <c r="V34" s="33">
        <v>56.05</v>
      </c>
      <c r="W34" s="33">
        <v>69.26</v>
      </c>
      <c r="X34" s="33">
        <v>54.8</v>
      </c>
      <c r="Y34" s="33">
        <f>79.09+0.00+7.16</f>
        <v>86.25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1984</v>
      </c>
      <c r="D35" s="50" t="s">
        <v>42</v>
      </c>
      <c r="E35" s="32" t="s">
        <v>3</v>
      </c>
      <c r="F35" s="32" t="s">
        <v>2006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3">
        <f>0.00+1665.10</f>
        <v>1665.1</v>
      </c>
      <c r="Y35" s="33">
        <v>48.87</v>
      </c>
      <c r="Z35" s="33">
        <v>64.14</v>
      </c>
      <c r="AA35" s="33">
        <v>87.77</v>
      </c>
      <c r="AB35" s="33">
        <v>84.46</v>
      </c>
      <c r="AC35" s="33">
        <v>102.25</v>
      </c>
      <c r="AD35" s="33">
        <v>161.18</v>
      </c>
      <c r="AE35" s="33">
        <v>176.95</v>
      </c>
      <c r="AF35" s="32"/>
      <c r="AG35" s="32"/>
      <c r="AH35" s="32"/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1984</v>
      </c>
      <c r="D36" s="50" t="s">
        <v>42</v>
      </c>
      <c r="E36" s="32" t="s">
        <v>3</v>
      </c>
      <c r="F36" s="32" t="s">
        <v>2007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3">
        <f>0.00+133.91</f>
        <v>133.91</v>
      </c>
      <c r="S36" s="33">
        <v>69.54</v>
      </c>
      <c r="T36" s="33">
        <v>47.97</v>
      </c>
      <c r="U36" s="33">
        <v>49.81</v>
      </c>
      <c r="V36" s="33">
        <f>16.32+0.00</f>
        <v>16.32</v>
      </c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4">
        <f>SUM(G36:AK36)</f>
      </c>
      <c r="AM36" s="35"/>
    </row>
    <row r="37" ht="13.5" customHeight="1" spans="2:39" x14ac:dyDescent="0.25">
      <c r="B37" s="5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ht="13.5" customHeight="1" spans="2:39" x14ac:dyDescent="0.25">
      <c r="B38" s="20"/>
      <c r="C38" s="21"/>
      <c r="D38" s="21" t="s">
        <v>85</v>
      </c>
      <c r="E38" s="21"/>
      <c r="F38" s="21"/>
      <c r="G38" s="22">
        <f>SUM(G14:G36)</f>
      </c>
      <c r="H38" s="22">
        <f>SUM(H14:H36)</f>
      </c>
      <c r="I38" s="22">
        <f>SUM(I14:I36)</f>
      </c>
      <c r="J38" s="22">
        <f>SUM(J14:J36)</f>
      </c>
      <c r="K38" s="22">
        <f>SUM(K14:K36)</f>
      </c>
      <c r="L38" s="22">
        <f>SUM(L14:L36)</f>
      </c>
      <c r="M38" s="22">
        <f>SUM(M14:M36)</f>
      </c>
      <c r="N38" s="22">
        <f>SUM(N14:N36)</f>
      </c>
      <c r="O38" s="22">
        <f>SUM(O14:O36)</f>
      </c>
      <c r="P38" s="22">
        <f>SUM(P14:P36)</f>
      </c>
      <c r="Q38" s="22">
        <f>SUM(Q14:Q36)</f>
      </c>
      <c r="R38" s="22">
        <f>SUM(R14:R36)</f>
      </c>
      <c r="S38" s="22">
        <f>SUM(S14:S36)</f>
      </c>
      <c r="T38" s="22">
        <f>SUM(T14:T36)</f>
      </c>
      <c r="U38" s="22">
        <f>SUM(U14:U36)</f>
      </c>
      <c r="V38" s="22">
        <f>SUM(V14:V36)</f>
      </c>
      <c r="W38" s="22">
        <f>SUM(W14:W36)</f>
      </c>
      <c r="X38" s="22">
        <f>SUM(X14:X36)</f>
      </c>
      <c r="Y38" s="22">
        <f>SUM(Y14:Y36)</f>
      </c>
      <c r="Z38" s="22">
        <f>SUM(Z14:Z36)</f>
      </c>
      <c r="AA38" s="22">
        <f>SUM(AA14:AA36)</f>
      </c>
      <c r="AB38" s="22">
        <f>SUM(AB14:AB36)</f>
      </c>
      <c r="AC38" s="22">
        <f>SUM(AC14:AC36)</f>
      </c>
      <c r="AD38" s="22">
        <f>SUM(AD14:AD36)</f>
      </c>
      <c r="AE38" s="22">
        <f>SUM(AE14:AE36)</f>
      </c>
      <c r="AF38" s="22">
        <f>SUM(AF14:AF36)</f>
      </c>
      <c r="AG38" s="22">
        <f>SUM(AG14:AG36)</f>
      </c>
      <c r="AH38" s="22">
        <f>SUM(AH14:AH36)</f>
      </c>
      <c r="AI38" s="22">
        <f>SUM(AI14:AI36)</f>
      </c>
      <c r="AJ38" s="22">
        <f>SUM(AJ14:AJ36)</f>
      </c>
      <c r="AK38" s="22">
        <f>SUM(AK14:AK36)</f>
      </c>
      <c r="AL38" s="22">
        <f>SUM(AL14:AL36)</f>
      </c>
      <c r="AM38" s="23"/>
    </row>
    <row r="40" ht="13.5" customHeight="1" spans="2:39" x14ac:dyDescent="0.25">
      <c r="B40" s="46"/>
      <c r="C40" s="28"/>
      <c r="D40" s="47" t="s">
        <v>43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/>
    </row>
    <row r="41" ht="13.5" customHeight="1" spans="2:39" x14ac:dyDescent="0.25">
      <c r="B41" s="5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40"/>
    </row>
    <row r="42" ht="13.5" customHeight="1" spans="2:39" x14ac:dyDescent="0.25">
      <c r="B42" s="20"/>
      <c r="C42" s="21"/>
      <c r="D42" s="21" t="s">
        <v>89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3"/>
    </row>
    <row r="44" ht="13.5" customHeight="1" spans="2:39" x14ac:dyDescent="0.25">
      <c r="B44" s="46"/>
      <c r="C44" s="28"/>
      <c r="D44" s="47" t="s">
        <v>44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9"/>
    </row>
    <row r="45" ht="13.5" customHeight="1" spans="2:39" x14ac:dyDescent="0.25">
      <c r="B45" s="51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40"/>
    </row>
    <row r="46" ht="13.5" customHeight="1" spans="2:39" x14ac:dyDescent="0.25">
      <c r="B46" s="20"/>
      <c r="C46" s="21"/>
      <c r="D46" s="21" t="s">
        <v>90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3"/>
    </row>
    <row r="49" ht="12.75" customHeight="1" spans="2:39" x14ac:dyDescent="0.25">
      <c r="B49" s="11" t="s">
        <v>40</v>
      </c>
      <c r="C49" s="12"/>
      <c r="D49" s="12"/>
      <c r="E49" s="12"/>
      <c r="F49" s="12"/>
      <c r="G49" s="52" t="s">
        <v>7</v>
      </c>
      <c r="H49" s="52" t="s">
        <v>8</v>
      </c>
      <c r="I49" s="52" t="s">
        <v>9</v>
      </c>
      <c r="J49" s="52" t="s">
        <v>10</v>
      </c>
      <c r="K49" s="52" t="s">
        <v>11</v>
      </c>
      <c r="L49" s="52" t="s">
        <v>12</v>
      </c>
      <c r="M49" s="52" t="s">
        <v>13</v>
      </c>
      <c r="N49" s="52" t="s">
        <v>14</v>
      </c>
      <c r="O49" s="52" t="s">
        <v>15</v>
      </c>
      <c r="P49" s="52" t="s">
        <v>16</v>
      </c>
      <c r="Q49" s="52" t="s">
        <v>17</v>
      </c>
      <c r="R49" s="52" t="s">
        <v>18</v>
      </c>
      <c r="S49" s="52" t="s">
        <v>19</v>
      </c>
      <c r="T49" s="52" t="s">
        <v>20</v>
      </c>
      <c r="U49" s="52" t="s">
        <v>21</v>
      </c>
      <c r="V49" s="52" t="s">
        <v>22</v>
      </c>
      <c r="W49" s="52" t="s">
        <v>23</v>
      </c>
      <c r="X49" s="52" t="s">
        <v>24</v>
      </c>
      <c r="Y49" s="52" t="s">
        <v>25</v>
      </c>
      <c r="Z49" s="52" t="s">
        <v>26</v>
      </c>
      <c r="AA49" s="52" t="s">
        <v>27</v>
      </c>
      <c r="AB49" s="52" t="s">
        <v>28</v>
      </c>
      <c r="AC49" s="52" t="s">
        <v>29</v>
      </c>
      <c r="AD49" s="52" t="s">
        <v>30</v>
      </c>
      <c r="AE49" s="52" t="s">
        <v>31</v>
      </c>
      <c r="AF49" s="52" t="s">
        <v>32</v>
      </c>
      <c r="AG49" s="52" t="s">
        <v>33</v>
      </c>
      <c r="AH49" s="52" t="s">
        <v>34</v>
      </c>
      <c r="AI49" s="52" t="s">
        <v>35</v>
      </c>
      <c r="AJ49" s="52" t="s">
        <v>36</v>
      </c>
      <c r="AK49" s="52" t="s">
        <v>37</v>
      </c>
      <c r="AL49" s="52" t="s">
        <v>38</v>
      </c>
      <c r="AM49" s="15"/>
    </row>
    <row r="50" ht="12.75" customHeight="1" spans="2:39" x14ac:dyDescent="0.25">
      <c r="B50" s="16"/>
      <c r="C50" s="17"/>
      <c r="D50" s="17" t="s">
        <v>41</v>
      </c>
      <c r="E50" s="17"/>
      <c r="F50" s="17"/>
      <c r="G50" s="18">
        <f>G11</f>
      </c>
      <c r="H50" s="18">
        <f>H11</f>
      </c>
      <c r="I50" s="18">
        <f>I11</f>
      </c>
      <c r="J50" s="18">
        <f>J11</f>
      </c>
      <c r="K50" s="18">
        <f>K11</f>
      </c>
      <c r="L50" s="18">
        <f>L11</f>
      </c>
      <c r="M50" s="18">
        <f>M11</f>
      </c>
      <c r="N50" s="18">
        <f>N11</f>
      </c>
      <c r="O50" s="18">
        <f>O11</f>
      </c>
      <c r="P50" s="18">
        <f>P11</f>
      </c>
      <c r="Q50" s="18">
        <f>Q11</f>
      </c>
      <c r="R50" s="18">
        <f>R11</f>
      </c>
      <c r="S50" s="18">
        <f>S11</f>
      </c>
      <c r="T50" s="18">
        <f>T11</f>
      </c>
      <c r="U50" s="18">
        <f>U11</f>
      </c>
      <c r="V50" s="18">
        <f>V11</f>
      </c>
      <c r="W50" s="18">
        <f>W11</f>
      </c>
      <c r="X50" s="18">
        <f>X11</f>
      </c>
      <c r="Y50" s="18">
        <f>Y11</f>
      </c>
      <c r="Z50" s="18">
        <f>Z11</f>
      </c>
      <c r="AA50" s="18">
        <f>AA11</f>
      </c>
      <c r="AB50" s="18">
        <f>AB11</f>
      </c>
      <c r="AC50" s="18">
        <f>AC11</f>
      </c>
      <c r="AD50" s="18">
        <f>AD11</f>
      </c>
      <c r="AE50" s="18">
        <f>AE11</f>
      </c>
      <c r="AF50" s="18">
        <f>AF11</f>
      </c>
      <c r="AG50" s="18">
        <f>AG11</f>
      </c>
      <c r="AH50" s="18">
        <f>AH11</f>
      </c>
      <c r="AI50" s="18">
        <f>AI11</f>
      </c>
      <c r="AJ50" s="18">
        <f>AJ11</f>
      </c>
      <c r="AK50" s="18">
        <f>AK11</f>
      </c>
      <c r="AL50" s="18">
        <f>AL11</f>
      </c>
      <c r="AM50" s="19"/>
    </row>
    <row r="51" ht="12.75" customHeight="1" spans="2:39" x14ac:dyDescent="0.25">
      <c r="B51" s="16"/>
      <c r="C51" s="17"/>
      <c r="D51" s="17" t="s">
        <v>42</v>
      </c>
      <c r="E51" s="17"/>
      <c r="F51" s="17"/>
      <c r="G51" s="18">
        <f>G38</f>
      </c>
      <c r="H51" s="18">
        <f>H38</f>
      </c>
      <c r="I51" s="18">
        <f>I38</f>
      </c>
      <c r="J51" s="18">
        <f>J38</f>
      </c>
      <c r="K51" s="18">
        <f>K38</f>
      </c>
      <c r="L51" s="18">
        <f>L38</f>
      </c>
      <c r="M51" s="18">
        <f>M38</f>
      </c>
      <c r="N51" s="18">
        <f>N38</f>
      </c>
      <c r="O51" s="18">
        <f>O38</f>
      </c>
      <c r="P51" s="18">
        <f>P38</f>
      </c>
      <c r="Q51" s="18">
        <f>Q38</f>
      </c>
      <c r="R51" s="18">
        <f>R38</f>
      </c>
      <c r="S51" s="18">
        <f>S38</f>
      </c>
      <c r="T51" s="18">
        <f>T38</f>
      </c>
      <c r="U51" s="18">
        <f>U38</f>
      </c>
      <c r="V51" s="18">
        <f>V38</f>
      </c>
      <c r="W51" s="18">
        <f>W38</f>
      </c>
      <c r="X51" s="18">
        <f>X38</f>
      </c>
      <c r="Y51" s="18">
        <f>Y38</f>
      </c>
      <c r="Z51" s="18">
        <f>Z38</f>
      </c>
      <c r="AA51" s="18">
        <f>AA38</f>
      </c>
      <c r="AB51" s="18">
        <f>AB38</f>
      </c>
      <c r="AC51" s="18">
        <f>AC38</f>
      </c>
      <c r="AD51" s="18">
        <f>AD38</f>
      </c>
      <c r="AE51" s="18">
        <f>AE38</f>
      </c>
      <c r="AF51" s="18">
        <f>AF38</f>
      </c>
      <c r="AG51" s="18">
        <f>AG38</f>
      </c>
      <c r="AH51" s="18">
        <f>AH38</f>
      </c>
      <c r="AI51" s="18">
        <f>AI38</f>
      </c>
      <c r="AJ51" s="18">
        <f>AJ38</f>
      </c>
      <c r="AK51" s="18">
        <f>AK38</f>
      </c>
      <c r="AL51" s="18">
        <f>AL38</f>
      </c>
      <c r="AM51" s="19"/>
    </row>
    <row r="52" ht="12.75" customHeight="1" spans="2:39" x14ac:dyDescent="0.25">
      <c r="B52" s="16"/>
      <c r="C52" s="17"/>
      <c r="D52" s="17" t="s">
        <v>43</v>
      </c>
      <c r="E52" s="17"/>
      <c r="F52" s="17"/>
      <c r="G52" s="18">
        <f>G42</f>
      </c>
      <c r="H52" s="18">
        <f>H42</f>
      </c>
      <c r="I52" s="18">
        <f>I42</f>
      </c>
      <c r="J52" s="18">
        <f>J42</f>
      </c>
      <c r="K52" s="18">
        <f>K42</f>
      </c>
      <c r="L52" s="18">
        <f>L42</f>
      </c>
      <c r="M52" s="18">
        <f>M42</f>
      </c>
      <c r="N52" s="18">
        <f>N42</f>
      </c>
      <c r="O52" s="18">
        <f>O42</f>
      </c>
      <c r="P52" s="18">
        <f>P42</f>
      </c>
      <c r="Q52" s="18">
        <f>Q42</f>
      </c>
      <c r="R52" s="18">
        <f>R42</f>
      </c>
      <c r="S52" s="18">
        <f>S42</f>
      </c>
      <c r="T52" s="18">
        <f>T42</f>
      </c>
      <c r="U52" s="18">
        <f>U42</f>
      </c>
      <c r="V52" s="18">
        <f>V42</f>
      </c>
      <c r="W52" s="18">
        <f>W42</f>
      </c>
      <c r="X52" s="18">
        <f>X42</f>
      </c>
      <c r="Y52" s="18">
        <f>Y42</f>
      </c>
      <c r="Z52" s="18">
        <f>Z42</f>
      </c>
      <c r="AA52" s="18">
        <f>AA42</f>
      </c>
      <c r="AB52" s="18">
        <f>AB42</f>
      </c>
      <c r="AC52" s="18">
        <f>AC42</f>
      </c>
      <c r="AD52" s="18">
        <f>AD42</f>
      </c>
      <c r="AE52" s="18">
        <f>AE42</f>
      </c>
      <c r="AF52" s="18">
        <f>AF42</f>
      </c>
      <c r="AG52" s="18">
        <f>AG42</f>
      </c>
      <c r="AH52" s="18">
        <f>AH42</f>
      </c>
      <c r="AI52" s="18">
        <f>AI42</f>
      </c>
      <c r="AJ52" s="18">
        <f>AJ42</f>
      </c>
      <c r="AK52" s="18">
        <f>AK42</f>
      </c>
      <c r="AL52" s="18">
        <f>AL42</f>
      </c>
      <c r="AM52" s="19"/>
    </row>
    <row r="53" ht="12.75" customHeight="1" spans="2:39" x14ac:dyDescent="0.25">
      <c r="B53" s="16"/>
      <c r="C53" s="17"/>
      <c r="D53" s="17" t="s">
        <v>44</v>
      </c>
      <c r="E53" s="17"/>
      <c r="F53" s="17"/>
      <c r="G53" s="18">
        <f>G46</f>
      </c>
      <c r="H53" s="18">
        <f>H46</f>
      </c>
      <c r="I53" s="18">
        <f>I46</f>
      </c>
      <c r="J53" s="18">
        <f>J46</f>
      </c>
      <c r="K53" s="18">
        <f>K46</f>
      </c>
      <c r="L53" s="18">
        <f>L46</f>
      </c>
      <c r="M53" s="18">
        <f>M46</f>
      </c>
      <c r="N53" s="18">
        <f>N46</f>
      </c>
      <c r="O53" s="18">
        <f>O46</f>
      </c>
      <c r="P53" s="18">
        <f>P46</f>
      </c>
      <c r="Q53" s="18">
        <f>Q46</f>
      </c>
      <c r="R53" s="18">
        <f>R46</f>
      </c>
      <c r="S53" s="18">
        <f>S46</f>
      </c>
      <c r="T53" s="18">
        <f>T46</f>
      </c>
      <c r="U53" s="18">
        <f>U46</f>
      </c>
      <c r="V53" s="18">
        <f>V46</f>
      </c>
      <c r="W53" s="18">
        <f>W46</f>
      </c>
      <c r="X53" s="18">
        <f>X46</f>
      </c>
      <c r="Y53" s="18">
        <f>Y46</f>
      </c>
      <c r="Z53" s="18">
        <f>Z46</f>
      </c>
      <c r="AA53" s="18">
        <f>AA46</f>
      </c>
      <c r="AB53" s="18">
        <f>AB46</f>
      </c>
      <c r="AC53" s="18">
        <f>AC46</f>
      </c>
      <c r="AD53" s="18">
        <f>AD46</f>
      </c>
      <c r="AE53" s="18">
        <f>AE46</f>
      </c>
      <c r="AF53" s="18">
        <f>AF46</f>
      </c>
      <c r="AG53" s="18">
        <f>AG46</f>
      </c>
      <c r="AH53" s="18">
        <f>AH46</f>
      </c>
      <c r="AI53" s="18">
        <f>AI46</f>
      </c>
      <c r="AJ53" s="18">
        <f>AJ46</f>
      </c>
      <c r="AK53" s="18">
        <f>AK46</f>
      </c>
      <c r="AL53" s="18">
        <f>AL46</f>
      </c>
      <c r="AM53" s="19"/>
    </row>
    <row r="54" ht="12.75" customHeight="1" spans="2:39" x14ac:dyDescent="0.25">
      <c r="B54" s="20"/>
      <c r="C54" s="21"/>
      <c r="D54" s="21" t="s">
        <v>45</v>
      </c>
      <c r="E54" s="21"/>
      <c r="F54" s="21"/>
      <c r="G54" s="22">
        <f>G50+G51+G52+G53</f>
      </c>
      <c r="H54" s="22">
        <f>H50+H51+H52+H53</f>
      </c>
      <c r="I54" s="22">
        <f>I50+I51+I52+I53</f>
      </c>
      <c r="J54" s="22">
        <f>J50+J51+J52+J53</f>
      </c>
      <c r="K54" s="22">
        <f>K50+K51+K52+K53</f>
      </c>
      <c r="L54" s="22">
        <f>L50+L51+L52+L53</f>
      </c>
      <c r="M54" s="22">
        <f>M50+M51+M52+M53</f>
      </c>
      <c r="N54" s="22">
        <f>N50+N51+N52+N53</f>
      </c>
      <c r="O54" s="22">
        <f>O50+O51+O52+O53</f>
      </c>
      <c r="P54" s="22">
        <f>P50+P51+P52+P53</f>
      </c>
      <c r="Q54" s="22">
        <f>Q50+Q51+Q52+Q53</f>
      </c>
      <c r="R54" s="22">
        <f>R50+R51+R52+R53</f>
      </c>
      <c r="S54" s="22">
        <f>S50+S51+S52+S53</f>
      </c>
      <c r="T54" s="22">
        <f>T50+T51+T52+T53</f>
      </c>
      <c r="U54" s="22">
        <f>U50+U51+U52+U53</f>
      </c>
      <c r="V54" s="22">
        <f>V50+V51+V52+V53</f>
      </c>
      <c r="W54" s="22">
        <f>W50+W51+W52+W53</f>
      </c>
      <c r="X54" s="22">
        <f>X50+X51+X52+X53</f>
      </c>
      <c r="Y54" s="22">
        <f>Y50+Y51+Y52+Y53</f>
      </c>
      <c r="Z54" s="22">
        <f>Z50+Z51+Z52+Z53</f>
      </c>
      <c r="AA54" s="22">
        <f>AA50+AA51+AA52+AA53</f>
      </c>
      <c r="AB54" s="22">
        <f>AB50+AB51+AB52+AB53</f>
      </c>
      <c r="AC54" s="22">
        <f>AC50+AC51+AC52+AC53</f>
      </c>
      <c r="AD54" s="22">
        <f>AD50+AD51+AD52+AD53</f>
      </c>
      <c r="AE54" s="22">
        <f>AE50+AE51+AE52+AE53</f>
      </c>
      <c r="AF54" s="22">
        <f>AF50+AF51+AF52+AF53</f>
      </c>
      <c r="AG54" s="22">
        <f>AG50+AG51+AG52+AG53</f>
      </c>
      <c r="AH54" s="22">
        <f>AH50+AH51+AH52+AH53</f>
      </c>
      <c r="AI54" s="22">
        <f>AI50+AI51+AI52+AI53</f>
      </c>
      <c r="AJ54" s="22">
        <f>AJ50+AJ51+AJ52+AJ53</f>
      </c>
      <c r="AK54" s="22">
        <f>AK50+AK51+AK52+AK53</f>
      </c>
      <c r="AL54" s="22">
        <f>AL50+AL51+AL52+AL53</f>
      </c>
      <c r="AM54" s="23"/>
    </row>
    <row r="56" ht="12.75" customHeight="1" spans="2:39" x14ac:dyDescent="0.25">
      <c r="B56" s="11" t="s">
        <v>46</v>
      </c>
      <c r="C56" s="12"/>
      <c r="D56" s="12"/>
      <c r="E56" s="12"/>
      <c r="F56" s="12"/>
      <c r="G56" s="52" t="s">
        <v>7</v>
      </c>
      <c r="H56" s="52" t="s">
        <v>8</v>
      </c>
      <c r="I56" s="52" t="s">
        <v>9</v>
      </c>
      <c r="J56" s="52" t="s">
        <v>10</v>
      </c>
      <c r="K56" s="52" t="s">
        <v>11</v>
      </c>
      <c r="L56" s="52" t="s">
        <v>12</v>
      </c>
      <c r="M56" s="52" t="s">
        <v>13</v>
      </c>
      <c r="N56" s="52" t="s">
        <v>14</v>
      </c>
      <c r="O56" s="52" t="s">
        <v>15</v>
      </c>
      <c r="P56" s="52" t="s">
        <v>16</v>
      </c>
      <c r="Q56" s="52" t="s">
        <v>17</v>
      </c>
      <c r="R56" s="52" t="s">
        <v>18</v>
      </c>
      <c r="S56" s="52" t="s">
        <v>19</v>
      </c>
      <c r="T56" s="52" t="s">
        <v>20</v>
      </c>
      <c r="U56" s="52" t="s">
        <v>21</v>
      </c>
      <c r="V56" s="52" t="s">
        <v>22</v>
      </c>
      <c r="W56" s="52" t="s">
        <v>23</v>
      </c>
      <c r="X56" s="52" t="s">
        <v>24</v>
      </c>
      <c r="Y56" s="52" t="s">
        <v>25</v>
      </c>
      <c r="Z56" s="52" t="s">
        <v>26</v>
      </c>
      <c r="AA56" s="52" t="s">
        <v>27</v>
      </c>
      <c r="AB56" s="52" t="s">
        <v>28</v>
      </c>
      <c r="AC56" s="52" t="s">
        <v>29</v>
      </c>
      <c r="AD56" s="52" t="s">
        <v>30</v>
      </c>
      <c r="AE56" s="52" t="s">
        <v>31</v>
      </c>
      <c r="AF56" s="52" t="s">
        <v>32</v>
      </c>
      <c r="AG56" s="52" t="s">
        <v>33</v>
      </c>
      <c r="AH56" s="52" t="s">
        <v>34</v>
      </c>
      <c r="AI56" s="52" t="s">
        <v>35</v>
      </c>
      <c r="AJ56" s="52" t="s">
        <v>36</v>
      </c>
      <c r="AK56" s="52" t="s">
        <v>37</v>
      </c>
      <c r="AL56" s="52" t="s">
        <v>38</v>
      </c>
      <c r="AM56" s="15"/>
    </row>
    <row r="57" ht="12.75" customHeight="1" spans="2:39" x14ac:dyDescent="0.25">
      <c r="B57" s="16"/>
      <c r="C57" s="17"/>
      <c r="D57" s="17" t="s">
        <v>41</v>
      </c>
      <c r="E57" s="17"/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9"/>
    </row>
    <row r="58" ht="12.75" customHeight="1" spans="2:39" x14ac:dyDescent="0.25">
      <c r="B58" s="16"/>
      <c r="C58" s="17"/>
      <c r="D58" s="17" t="s">
        <v>42</v>
      </c>
      <c r="E58" s="17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</row>
    <row r="59" ht="12.75" customHeight="1" spans="2:39" x14ac:dyDescent="0.25">
      <c r="B59" s="16"/>
      <c r="C59" s="17"/>
      <c r="D59" s="17" t="s">
        <v>43</v>
      </c>
      <c r="E59" s="17"/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9"/>
    </row>
    <row r="60" ht="12.75" customHeight="1" spans="2:39" x14ac:dyDescent="0.25">
      <c r="B60" s="16"/>
      <c r="C60" s="17"/>
      <c r="D60" s="17" t="s">
        <v>44</v>
      </c>
      <c r="E60" s="17"/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9"/>
    </row>
    <row r="61" ht="12.75" customHeight="1" spans="2:39" x14ac:dyDescent="0.25">
      <c r="B61" s="20"/>
      <c r="C61" s="21"/>
      <c r="D61" s="21" t="s">
        <v>45</v>
      </c>
      <c r="E61" s="21"/>
      <c r="F61" s="21"/>
      <c r="G61" s="22">
        <f>G57+G58+G59+G60</f>
      </c>
      <c r="H61" s="22">
        <f>H57+H58+H59+H60</f>
      </c>
      <c r="I61" s="22">
        <f>I57+I58+I59+I60</f>
      </c>
      <c r="J61" s="22">
        <f>J57+J58+J59+J60</f>
      </c>
      <c r="K61" s="22">
        <f>K57+K58+K59+K60</f>
      </c>
      <c r="L61" s="22">
        <f>L57+L58+L59+L60</f>
      </c>
      <c r="M61" s="22">
        <f>M57+M58+M59+M60</f>
      </c>
      <c r="N61" s="22">
        <f>N57+N58+N59+N60</f>
      </c>
      <c r="O61" s="22">
        <f>O57+O58+O59+O60</f>
      </c>
      <c r="P61" s="22">
        <f>P57+P58+P59+P60</f>
      </c>
      <c r="Q61" s="22">
        <f>Q57+Q58+Q59+Q60</f>
      </c>
      <c r="R61" s="22">
        <f>R57+R58+R59+R60</f>
      </c>
      <c r="S61" s="22">
        <f>S57+S58+S59+S60</f>
      </c>
      <c r="T61" s="22">
        <f>T57+T58+T59+T60</f>
      </c>
      <c r="U61" s="22">
        <f>U57+U58+U59+U60</f>
      </c>
      <c r="V61" s="22">
        <f>V57+V58+V59+V60</f>
      </c>
      <c r="W61" s="22">
        <f>W57+W58+W59+W60</f>
      </c>
      <c r="X61" s="22">
        <f>X57+X58+X59+X60</f>
      </c>
      <c r="Y61" s="22">
        <f>Y57+Y58+Y59+Y60</f>
      </c>
      <c r="Z61" s="22">
        <f>Z57+Z58+Z59+Z60</f>
      </c>
      <c r="AA61" s="22">
        <f>AA57+AA58+AA59+AA60</f>
      </c>
      <c r="AB61" s="22">
        <f>AB57+AB58+AB59+AB60</f>
      </c>
      <c r="AC61" s="22">
        <f>AC57+AC58+AC59+AC60</f>
      </c>
      <c r="AD61" s="22">
        <f>AD57+AD58+AD59+AD60</f>
      </c>
      <c r="AE61" s="22">
        <f>AE57+AE58+AE59+AE60</f>
      </c>
      <c r="AF61" s="22">
        <f>AF57+AF58+AF59+AF60</f>
      </c>
      <c r="AG61" s="22">
        <f>AG57+AG58+AG59+AG60</f>
      </c>
      <c r="AH61" s="22">
        <f>AH57+AH58+AH59+AH60</f>
      </c>
      <c r="AI61" s="22">
        <f>AI57+AI58+AI59+AI60</f>
      </c>
      <c r="AJ61" s="22">
        <f>AJ57+AJ58+AJ59+AJ60</f>
      </c>
      <c r="AK61" s="22">
        <f>AK57+AK58+AK59+AK60</f>
      </c>
      <c r="AL61" s="22">
        <f>AL57+AL58+AL59+AL60</f>
      </c>
      <c r="AM61" s="23"/>
    </row>
    <row r="63" ht="12.75" customHeight="1" spans="2:39" x14ac:dyDescent="0.25">
      <c r="B63" s="11" t="s">
        <v>47</v>
      </c>
      <c r="C63" s="12"/>
      <c r="D63" s="12"/>
      <c r="E63" s="12"/>
      <c r="F63" s="12"/>
      <c r="G63" s="52" t="s">
        <v>7</v>
      </c>
      <c r="H63" s="52" t="s">
        <v>8</v>
      </c>
      <c r="I63" s="52" t="s">
        <v>9</v>
      </c>
      <c r="J63" s="52" t="s">
        <v>10</v>
      </c>
      <c r="K63" s="52" t="s">
        <v>11</v>
      </c>
      <c r="L63" s="52" t="s">
        <v>12</v>
      </c>
      <c r="M63" s="52" t="s">
        <v>13</v>
      </c>
      <c r="N63" s="52" t="s">
        <v>14</v>
      </c>
      <c r="O63" s="52" t="s">
        <v>15</v>
      </c>
      <c r="P63" s="52" t="s">
        <v>16</v>
      </c>
      <c r="Q63" s="52" t="s">
        <v>17</v>
      </c>
      <c r="R63" s="52" t="s">
        <v>18</v>
      </c>
      <c r="S63" s="52" t="s">
        <v>19</v>
      </c>
      <c r="T63" s="52" t="s">
        <v>20</v>
      </c>
      <c r="U63" s="52" t="s">
        <v>21</v>
      </c>
      <c r="V63" s="52" t="s">
        <v>22</v>
      </c>
      <c r="W63" s="52" t="s">
        <v>23</v>
      </c>
      <c r="X63" s="52" t="s">
        <v>24</v>
      </c>
      <c r="Y63" s="52" t="s">
        <v>25</v>
      </c>
      <c r="Z63" s="52" t="s">
        <v>26</v>
      </c>
      <c r="AA63" s="52" t="s">
        <v>27</v>
      </c>
      <c r="AB63" s="52" t="s">
        <v>28</v>
      </c>
      <c r="AC63" s="52" t="s">
        <v>29</v>
      </c>
      <c r="AD63" s="52" t="s">
        <v>30</v>
      </c>
      <c r="AE63" s="52" t="s">
        <v>31</v>
      </c>
      <c r="AF63" s="52" t="s">
        <v>32</v>
      </c>
      <c r="AG63" s="52" t="s">
        <v>33</v>
      </c>
      <c r="AH63" s="52" t="s">
        <v>34</v>
      </c>
      <c r="AI63" s="52" t="s">
        <v>35</v>
      </c>
      <c r="AJ63" s="52" t="s">
        <v>36</v>
      </c>
      <c r="AK63" s="52" t="s">
        <v>37</v>
      </c>
      <c r="AL63" s="52" t="s">
        <v>38</v>
      </c>
      <c r="AM63" s="15"/>
    </row>
    <row r="64" ht="12.75" customHeight="1" spans="2:39" x14ac:dyDescent="0.25">
      <c r="B64" s="16"/>
      <c r="C64" s="17"/>
      <c r="D64" s="17" t="s">
        <v>41</v>
      </c>
      <c r="E64" s="17"/>
      <c r="F64" s="17"/>
      <c r="G64" s="24">
        <f>G57-G50</f>
      </c>
      <c r="H64" s="24">
        <f>H57-H50</f>
      </c>
      <c r="I64" s="24">
        <f>I57-I50</f>
      </c>
      <c r="J64" s="24">
        <f>J57-J50</f>
      </c>
      <c r="K64" s="24">
        <f>K57-K50</f>
      </c>
      <c r="L64" s="24">
        <f>L57-L50</f>
      </c>
      <c r="M64" s="24">
        <f>M57-M50</f>
      </c>
      <c r="N64" s="24">
        <f>N57-N50</f>
      </c>
      <c r="O64" s="24">
        <f>O57-O50</f>
      </c>
      <c r="P64" s="24">
        <f>P57-P50</f>
      </c>
      <c r="Q64" s="24">
        <f>Q57-Q50</f>
      </c>
      <c r="R64" s="24">
        <f>R57-R50</f>
      </c>
      <c r="S64" s="24">
        <f>S57-S50</f>
      </c>
      <c r="T64" s="24">
        <f>T57-T50</f>
      </c>
      <c r="U64" s="24">
        <f>U57-U50</f>
      </c>
      <c r="V64" s="24">
        <f>V57-V50</f>
      </c>
      <c r="W64" s="24">
        <f>W57-W50</f>
      </c>
      <c r="X64" s="24">
        <f>X57-X50</f>
      </c>
      <c r="Y64" s="24">
        <f>Y57-Y50</f>
      </c>
      <c r="Z64" s="24">
        <f>Z57-Z50</f>
      </c>
      <c r="AA64" s="24">
        <f>AA57-AA50</f>
      </c>
      <c r="AB64" s="24">
        <f>AB57-AB50</f>
      </c>
      <c r="AC64" s="24">
        <f>AC57-AC50</f>
      </c>
      <c r="AD64" s="24">
        <f>AD57-AD50</f>
      </c>
      <c r="AE64" s="24">
        <f>AE57-AE50</f>
      </c>
      <c r="AF64" s="24">
        <f>AF57-AF50</f>
      </c>
      <c r="AG64" s="24">
        <f>AG57-AG50</f>
      </c>
      <c r="AH64" s="24">
        <f>AH57-AH50</f>
      </c>
      <c r="AI64" s="24">
        <f>AI57-AI50</f>
      </c>
      <c r="AJ64" s="24">
        <f>AJ57-AJ50</f>
      </c>
      <c r="AK64" s="24">
        <f>AK57-AK50</f>
      </c>
      <c r="AL64" s="24">
        <f>AL57-AL50</f>
      </c>
      <c r="AM64" s="19"/>
    </row>
    <row r="65" ht="12.75" customHeight="1" spans="2:39" x14ac:dyDescent="0.25">
      <c r="B65" s="16"/>
      <c r="C65" s="17"/>
      <c r="D65" s="17" t="s">
        <v>42</v>
      </c>
      <c r="E65" s="17"/>
      <c r="F65" s="17"/>
      <c r="G65" s="24">
        <f>G58-G51</f>
      </c>
      <c r="H65" s="24">
        <f>H58-H51</f>
      </c>
      <c r="I65" s="24">
        <f>I58-I51</f>
      </c>
      <c r="J65" s="24">
        <f>J58-J51</f>
      </c>
      <c r="K65" s="24">
        <f>K58-K51</f>
      </c>
      <c r="L65" s="24">
        <f>L58-L51</f>
      </c>
      <c r="M65" s="24">
        <f>M58-M51</f>
      </c>
      <c r="N65" s="24">
        <f>N58-N51</f>
      </c>
      <c r="O65" s="24">
        <f>O58-O51</f>
      </c>
      <c r="P65" s="24">
        <f>P58-P51</f>
      </c>
      <c r="Q65" s="24">
        <f>Q58-Q51</f>
      </c>
      <c r="R65" s="24">
        <f>R58-R51</f>
      </c>
      <c r="S65" s="24">
        <f>S58-S51</f>
      </c>
      <c r="T65" s="24">
        <f>T58-T51</f>
      </c>
      <c r="U65" s="24">
        <f>U58-U51</f>
      </c>
      <c r="V65" s="24">
        <f>V58-V51</f>
      </c>
      <c r="W65" s="24">
        <f>W58-W51</f>
      </c>
      <c r="X65" s="24">
        <f>X58-X51</f>
      </c>
      <c r="Y65" s="24">
        <f>Y58-Y51</f>
      </c>
      <c r="Z65" s="24">
        <f>Z58-Z51</f>
      </c>
      <c r="AA65" s="24">
        <f>AA58-AA51</f>
      </c>
      <c r="AB65" s="24">
        <f>AB58-AB51</f>
      </c>
      <c r="AC65" s="24">
        <f>AC58-AC51</f>
      </c>
      <c r="AD65" s="24">
        <f>AD58-AD51</f>
      </c>
      <c r="AE65" s="24">
        <f>AE58-AE51</f>
      </c>
      <c r="AF65" s="24">
        <f>AF58-AF51</f>
      </c>
      <c r="AG65" s="24">
        <f>AG58-AG51</f>
      </c>
      <c r="AH65" s="24">
        <f>AH58-AH51</f>
      </c>
      <c r="AI65" s="24">
        <f>AI58-AI51</f>
      </c>
      <c r="AJ65" s="24">
        <f>AJ58-AJ51</f>
      </c>
      <c r="AK65" s="24">
        <f>AK58-AK51</f>
      </c>
      <c r="AL65" s="24">
        <f>AL58-AL51</f>
      </c>
      <c r="AM65" s="19"/>
    </row>
    <row r="66" ht="12.75" customHeight="1" spans="2:39" x14ac:dyDescent="0.25">
      <c r="B66" s="16"/>
      <c r="C66" s="17"/>
      <c r="D66" s="17" t="s">
        <v>43</v>
      </c>
      <c r="E66" s="17"/>
      <c r="F66" s="17"/>
      <c r="G66" s="24">
        <f>G59-G52</f>
      </c>
      <c r="H66" s="24">
        <f>H59-H52</f>
      </c>
      <c r="I66" s="24">
        <f>I59-I52</f>
      </c>
      <c r="J66" s="24">
        <f>J59-J52</f>
      </c>
      <c r="K66" s="24">
        <f>K59-K52</f>
      </c>
      <c r="L66" s="24">
        <f>L59-L52</f>
      </c>
      <c r="M66" s="24">
        <f>M59-M52</f>
      </c>
      <c r="N66" s="24">
        <f>N59-N52</f>
      </c>
      <c r="O66" s="24">
        <f>O59-O52</f>
      </c>
      <c r="P66" s="24">
        <f>P59-P52</f>
      </c>
      <c r="Q66" s="24">
        <f>Q59-Q52</f>
      </c>
      <c r="R66" s="24">
        <f>R59-R52</f>
      </c>
      <c r="S66" s="24">
        <f>S59-S52</f>
      </c>
      <c r="T66" s="24">
        <f>T59-T52</f>
      </c>
      <c r="U66" s="24">
        <f>U59-U52</f>
      </c>
      <c r="V66" s="24">
        <f>V59-V52</f>
      </c>
      <c r="W66" s="24">
        <f>W59-W52</f>
      </c>
      <c r="X66" s="24">
        <f>X59-X52</f>
      </c>
      <c r="Y66" s="24">
        <f>Y59-Y52</f>
      </c>
      <c r="Z66" s="24">
        <f>Z59-Z52</f>
      </c>
      <c r="AA66" s="24">
        <f>AA59-AA52</f>
      </c>
      <c r="AB66" s="24">
        <f>AB59-AB52</f>
      </c>
      <c r="AC66" s="24">
        <f>AC59-AC52</f>
      </c>
      <c r="AD66" s="24">
        <f>AD59-AD52</f>
      </c>
      <c r="AE66" s="24">
        <f>AE59-AE52</f>
      </c>
      <c r="AF66" s="24">
        <f>AF59-AF52</f>
      </c>
      <c r="AG66" s="24">
        <f>AG59-AG52</f>
      </c>
      <c r="AH66" s="24">
        <f>AH59-AH52</f>
      </c>
      <c r="AI66" s="24">
        <f>AI59-AI52</f>
      </c>
      <c r="AJ66" s="24">
        <f>AJ59-AJ52</f>
      </c>
      <c r="AK66" s="24">
        <f>AK59-AK52</f>
      </c>
      <c r="AL66" s="24">
        <f>AL59-AL52</f>
      </c>
      <c r="AM66" s="19"/>
    </row>
    <row r="67" ht="12.75" customHeight="1" spans="2:39" x14ac:dyDescent="0.25">
      <c r="B67" s="16"/>
      <c r="C67" s="17"/>
      <c r="D67" s="17" t="s">
        <v>44</v>
      </c>
      <c r="E67" s="17"/>
      <c r="F67" s="17"/>
      <c r="G67" s="24">
        <f>G60-G53</f>
      </c>
      <c r="H67" s="24">
        <f>H60-H53</f>
      </c>
      <c r="I67" s="24">
        <f>I60-I53</f>
      </c>
      <c r="J67" s="24">
        <f>J60-J53</f>
      </c>
      <c r="K67" s="24">
        <f>K60-K53</f>
      </c>
      <c r="L67" s="24">
        <f>L60-L53</f>
      </c>
      <c r="M67" s="24">
        <f>M60-M53</f>
      </c>
      <c r="N67" s="24">
        <f>N60-N53</f>
      </c>
      <c r="O67" s="24">
        <f>O60-O53</f>
      </c>
      <c r="P67" s="24">
        <f>P60-P53</f>
      </c>
      <c r="Q67" s="24">
        <f>Q60-Q53</f>
      </c>
      <c r="R67" s="24">
        <f>R60-R53</f>
      </c>
      <c r="S67" s="24">
        <f>S60-S53</f>
      </c>
      <c r="T67" s="24">
        <f>T60-T53</f>
      </c>
      <c r="U67" s="24">
        <f>U60-U53</f>
      </c>
      <c r="V67" s="24">
        <f>V60-V53</f>
      </c>
      <c r="W67" s="24">
        <f>W60-W53</f>
      </c>
      <c r="X67" s="24">
        <f>X60-X53</f>
      </c>
      <c r="Y67" s="24">
        <f>Y60-Y53</f>
      </c>
      <c r="Z67" s="24">
        <f>Z60-Z53</f>
      </c>
      <c r="AA67" s="24">
        <f>AA60-AA53</f>
      </c>
      <c r="AB67" s="24">
        <f>AB60-AB53</f>
      </c>
      <c r="AC67" s="24">
        <f>AC60-AC53</f>
      </c>
      <c r="AD67" s="24">
        <f>AD60-AD53</f>
      </c>
      <c r="AE67" s="24">
        <f>AE60-AE53</f>
      </c>
      <c r="AF67" s="24">
        <f>AF60-AF53</f>
      </c>
      <c r="AG67" s="24">
        <f>AG60-AG53</f>
      </c>
      <c r="AH67" s="24">
        <f>AH60-AH53</f>
      </c>
      <c r="AI67" s="24">
        <f>AI60-AI53</f>
      </c>
      <c r="AJ67" s="24">
        <f>AJ60-AJ53</f>
      </c>
      <c r="AK67" s="24">
        <f>AK60-AK53</f>
      </c>
      <c r="AL67" s="24">
        <f>AL60-AL53</f>
      </c>
      <c r="AM67" s="19"/>
    </row>
    <row r="68" ht="12.75" customHeight="1" spans="2:39" x14ac:dyDescent="0.25">
      <c r="B68" s="20"/>
      <c r="C68" s="21"/>
      <c r="D68" s="21" t="s">
        <v>45</v>
      </c>
      <c r="E68" s="21"/>
      <c r="F68" s="21"/>
      <c r="G68" s="25">
        <f>G64+G65+G66+G67</f>
      </c>
      <c r="H68" s="25">
        <f>H64+H65+H66+H67</f>
      </c>
      <c r="I68" s="25">
        <f>I64+I65+I66+I67</f>
      </c>
      <c r="J68" s="25">
        <f>J64+J65+J66+J67</f>
      </c>
      <c r="K68" s="25">
        <f>K64+K65+K66+K67</f>
      </c>
      <c r="L68" s="25">
        <f>L64+L65+L66+L67</f>
      </c>
      <c r="M68" s="25">
        <f>M64+M65+M66+M67</f>
      </c>
      <c r="N68" s="25">
        <f>N64+N65+N66+N67</f>
      </c>
      <c r="O68" s="25">
        <f>O64+O65+O66+O67</f>
      </c>
      <c r="P68" s="25">
        <f>P64+P65+P66+P67</f>
      </c>
      <c r="Q68" s="25">
        <f>Q64+Q65+Q66+Q67</f>
      </c>
      <c r="R68" s="25">
        <f>R64+R65+R66+R67</f>
      </c>
      <c r="S68" s="25">
        <f>S64+S65+S66+S67</f>
      </c>
      <c r="T68" s="25">
        <f>T64+T65+T66+T67</f>
      </c>
      <c r="U68" s="25">
        <f>U64+U65+U66+U67</f>
      </c>
      <c r="V68" s="25">
        <f>V64+V65+V66+V67</f>
      </c>
      <c r="W68" s="25">
        <f>W64+W65+W66+W67</f>
      </c>
      <c r="X68" s="25">
        <f>X64+X65+X66+X67</f>
      </c>
      <c r="Y68" s="25">
        <f>Y64+Y65+Y66+Y67</f>
      </c>
      <c r="Z68" s="25">
        <f>Z64+Z65+Z66+Z67</f>
      </c>
      <c r="AA68" s="25">
        <f>AA64+AA65+AA66+AA67</f>
      </c>
      <c r="AB68" s="25">
        <f>AB64+AB65+AB66+AB67</f>
      </c>
      <c r="AC68" s="25">
        <f>AC64+AC65+AC66+AC67</f>
      </c>
      <c r="AD68" s="25">
        <f>AD64+AD65+AD66+AD67</f>
      </c>
      <c r="AE68" s="25">
        <f>AE64+AE65+AE66+AE67</f>
      </c>
      <c r="AF68" s="25">
        <f>AF64+AF65+AF66+AF67</f>
      </c>
      <c r="AG68" s="25">
        <f>AG64+AG65+AG66+AG67</f>
      </c>
      <c r="AH68" s="25">
        <f>AH64+AH65+AH66+AH67</f>
      </c>
      <c r="AI68" s="25">
        <f>AI64+AI65+AI66+AI67</f>
      </c>
      <c r="AJ68" s="25">
        <f>AJ64+AJ65+AJ66+AJ67</f>
      </c>
      <c r="AK68" s="25">
        <f>AK64+AK65+AK66+AK67</f>
      </c>
      <c r="AL68" s="25">
        <f>AL64+AL65+AL66+AL67</f>
      </c>
      <c r="AM6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2035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899</v>
      </c>
      <c r="E13" s="32"/>
      <c r="F13" s="32"/>
      <c r="G13" s="32"/>
      <c r="H13" s="33">
        <v>142.12</v>
      </c>
      <c r="I13" s="33">
        <v>95.58</v>
      </c>
      <c r="J13" s="33">
        <v>78.44</v>
      </c>
      <c r="K13" s="33">
        <v>75.13</v>
      </c>
      <c r="L13" s="33">
        <v>108.61</v>
      </c>
      <c r="M13" s="33">
        <v>181.94</v>
      </c>
      <c r="N13" s="33">
        <v>227.86</v>
      </c>
      <c r="O13" s="33">
        <v>215.79</v>
      </c>
      <c r="P13" s="33">
        <v>208.25</v>
      </c>
      <c r="Q13" s="33">
        <v>156.17</v>
      </c>
      <c r="R13" s="33">
        <v>87.62</v>
      </c>
      <c r="S13" s="33">
        <v>69.18</v>
      </c>
      <c r="T13" s="36">
        <f>0.00+95.80</f>
        <v>95.8</v>
      </c>
      <c r="U13" s="33">
        <v>202.12</v>
      </c>
      <c r="V13" s="33">
        <v>82.64</v>
      </c>
      <c r="W13" s="33">
        <v>109.64</v>
      </c>
      <c r="X13" s="33">
        <v>125.21</v>
      </c>
      <c r="Y13" s="33">
        <v>187.63</v>
      </c>
      <c r="Z13" s="32"/>
      <c r="AA13" s="33">
        <v>273.32</v>
      </c>
      <c r="AB13" s="33">
        <v>229.52</v>
      </c>
      <c r="AC13" s="32"/>
      <c r="AD13" s="33">
        <v>99.01</v>
      </c>
      <c r="AE13" s="33">
        <v>81.92</v>
      </c>
      <c r="AF13" s="33">
        <v>110.88</v>
      </c>
      <c r="AG13" s="33">
        <v>140.46</v>
      </c>
      <c r="AH13" s="33">
        <v>99.4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900</v>
      </c>
      <c r="E14" s="32"/>
      <c r="F14" s="32"/>
      <c r="G14" s="32"/>
      <c r="H14" s="33">
        <v>159.41</v>
      </c>
      <c r="I14" s="33">
        <v>155.9</v>
      </c>
      <c r="J14" s="33">
        <v>134.17</v>
      </c>
      <c r="K14" s="33">
        <v>162.32</v>
      </c>
      <c r="L14" s="33">
        <v>202.26</v>
      </c>
      <c r="M14" s="33">
        <v>240.09</v>
      </c>
      <c r="N14" s="33">
        <v>220.38</v>
      </c>
      <c r="O14" s="33">
        <v>216.49</v>
      </c>
      <c r="P14" s="33">
        <v>214.3</v>
      </c>
      <c r="Q14" s="33">
        <v>159.9</v>
      </c>
      <c r="R14" s="33">
        <v>157.41</v>
      </c>
      <c r="S14" s="33">
        <v>128.7</v>
      </c>
      <c r="T14" s="33">
        <v>159.23</v>
      </c>
      <c r="U14" s="33">
        <v>167.43</v>
      </c>
      <c r="V14" s="33">
        <v>137.79</v>
      </c>
      <c r="W14" s="33">
        <v>175.47</v>
      </c>
      <c r="X14" s="33">
        <v>214.99</v>
      </c>
      <c r="Y14" s="33">
        <v>245.57</v>
      </c>
      <c r="Z14" s="32"/>
      <c r="AA14" s="33">
        <v>203.62</v>
      </c>
      <c r="AB14" s="33">
        <v>199.04</v>
      </c>
      <c r="AC14" s="32"/>
      <c r="AD14" s="33">
        <v>133.58</v>
      </c>
      <c r="AE14" s="33">
        <v>126.45</v>
      </c>
      <c r="AF14" s="36">
        <f>59.55+0.00</f>
        <v>59.55</v>
      </c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2036</v>
      </c>
      <c r="E15" s="32"/>
      <c r="F15" s="32"/>
      <c r="G15" s="32"/>
      <c r="H15" s="33">
        <v>35.44</v>
      </c>
      <c r="I15" s="33">
        <v>35.42</v>
      </c>
      <c r="J15" s="33">
        <v>35.45</v>
      </c>
      <c r="K15" s="33">
        <v>35.45</v>
      </c>
      <c r="L15" s="33">
        <v>35.39</v>
      </c>
      <c r="M15" s="33">
        <v>35.4</v>
      </c>
      <c r="N15" s="33">
        <v>35.44</v>
      </c>
      <c r="O15" s="33">
        <v>35.47</v>
      </c>
      <c r="P15" s="33">
        <v>35.4</v>
      </c>
      <c r="Q15" s="33">
        <v>35.48</v>
      </c>
      <c r="R15" s="33">
        <v>35.47</v>
      </c>
      <c r="S15" s="33">
        <v>35.46</v>
      </c>
      <c r="T15" s="33">
        <v>35.47</v>
      </c>
      <c r="U15" s="33">
        <v>35.47</v>
      </c>
      <c r="V15" s="33">
        <v>35.46</v>
      </c>
      <c r="W15" s="33">
        <v>35.46</v>
      </c>
      <c r="X15" s="33">
        <v>35.43</v>
      </c>
      <c r="Y15" s="33">
        <v>35.46</v>
      </c>
      <c r="Z15" s="32"/>
      <c r="AA15" s="36">
        <f>35.44+-58.69</f>
        <v>-23.25</v>
      </c>
      <c r="AB15" s="33">
        <v>35.45</v>
      </c>
      <c r="AC15" s="32"/>
      <c r="AD15" s="33">
        <v>35.45</v>
      </c>
      <c r="AE15" s="33">
        <v>35.46</v>
      </c>
      <c r="AF15" s="33">
        <v>15.36</v>
      </c>
      <c r="AG15" s="32"/>
      <c r="AH15" s="32"/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901</v>
      </c>
      <c r="E16" s="32"/>
      <c r="F16" s="32"/>
      <c r="G16" s="32"/>
      <c r="H16" s="32"/>
      <c r="I16" s="33">
        <v>254.11</v>
      </c>
      <c r="J16" s="33">
        <v>254.11</v>
      </c>
      <c r="K16" s="33">
        <v>254.08</v>
      </c>
      <c r="L16" s="33">
        <v>254.11</v>
      </c>
      <c r="M16" s="33">
        <v>254.11</v>
      </c>
      <c r="N16" s="33">
        <v>250.43</v>
      </c>
      <c r="O16" s="33">
        <v>250.43</v>
      </c>
      <c r="P16" s="33">
        <v>250.43</v>
      </c>
      <c r="Q16" s="33">
        <v>250.46</v>
      </c>
      <c r="R16" s="33">
        <v>250.46</v>
      </c>
      <c r="S16" s="33">
        <v>247</v>
      </c>
      <c r="T16" s="33">
        <v>247</v>
      </c>
      <c r="U16" s="33">
        <v>262.04</v>
      </c>
      <c r="V16" s="33">
        <v>262.04</v>
      </c>
      <c r="W16" s="33">
        <v>281.82</v>
      </c>
      <c r="X16" s="33">
        <v>281.82</v>
      </c>
      <c r="Y16" s="33">
        <v>281.82</v>
      </c>
      <c r="Z16" s="33">
        <v>281.82</v>
      </c>
      <c r="AA16" s="33">
        <v>281.82</v>
      </c>
      <c r="AB16" s="33">
        <v>281.95</v>
      </c>
      <c r="AC16" s="33">
        <v>282.02</v>
      </c>
      <c r="AD16" s="32"/>
      <c r="AE16" s="33">
        <v>282.02</v>
      </c>
      <c r="AF16" s="33">
        <v>225.62</v>
      </c>
      <c r="AG16" s="32"/>
      <c r="AH16" s="32"/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2037</v>
      </c>
      <c r="E17" s="32"/>
      <c r="F17" s="32"/>
      <c r="G17" s="32"/>
      <c r="H17" s="33">
        <v>35.47</v>
      </c>
      <c r="I17" s="33">
        <v>35.47</v>
      </c>
      <c r="J17" s="33">
        <v>35.47</v>
      </c>
      <c r="K17" s="33">
        <v>35.48</v>
      </c>
      <c r="L17" s="33">
        <v>35.48</v>
      </c>
      <c r="M17" s="33">
        <v>16.55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2038</v>
      </c>
      <c r="E18" s="32"/>
      <c r="F18" s="32"/>
      <c r="G18" s="32"/>
      <c r="H18" s="33">
        <v>45.92</v>
      </c>
      <c r="I18" s="33">
        <v>57.31</v>
      </c>
      <c r="J18" s="33">
        <v>43.71</v>
      </c>
      <c r="K18" s="33">
        <v>44.51</v>
      </c>
      <c r="L18" s="33">
        <v>47.01</v>
      </c>
      <c r="M18" s="33">
        <v>52.34</v>
      </c>
      <c r="N18" s="33">
        <v>51.72</v>
      </c>
      <c r="O18" s="33">
        <v>53.45</v>
      </c>
      <c r="P18" s="33">
        <v>52.32</v>
      </c>
      <c r="Q18" s="33">
        <v>45.62</v>
      </c>
      <c r="R18" s="33">
        <v>41.17</v>
      </c>
      <c r="S18" s="33">
        <v>46.7</v>
      </c>
      <c r="T18" s="33">
        <v>47.56</v>
      </c>
      <c r="U18" s="33">
        <v>55.56</v>
      </c>
      <c r="V18" s="33">
        <v>46.1</v>
      </c>
      <c r="W18" s="33">
        <v>49.09</v>
      </c>
      <c r="X18" s="33">
        <v>49.65</v>
      </c>
      <c r="Y18" s="33">
        <v>56.92</v>
      </c>
      <c r="Z18" s="33">
        <v>61.41</v>
      </c>
      <c r="AA18" s="33">
        <v>64.76</v>
      </c>
      <c r="AB18" s="33">
        <v>68.4</v>
      </c>
      <c r="AC18" s="33">
        <v>63.9</v>
      </c>
      <c r="AD18" s="33">
        <v>53.04</v>
      </c>
      <c r="AE18" s="33">
        <v>49.27</v>
      </c>
      <c r="AF18" s="33">
        <v>59.3</v>
      </c>
      <c r="AG18" s="33">
        <v>52.82</v>
      </c>
      <c r="AH18" s="33">
        <v>43.19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2039</v>
      </c>
      <c r="E19" s="32"/>
      <c r="F19" s="32"/>
      <c r="G19" s="32"/>
      <c r="H19" s="32"/>
      <c r="I19" s="32"/>
      <c r="J19" s="32"/>
      <c r="K19" s="32"/>
      <c r="L19" s="33">
        <v>29.51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2040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>
        <v>176.34</v>
      </c>
      <c r="AB20" s="33">
        <v>190.35</v>
      </c>
      <c r="AC20" s="36">
        <f>237.10+63.86</f>
        <v>300.96</v>
      </c>
      <c r="AD20" s="32"/>
      <c r="AE20" s="32"/>
      <c r="AF20" s="32"/>
      <c r="AG20" s="32"/>
      <c r="AH20" s="32"/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2041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>
        <v>99.62</v>
      </c>
      <c r="AB21" s="33">
        <v>76.69</v>
      </c>
      <c r="AC21" s="33">
        <v>106.73</v>
      </c>
      <c r="AD21" s="33">
        <v>111.07</v>
      </c>
      <c r="AE21" s="33">
        <v>104.46</v>
      </c>
      <c r="AF21" s="36">
        <f>138.90+138.90</f>
        <v>277.8</v>
      </c>
      <c r="AG21" s="32"/>
      <c r="AH21" s="32"/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2042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>
        <v>129.41</v>
      </c>
      <c r="AC22" s="33">
        <v>146.12</v>
      </c>
      <c r="AD22" s="33">
        <v>166.31</v>
      </c>
      <c r="AE22" s="33">
        <v>105.63</v>
      </c>
      <c r="AF22" s="33">
        <v>189.9</v>
      </c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2043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6">
        <f>0.00+93.35</f>
        <v>93.35</v>
      </c>
      <c r="AG23" s="33">
        <v>136.97</v>
      </c>
      <c r="AH23" s="33">
        <v>119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2044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3">
        <v>382.26</v>
      </c>
      <c r="AH24" s="33">
        <v>267.44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2045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3">
        <v>24.8</v>
      </c>
      <c r="AG25" s="33">
        <v>35.8</v>
      </c>
      <c r="AH25" s="33">
        <v>35.78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2046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3">
        <v>251.12</v>
      </c>
      <c r="AH26" s="36">
        <f>200.59+0.00</f>
        <v>200.59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2047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6">
        <f>0.00+156.37</f>
        <v>156.37</v>
      </c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85</v>
      </c>
      <c r="C29" s="21"/>
      <c r="D29" s="21"/>
      <c r="E29" s="22">
        <f>SUM(E13:E27)</f>
      </c>
      <c r="F29" s="22">
        <f>SUM(F13:F27)</f>
      </c>
      <c r="G29" s="22">
        <f>SUM(G13:G27)</f>
      </c>
      <c r="H29" s="22">
        <f>SUM(H13:H27)</f>
      </c>
      <c r="I29" s="22">
        <f>SUM(I13:I27)</f>
      </c>
      <c r="J29" s="22">
        <f>SUM(J13:J27)</f>
      </c>
      <c r="K29" s="22">
        <f>SUM(K13:K27)</f>
      </c>
      <c r="L29" s="22">
        <f>SUM(L13:L27)</f>
      </c>
      <c r="M29" s="22">
        <f>SUM(M13:M27)</f>
      </c>
      <c r="N29" s="22">
        <f>SUM(N13:N27)</f>
      </c>
      <c r="O29" s="22">
        <f>SUM(O13:O27)</f>
      </c>
      <c r="P29" s="22">
        <f>SUM(P13:P27)</f>
      </c>
      <c r="Q29" s="22">
        <f>SUM(Q13:Q27)</f>
      </c>
      <c r="R29" s="22">
        <f>SUM(R13:R27)</f>
      </c>
      <c r="S29" s="22">
        <f>SUM(S13:S27)</f>
      </c>
      <c r="T29" s="22">
        <f>SUM(T13:T27)</f>
      </c>
      <c r="U29" s="22">
        <f>SUM(U13:U27)</f>
      </c>
      <c r="V29" s="22">
        <f>SUM(V13:V27)</f>
      </c>
      <c r="W29" s="22">
        <f>SUM(W13:W27)</f>
      </c>
      <c r="X29" s="22">
        <f>SUM(X13:X27)</f>
      </c>
      <c r="Y29" s="22">
        <f>SUM(Y13:Y27)</f>
      </c>
      <c r="Z29" s="22">
        <f>SUM(Z13:Z27)</f>
      </c>
      <c r="AA29" s="22">
        <f>SUM(AA13:AA27)</f>
      </c>
      <c r="AB29" s="22">
        <f>SUM(AB13:AB27)</f>
      </c>
      <c r="AC29" s="22">
        <f>SUM(AC13:AC27)</f>
      </c>
      <c r="AD29" s="22">
        <f>SUM(AD13:AD27)</f>
      </c>
      <c r="AE29" s="22">
        <f>SUM(AE13:AE27)</f>
      </c>
      <c r="AF29" s="22">
        <f>SUM(AF13:AF27)</f>
      </c>
      <c r="AG29" s="22">
        <f>SUM(AG13:AG27)</f>
      </c>
      <c r="AH29" s="22">
        <f>SUM(AH13:AH27)</f>
      </c>
      <c r="AI29" s="22">
        <f>SUM(AI13:AI27)</f>
      </c>
      <c r="AJ29" s="22">
        <f>SUM(AJ13:AJ27)</f>
      </c>
      <c r="AK29" s="23"/>
    </row>
    <row r="31" ht="12.75" customHeight="1" spans="2:37" x14ac:dyDescent="0.25">
      <c r="B31" s="26" t="s">
        <v>43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0" t="s">
        <v>43</v>
      </c>
      <c r="C32" s="31" t="s">
        <v>3</v>
      </c>
      <c r="D32" s="32" t="s">
        <v>2048</v>
      </c>
      <c r="E32" s="32"/>
      <c r="F32" s="32"/>
      <c r="G32" s="32"/>
      <c r="H32" s="36">
        <f>1039.24+1293.94+1532.02+836.00</f>
        <v>4701.200000000001</v>
      </c>
      <c r="I32" s="36">
        <f>1538.14+1299.25+1538.32+1316.03</f>
        <v>5691.74</v>
      </c>
      <c r="J32" s="36">
        <f>1263.40+1296.26+1051.69+1534.77</f>
        <v>5146.12</v>
      </c>
      <c r="K32" s="36">
        <f>1007.67+1293.29+805.67+1531.25</f>
        <v>4637.88</v>
      </c>
      <c r="L32" s="36">
        <f>1124.63+1280.00+1515.52+1012.07</f>
        <v>4932.22</v>
      </c>
      <c r="M32" s="36">
        <f>1273.89+1280.00+1515.52+1170.27</f>
        <v>5239.68</v>
      </c>
      <c r="N32" s="36">
        <f>1247.55+1280.00+1515.52+1142.35</f>
        <v>5185.42</v>
      </c>
      <c r="O32" s="36">
        <f>1276.88+1296.41+1064.67+1534.95</f>
        <v>5172.91</v>
      </c>
      <c r="P32" s="36">
        <f>1389.31+1297.60+1172.84+1536.35</f>
        <v>5396.1</v>
      </c>
      <c r="Q32" s="36">
        <f>927.09+1300.38+728.15+1530.03</f>
        <v>4485.650000000001</v>
      </c>
      <c r="R32" s="36">
        <f>1012.12+1312.71+1531.28+809.95</f>
        <v>4666.0599999999995</v>
      </c>
      <c r="S32" s="36">
        <f>900.24+1311.26+1529.59+702.33</f>
        <v>4443.42</v>
      </c>
      <c r="T32" s="36">
        <f>940.25+1299.20+816.64+1515.52</f>
        <v>4571.61</v>
      </c>
      <c r="U32" s="36">
        <f>900.19+1311.19+702.29+1529.51</f>
        <v>4443.18</v>
      </c>
      <c r="V32" s="36">
        <f>976.17+1312.07+1530.53+775.39</f>
        <v>4594.16</v>
      </c>
      <c r="W32" s="36">
        <f>1115.04+1313.77+908.99+1532.51</f>
        <v>4870.31</v>
      </c>
      <c r="X32" s="36">
        <f>1276.15+1626.62+1024.83+0.00</f>
        <v>3927.6</v>
      </c>
      <c r="Y32" s="36">
        <f>909.06+1311.21+710.84+1529.53</f>
        <v>4460.64</v>
      </c>
      <c r="Z32" s="36">
        <f>1029.89+1312.74+827.07+1531.31</f>
        <v>4701.01</v>
      </c>
      <c r="AA32" s="36">
        <f>882.24+1310.85+685.04+1529.11</f>
        <v>4407.24</v>
      </c>
      <c r="AB32" s="36">
        <f>913.54+1311.27+715.14+1529.60</f>
        <v>4469.549999999999</v>
      </c>
      <c r="AC32" s="36">
        <f>919.31+1320.37+720.50+1529.66</f>
        <v>4489.84</v>
      </c>
      <c r="AD32" s="36">
        <f>1037.39+1332.16+831.58+1531.34</f>
        <v>4732.47</v>
      </c>
      <c r="AE32" s="36">
        <f>1073.96+1332.61+866.79+1531.86</f>
        <v>4805.219999999999</v>
      </c>
      <c r="AF32" s="36">
        <f>1014.53+1331.88+1531.01+809.58</f>
        <v>4687</v>
      </c>
      <c r="AG32" s="36">
        <f>932.29+1330.77+1529.74+730.42</f>
        <v>4523.22</v>
      </c>
      <c r="AH32" s="32"/>
      <c r="AI32" s="32"/>
      <c r="AJ32" s="34">
        <f>SUM(E32:AI32)</f>
      </c>
      <c r="AK32" s="35"/>
    </row>
    <row r="33" ht="12.75" customHeight="1" spans="2:37" x14ac:dyDescent="0.25">
      <c r="B33" s="37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40"/>
    </row>
    <row r="34" ht="12.75" customHeight="1" spans="2:37" x14ac:dyDescent="0.25">
      <c r="B34" s="20" t="s">
        <v>89</v>
      </c>
      <c r="C34" s="21"/>
      <c r="D34" s="21"/>
      <c r="E34" s="22">
        <f>SUM(E32:E32)</f>
      </c>
      <c r="F34" s="22">
        <f>SUM(F32:F32)</f>
      </c>
      <c r="G34" s="22">
        <f>SUM(G32:G32)</f>
      </c>
      <c r="H34" s="22">
        <f>SUM(H32:H32)</f>
      </c>
      <c r="I34" s="22">
        <f>SUM(I32:I32)</f>
      </c>
      <c r="J34" s="22">
        <f>SUM(J32:J32)</f>
      </c>
      <c r="K34" s="22">
        <f>SUM(K32:K32)</f>
      </c>
      <c r="L34" s="22">
        <f>SUM(L32:L32)</f>
      </c>
      <c r="M34" s="22">
        <f>SUM(M32:M32)</f>
      </c>
      <c r="N34" s="22">
        <f>SUM(N32:N32)</f>
      </c>
      <c r="O34" s="22">
        <f>SUM(O32:O32)</f>
      </c>
      <c r="P34" s="22">
        <f>SUM(P32:P32)</f>
      </c>
      <c r="Q34" s="22">
        <f>SUM(Q32:Q32)</f>
      </c>
      <c r="R34" s="22">
        <f>SUM(R32:R32)</f>
      </c>
      <c r="S34" s="22">
        <f>SUM(S32:S32)</f>
      </c>
      <c r="T34" s="22">
        <f>SUM(T32:T32)</f>
      </c>
      <c r="U34" s="22">
        <f>SUM(U32:U32)</f>
      </c>
      <c r="V34" s="22">
        <f>SUM(V32:V32)</f>
      </c>
      <c r="W34" s="22">
        <f>SUM(W32:W32)</f>
      </c>
      <c r="X34" s="22">
        <f>SUM(X32:X32)</f>
      </c>
      <c r="Y34" s="22">
        <f>SUM(Y32:Y32)</f>
      </c>
      <c r="Z34" s="22">
        <f>SUM(Z32:Z32)</f>
      </c>
      <c r="AA34" s="22">
        <f>SUM(AA32:AA32)</f>
      </c>
      <c r="AB34" s="22">
        <f>SUM(AB32:AB32)</f>
      </c>
      <c r="AC34" s="22">
        <f>SUM(AC32:AC32)</f>
      </c>
      <c r="AD34" s="22">
        <f>SUM(AD32:AD32)</f>
      </c>
      <c r="AE34" s="22">
        <f>SUM(AE32:AE32)</f>
      </c>
      <c r="AF34" s="22">
        <f>SUM(AF32:AF32)</f>
      </c>
      <c r="AG34" s="22">
        <f>SUM(AG32:AG32)</f>
      </c>
      <c r="AH34" s="22">
        <f>SUM(AH32:AH32)</f>
      </c>
      <c r="AI34" s="22">
        <f>SUM(AI32:AI32)</f>
      </c>
      <c r="AJ34" s="22">
        <f>SUM(AJ32:AJ32)</f>
      </c>
      <c r="AK34" s="23"/>
    </row>
    <row r="36" ht="12.75" customHeight="1" spans="2:37" x14ac:dyDescent="0.25">
      <c r="B36" s="26" t="s">
        <v>44</v>
      </c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9"/>
    </row>
    <row r="37" ht="12.75" customHeight="1" spans="2:37" x14ac:dyDescent="0.25">
      <c r="B37" s="30" t="s">
        <v>44</v>
      </c>
      <c r="C37" s="31" t="s">
        <v>3</v>
      </c>
      <c r="D37" s="32" t="s">
        <v>2048</v>
      </c>
      <c r="E37" s="32"/>
      <c r="F37" s="32"/>
      <c r="G37" s="32"/>
      <c r="H37" s="33">
        <v>2977.35</v>
      </c>
      <c r="I37" s="33">
        <v>3056.56</v>
      </c>
      <c r="J37" s="33">
        <v>3131.78</v>
      </c>
      <c r="K37" s="33">
        <v>3124.57</v>
      </c>
      <c r="L37" s="33">
        <v>3092.48</v>
      </c>
      <c r="M37" s="33">
        <v>3092.48</v>
      </c>
      <c r="N37" s="33">
        <v>3092.48</v>
      </c>
      <c r="O37" s="33">
        <v>3132.12</v>
      </c>
      <c r="P37" s="33">
        <v>3135</v>
      </c>
      <c r="Q37" s="33">
        <v>3122.08</v>
      </c>
      <c r="R37" s="33">
        <v>3124.63</v>
      </c>
      <c r="S37" s="33">
        <v>3121.2</v>
      </c>
      <c r="T37" s="33">
        <v>3092.48</v>
      </c>
      <c r="U37" s="33">
        <v>3167.06</v>
      </c>
      <c r="V37" s="33">
        <v>3232.99</v>
      </c>
      <c r="W37" s="33">
        <v>3237.17</v>
      </c>
      <c r="X37" s="33">
        <v>4008.06</v>
      </c>
      <c r="Y37" s="33">
        <v>3230.86</v>
      </c>
      <c r="Z37" s="33">
        <v>3234.65</v>
      </c>
      <c r="AA37" s="33">
        <v>3230.01</v>
      </c>
      <c r="AB37" s="33">
        <v>3231</v>
      </c>
      <c r="AC37" s="33">
        <v>3231.15</v>
      </c>
      <c r="AD37" s="33">
        <v>3234.69</v>
      </c>
      <c r="AE37" s="33">
        <v>3235.8</v>
      </c>
      <c r="AF37" s="33">
        <v>3234</v>
      </c>
      <c r="AG37" s="33">
        <v>3262.32</v>
      </c>
      <c r="AH37" s="32"/>
      <c r="AI37" s="32"/>
      <c r="AJ37" s="34">
        <f>SUM(E37:AI37)</f>
      </c>
      <c r="AK37" s="35"/>
    </row>
    <row r="38" ht="12.75" customHeight="1" spans="2:37" x14ac:dyDescent="0.25">
      <c r="B38" s="37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40"/>
    </row>
    <row r="39" ht="12.75" customHeight="1" spans="2:37" x14ac:dyDescent="0.25">
      <c r="B39" s="20" t="s">
        <v>90</v>
      </c>
      <c r="C39" s="21"/>
      <c r="D39" s="21"/>
      <c r="E39" s="22">
        <f>SUM(E37:E37)</f>
      </c>
      <c r="F39" s="22">
        <f>SUM(F37:F37)</f>
      </c>
      <c r="G39" s="22">
        <f>SUM(G37:G37)</f>
      </c>
      <c r="H39" s="22">
        <f>SUM(H37:H37)</f>
      </c>
      <c r="I39" s="22">
        <f>SUM(I37:I37)</f>
      </c>
      <c r="J39" s="22">
        <f>SUM(J37:J37)</f>
      </c>
      <c r="K39" s="22">
        <f>SUM(K37:K37)</f>
      </c>
      <c r="L39" s="22">
        <f>SUM(L37:L37)</f>
      </c>
      <c r="M39" s="22">
        <f>SUM(M37:M37)</f>
      </c>
      <c r="N39" s="22">
        <f>SUM(N37:N37)</f>
      </c>
      <c r="O39" s="22">
        <f>SUM(O37:O37)</f>
      </c>
      <c r="P39" s="22">
        <f>SUM(P37:P37)</f>
      </c>
      <c r="Q39" s="22">
        <f>SUM(Q37:Q37)</f>
      </c>
      <c r="R39" s="22">
        <f>SUM(R37:R37)</f>
      </c>
      <c r="S39" s="22">
        <f>SUM(S37:S37)</f>
      </c>
      <c r="T39" s="22">
        <f>SUM(T37:T37)</f>
      </c>
      <c r="U39" s="22">
        <f>SUM(U37:U37)</f>
      </c>
      <c r="V39" s="22">
        <f>SUM(V37:V37)</f>
      </c>
      <c r="W39" s="22">
        <f>SUM(W37:W37)</f>
      </c>
      <c r="X39" s="22">
        <f>SUM(X37:X37)</f>
      </c>
      <c r="Y39" s="22">
        <f>SUM(Y37:Y37)</f>
      </c>
      <c r="Z39" s="22">
        <f>SUM(Z37:Z37)</f>
      </c>
      <c r="AA39" s="22">
        <f>SUM(AA37:AA37)</f>
      </c>
      <c r="AB39" s="22">
        <f>SUM(AB37:AB37)</f>
      </c>
      <c r="AC39" s="22">
        <f>SUM(AC37:AC37)</f>
      </c>
      <c r="AD39" s="22">
        <f>SUM(AD37:AD37)</f>
      </c>
      <c r="AE39" s="22">
        <f>SUM(AE37:AE37)</f>
      </c>
      <c r="AF39" s="22">
        <f>SUM(AF37:AF37)</f>
      </c>
      <c r="AG39" s="22">
        <f>SUM(AG37:AG37)</f>
      </c>
      <c r="AH39" s="22">
        <f>SUM(AH37:AH37)</f>
      </c>
      <c r="AI39" s="22">
        <f>SUM(AI37:AI37)</f>
      </c>
      <c r="AJ39" s="22">
        <f>SUM(AJ37:AJ37)</f>
      </c>
      <c r="AK39" s="23"/>
    </row>
    <row r="42" ht="12.75" customHeight="1" spans="2:37" x14ac:dyDescent="0.25">
      <c r="B42" s="11" t="s">
        <v>40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>
        <f>E10</f>
      </c>
      <c r="F43" s="18">
        <f>F10</f>
      </c>
      <c r="G43" s="18">
        <f>G10</f>
      </c>
      <c r="H43" s="18">
        <f>H10</f>
      </c>
      <c r="I43" s="18">
        <f>I10</f>
      </c>
      <c r="J43" s="18">
        <f>J10</f>
      </c>
      <c r="K43" s="18">
        <f>K10</f>
      </c>
      <c r="L43" s="18">
        <f>L10</f>
      </c>
      <c r="M43" s="18">
        <f>M10</f>
      </c>
      <c r="N43" s="18">
        <f>N10</f>
      </c>
      <c r="O43" s="18">
        <f>O10</f>
      </c>
      <c r="P43" s="18">
        <f>P10</f>
      </c>
      <c r="Q43" s="18">
        <f>Q10</f>
      </c>
      <c r="R43" s="18">
        <f>R10</f>
      </c>
      <c r="S43" s="18">
        <f>S10</f>
      </c>
      <c r="T43" s="18">
        <f>T10</f>
      </c>
      <c r="U43" s="18">
        <f>U10</f>
      </c>
      <c r="V43" s="18">
        <f>V10</f>
      </c>
      <c r="W43" s="18">
        <f>W10</f>
      </c>
      <c r="X43" s="18">
        <f>X10</f>
      </c>
      <c r="Y43" s="18">
        <f>Y10</f>
      </c>
      <c r="Z43" s="18">
        <f>Z10</f>
      </c>
      <c r="AA43" s="18">
        <f>AA10</f>
      </c>
      <c r="AB43" s="18">
        <f>AB10</f>
      </c>
      <c r="AC43" s="18">
        <f>AC10</f>
      </c>
      <c r="AD43" s="18">
        <f>AD10</f>
      </c>
      <c r="AE43" s="18">
        <f>AE10</f>
      </c>
      <c r="AF43" s="18">
        <f>AF10</f>
      </c>
      <c r="AG43" s="18">
        <f>AG10</f>
      </c>
      <c r="AH43" s="18">
        <f>AH10</f>
      </c>
      <c r="AI43" s="18">
        <f>AI10</f>
      </c>
      <c r="AJ43" s="18">
        <f>AJ10</f>
      </c>
      <c r="AK43" s="19"/>
    </row>
    <row r="44" ht="12.75" customHeight="1" spans="2:37" x14ac:dyDescent="0.25">
      <c r="B44" s="16" t="s">
        <v>42</v>
      </c>
      <c r="C44" s="17"/>
      <c r="D44" s="17"/>
      <c r="E44" s="18">
        <f>E29</f>
      </c>
      <c r="F44" s="18">
        <f>F29</f>
      </c>
      <c r="G44" s="18">
        <f>G29</f>
      </c>
      <c r="H44" s="18">
        <f>H29</f>
      </c>
      <c r="I44" s="18">
        <f>I29</f>
      </c>
      <c r="J44" s="18">
        <f>J29</f>
      </c>
      <c r="K44" s="18">
        <f>K29</f>
      </c>
      <c r="L44" s="18">
        <f>L29</f>
      </c>
      <c r="M44" s="18">
        <f>M29</f>
      </c>
      <c r="N44" s="18">
        <f>N29</f>
      </c>
      <c r="O44" s="18">
        <f>O29</f>
      </c>
      <c r="P44" s="18">
        <f>P29</f>
      </c>
      <c r="Q44" s="18">
        <f>Q29</f>
      </c>
      <c r="R44" s="18">
        <f>R29</f>
      </c>
      <c r="S44" s="18">
        <f>S29</f>
      </c>
      <c r="T44" s="18">
        <f>T29</f>
      </c>
      <c r="U44" s="18">
        <f>U29</f>
      </c>
      <c r="V44" s="18">
        <f>V29</f>
      </c>
      <c r="W44" s="18">
        <f>W29</f>
      </c>
      <c r="X44" s="18">
        <f>X29</f>
      </c>
      <c r="Y44" s="18">
        <f>Y29</f>
      </c>
      <c r="Z44" s="18">
        <f>Z29</f>
      </c>
      <c r="AA44" s="18">
        <f>AA29</f>
      </c>
      <c r="AB44" s="18">
        <f>AB29</f>
      </c>
      <c r="AC44" s="18">
        <f>AC29</f>
      </c>
      <c r="AD44" s="18">
        <f>AD29</f>
      </c>
      <c r="AE44" s="18">
        <f>AE29</f>
      </c>
      <c r="AF44" s="18">
        <f>AF29</f>
      </c>
      <c r="AG44" s="18">
        <f>AG29</f>
      </c>
      <c r="AH44" s="18">
        <f>AH29</f>
      </c>
      <c r="AI44" s="18">
        <f>AI29</f>
      </c>
      <c r="AJ44" s="18">
        <f>AJ29</f>
      </c>
      <c r="AK44" s="19"/>
    </row>
    <row r="45" ht="12.75" customHeight="1" spans="2:37" x14ac:dyDescent="0.25">
      <c r="B45" s="16" t="s">
        <v>43</v>
      </c>
      <c r="C45" s="17"/>
      <c r="D45" s="17"/>
      <c r="E45" s="18">
        <f>E34</f>
      </c>
      <c r="F45" s="18">
        <f>F34</f>
      </c>
      <c r="G45" s="18">
        <f>G34</f>
      </c>
      <c r="H45" s="18">
        <f>H34</f>
      </c>
      <c r="I45" s="18">
        <f>I34</f>
      </c>
      <c r="J45" s="18">
        <f>J34</f>
      </c>
      <c r="K45" s="18">
        <f>K34</f>
      </c>
      <c r="L45" s="18">
        <f>L34</f>
      </c>
      <c r="M45" s="18">
        <f>M34</f>
      </c>
      <c r="N45" s="18">
        <f>N34</f>
      </c>
      <c r="O45" s="18">
        <f>O34</f>
      </c>
      <c r="P45" s="18">
        <f>P34</f>
      </c>
      <c r="Q45" s="18">
        <f>Q34</f>
      </c>
      <c r="R45" s="18">
        <f>R34</f>
      </c>
      <c r="S45" s="18">
        <f>S34</f>
      </c>
      <c r="T45" s="18">
        <f>T34</f>
      </c>
      <c r="U45" s="18">
        <f>U34</f>
      </c>
      <c r="V45" s="18">
        <f>V34</f>
      </c>
      <c r="W45" s="18">
        <f>W34</f>
      </c>
      <c r="X45" s="18">
        <f>X34</f>
      </c>
      <c r="Y45" s="18">
        <f>Y34</f>
      </c>
      <c r="Z45" s="18">
        <f>Z34</f>
      </c>
      <c r="AA45" s="18">
        <f>AA34</f>
      </c>
      <c r="AB45" s="18">
        <f>AB34</f>
      </c>
      <c r="AC45" s="18">
        <f>AC34</f>
      </c>
      <c r="AD45" s="18">
        <f>AD34</f>
      </c>
      <c r="AE45" s="18">
        <f>AE34</f>
      </c>
      <c r="AF45" s="18">
        <f>AF34</f>
      </c>
      <c r="AG45" s="18">
        <f>AG34</f>
      </c>
      <c r="AH45" s="18">
        <f>AH34</f>
      </c>
      <c r="AI45" s="18">
        <f>AI34</f>
      </c>
      <c r="AJ45" s="18">
        <f>AJ34</f>
      </c>
      <c r="AK45" s="19"/>
    </row>
    <row r="46" ht="12.75" customHeight="1" spans="2:37" x14ac:dyDescent="0.25">
      <c r="B46" s="16" t="s">
        <v>44</v>
      </c>
      <c r="C46" s="17"/>
      <c r="D46" s="17"/>
      <c r="E46" s="18">
        <f>E39</f>
      </c>
      <c r="F46" s="18">
        <f>F39</f>
      </c>
      <c r="G46" s="18">
        <f>G39</f>
      </c>
      <c r="H46" s="18">
        <f>H39</f>
      </c>
      <c r="I46" s="18">
        <f>I39</f>
      </c>
      <c r="J46" s="18">
        <f>J39</f>
      </c>
      <c r="K46" s="18">
        <f>K39</f>
      </c>
      <c r="L46" s="18">
        <f>L39</f>
      </c>
      <c r="M46" s="18">
        <f>M39</f>
      </c>
      <c r="N46" s="18">
        <f>N39</f>
      </c>
      <c r="O46" s="18">
        <f>O39</f>
      </c>
      <c r="P46" s="18">
        <f>P39</f>
      </c>
      <c r="Q46" s="18">
        <f>Q39</f>
      </c>
      <c r="R46" s="18">
        <f>R39</f>
      </c>
      <c r="S46" s="18">
        <f>S39</f>
      </c>
      <c r="T46" s="18">
        <f>T39</f>
      </c>
      <c r="U46" s="18">
        <f>U39</f>
      </c>
      <c r="V46" s="18">
        <f>V39</f>
      </c>
      <c r="W46" s="18">
        <f>W39</f>
      </c>
      <c r="X46" s="18">
        <f>X39</f>
      </c>
      <c r="Y46" s="18">
        <f>Y39</f>
      </c>
      <c r="Z46" s="18">
        <f>Z39</f>
      </c>
      <c r="AA46" s="18">
        <f>AA39</f>
      </c>
      <c r="AB46" s="18">
        <f>AB39</f>
      </c>
      <c r="AC46" s="18">
        <f>AC39</f>
      </c>
      <c r="AD46" s="18">
        <f>AD39</f>
      </c>
      <c r="AE46" s="18">
        <f>AE39</f>
      </c>
      <c r="AF46" s="18">
        <f>AF39</f>
      </c>
      <c r="AG46" s="18">
        <f>AG39</f>
      </c>
      <c r="AH46" s="18">
        <f>AH39</f>
      </c>
      <c r="AI46" s="18">
        <f>AI39</f>
      </c>
      <c r="AJ46" s="18">
        <f>AJ39</f>
      </c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46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16" t="s">
        <v>42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16" t="s">
        <v>43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ht="12.75" customHeight="1" spans="2:37" x14ac:dyDescent="0.25">
      <c r="B53" s="16" t="s">
        <v>44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20" t="s">
        <v>45</v>
      </c>
      <c r="C54" s="21"/>
      <c r="D54" s="21"/>
      <c r="E54" s="22">
        <f>E50+E51+E52+E53</f>
      </c>
      <c r="F54" s="22">
        <f>F50+F51+F52+F53</f>
      </c>
      <c r="G54" s="22">
        <f>G50+G51+G52+G53</f>
      </c>
      <c r="H54" s="22">
        <f>H50+H51+H52+H53</f>
      </c>
      <c r="I54" s="22">
        <f>I50+I51+I52+I53</f>
      </c>
      <c r="J54" s="22">
        <f>J50+J51+J52+J53</f>
      </c>
      <c r="K54" s="22">
        <f>K50+K51+K52+K53</f>
      </c>
      <c r="L54" s="22">
        <f>L50+L51+L52+L53</f>
      </c>
      <c r="M54" s="22">
        <f>M50+M51+M52+M53</f>
      </c>
      <c r="N54" s="22">
        <f>N50+N51+N52+N53</f>
      </c>
      <c r="O54" s="22">
        <f>O50+O51+O52+O53</f>
      </c>
      <c r="P54" s="22">
        <f>P50+P51+P52+P53</f>
      </c>
      <c r="Q54" s="22">
        <f>Q50+Q51+Q52+Q53</f>
      </c>
      <c r="R54" s="22">
        <f>R50+R51+R52+R53</f>
      </c>
      <c r="S54" s="22">
        <f>S50+S51+S52+S53</f>
      </c>
      <c r="T54" s="22">
        <f>T50+T51+T52+T53</f>
      </c>
      <c r="U54" s="22">
        <f>U50+U51+U52+U53</f>
      </c>
      <c r="V54" s="22">
        <f>V50+V51+V52+V53</f>
      </c>
      <c r="W54" s="22">
        <f>W50+W51+W52+W53</f>
      </c>
      <c r="X54" s="22">
        <f>X50+X51+X52+X53</f>
      </c>
      <c r="Y54" s="22">
        <f>Y50+Y51+Y52+Y53</f>
      </c>
      <c r="Z54" s="22">
        <f>Z50+Z51+Z52+Z53</f>
      </c>
      <c r="AA54" s="22">
        <f>AA50+AA51+AA52+AA53</f>
      </c>
      <c r="AB54" s="22">
        <f>AB50+AB51+AB52+AB53</f>
      </c>
      <c r="AC54" s="22">
        <f>AC50+AC51+AC52+AC53</f>
      </c>
      <c r="AD54" s="22">
        <f>AD50+AD51+AD52+AD53</f>
      </c>
      <c r="AE54" s="22">
        <f>AE50+AE51+AE52+AE53</f>
      </c>
      <c r="AF54" s="22">
        <f>AF50+AF51+AF52+AF53</f>
      </c>
      <c r="AG54" s="22">
        <f>AG50+AG51+AG52+AG53</f>
      </c>
      <c r="AH54" s="22">
        <f>AH50+AH51+AH52+AH53</f>
      </c>
      <c r="AI54" s="22">
        <f>AI50+AI51+AI52+AI53</f>
      </c>
      <c r="AJ54" s="22">
        <f>AJ50+AJ51+AJ52+AJ53</f>
      </c>
      <c r="AK54" s="23"/>
    </row>
    <row r="56" ht="12.75" customHeight="1" spans="2:37" x14ac:dyDescent="0.25">
      <c r="B56" s="11" t="s">
        <v>47</v>
      </c>
      <c r="C56" s="12"/>
      <c r="D56" s="13"/>
      <c r="E56" s="14" t="s">
        <v>7</v>
      </c>
      <c r="F56" s="14" t="s">
        <v>8</v>
      </c>
      <c r="G56" s="14" t="s">
        <v>9</v>
      </c>
      <c r="H56" s="14" t="s">
        <v>10</v>
      </c>
      <c r="I56" s="14" t="s">
        <v>11</v>
      </c>
      <c r="J56" s="14" t="s">
        <v>12</v>
      </c>
      <c r="K56" s="14" t="s">
        <v>13</v>
      </c>
      <c r="L56" s="14" t="s">
        <v>14</v>
      </c>
      <c r="M56" s="14" t="s">
        <v>15</v>
      </c>
      <c r="N56" s="14" t="s">
        <v>16</v>
      </c>
      <c r="O56" s="14" t="s">
        <v>17</v>
      </c>
      <c r="P56" s="14" t="s">
        <v>18</v>
      </c>
      <c r="Q56" s="14" t="s">
        <v>19</v>
      </c>
      <c r="R56" s="14" t="s">
        <v>20</v>
      </c>
      <c r="S56" s="14" t="s">
        <v>21</v>
      </c>
      <c r="T56" s="14" t="s">
        <v>22</v>
      </c>
      <c r="U56" s="14" t="s">
        <v>23</v>
      </c>
      <c r="V56" s="14" t="s">
        <v>24</v>
      </c>
      <c r="W56" s="14" t="s">
        <v>25</v>
      </c>
      <c r="X56" s="14" t="s">
        <v>26</v>
      </c>
      <c r="Y56" s="14" t="s">
        <v>27</v>
      </c>
      <c r="Z56" s="14" t="s">
        <v>28</v>
      </c>
      <c r="AA56" s="14" t="s">
        <v>29</v>
      </c>
      <c r="AB56" s="14" t="s">
        <v>30</v>
      </c>
      <c r="AC56" s="14" t="s">
        <v>31</v>
      </c>
      <c r="AD56" s="14" t="s">
        <v>32</v>
      </c>
      <c r="AE56" s="14" t="s">
        <v>33</v>
      </c>
      <c r="AF56" s="14" t="s">
        <v>34</v>
      </c>
      <c r="AG56" s="14" t="s">
        <v>35</v>
      </c>
      <c r="AH56" s="14" t="s">
        <v>36</v>
      </c>
      <c r="AI56" s="14" t="s">
        <v>37</v>
      </c>
      <c r="AJ56" s="14" t="s">
        <v>38</v>
      </c>
      <c r="AK56" s="15"/>
    </row>
    <row r="57" ht="12.75" customHeight="1" spans="2:37" x14ac:dyDescent="0.25">
      <c r="B57" s="16" t="s">
        <v>41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16" t="s">
        <v>42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16" t="s">
        <v>43</v>
      </c>
      <c r="C59" s="17"/>
      <c r="D59" s="17"/>
      <c r="E59" s="24">
        <f>E52-E45</f>
      </c>
      <c r="F59" s="24">
        <f>F52-F45</f>
      </c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19"/>
    </row>
    <row r="60" ht="12.75" customHeight="1" spans="2:37" x14ac:dyDescent="0.25">
      <c r="B60" s="16" t="s">
        <v>44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20" t="s">
        <v>45</v>
      </c>
      <c r="C61" s="21"/>
      <c r="D61" s="21"/>
      <c r="E61" s="25">
        <f>E57+E58+E59+E60</f>
      </c>
      <c r="F61" s="25">
        <f>F57+F58+F59+F60</f>
      </c>
      <c r="G61" s="25">
        <f>G57+G58+G59+G60</f>
      </c>
      <c r="H61" s="25">
        <f>H57+H58+H59+H60</f>
      </c>
      <c r="I61" s="25">
        <f>I57+I58+I59+I60</f>
      </c>
      <c r="J61" s="25">
        <f>J57+J58+J59+J60</f>
      </c>
      <c r="K61" s="25">
        <f>K57+K58+K59+K60</f>
      </c>
      <c r="L61" s="25">
        <f>L57+L58+L59+L60</f>
      </c>
      <c r="M61" s="25">
        <f>M57+M58+M59+M60</f>
      </c>
      <c r="N61" s="25">
        <f>N57+N58+N59+N60</f>
      </c>
      <c r="O61" s="25">
        <f>O57+O58+O59+O60</f>
      </c>
      <c r="P61" s="25">
        <f>P57+P58+P59+P60</f>
      </c>
      <c r="Q61" s="25">
        <f>Q57+Q58+Q59+Q60</f>
      </c>
      <c r="R61" s="25">
        <f>R57+R58+R59+R60</f>
      </c>
      <c r="S61" s="25">
        <f>S57+S58+S59+S60</f>
      </c>
      <c r="T61" s="25">
        <f>T57+T58+T59+T60</f>
      </c>
      <c r="U61" s="25">
        <f>U57+U58+U59+U60</f>
      </c>
      <c r="V61" s="25">
        <f>V57+V58+V59+V60</f>
      </c>
      <c r="W61" s="25">
        <f>W57+W58+W59+W60</f>
      </c>
      <c r="X61" s="25">
        <f>X57+X58+X59+X60</f>
      </c>
      <c r="Y61" s="25">
        <f>Y57+Y58+Y59+Y60</f>
      </c>
      <c r="Z61" s="25">
        <f>Z57+Z58+Z59+Z60</f>
      </c>
      <c r="AA61" s="25">
        <f>AA57+AA58+AA59+AA60</f>
      </c>
      <c r="AB61" s="25">
        <f>AB57+AB58+AB59+AB60</f>
      </c>
      <c r="AC61" s="25">
        <f>AC57+AC58+AC59+AC60</f>
      </c>
      <c r="AD61" s="25">
        <f>AD57+AD58+AD59+AD60</f>
      </c>
      <c r="AE61" s="25">
        <f>AE57+AE58+AE59+AE60</f>
      </c>
      <c r="AF61" s="25">
        <f>AF57+AF58+AF59+AF60</f>
      </c>
      <c r="AG61" s="25">
        <f>AG57+AG58+AG59+AG60</f>
      </c>
      <c r="AH61" s="25">
        <f>AH57+AH58+AH59+AH60</f>
      </c>
      <c r="AI61" s="25">
        <f>AI57+AI58+AI59+AI60</f>
      </c>
      <c r="AJ61" s="25">
        <f>AJ57+AJ58+AJ59+AJ60</f>
      </c>
      <c r="AK6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2035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2049</v>
      </c>
      <c r="K8" s="44" t="s">
        <v>2050</v>
      </c>
      <c r="L8" s="44" t="s">
        <v>2051</v>
      </c>
      <c r="M8" s="44" t="s">
        <v>2052</v>
      </c>
      <c r="N8" s="44" t="s">
        <v>2053</v>
      </c>
      <c r="O8" s="44" t="s">
        <v>2054</v>
      </c>
      <c r="P8" s="44" t="s">
        <v>2055</v>
      </c>
      <c r="Q8" s="44" t="s">
        <v>2056</v>
      </c>
      <c r="R8" s="44" t="s">
        <v>2057</v>
      </c>
      <c r="S8" s="44" t="s">
        <v>2058</v>
      </c>
      <c r="T8" s="44" t="s">
        <v>2059</v>
      </c>
      <c r="U8" s="44" t="s">
        <v>2060</v>
      </c>
      <c r="V8" s="44" t="s">
        <v>2061</v>
      </c>
      <c r="W8" s="44" t="s">
        <v>2062</v>
      </c>
      <c r="X8" s="44" t="s">
        <v>2063</v>
      </c>
      <c r="Y8" s="44" t="s">
        <v>2064</v>
      </c>
      <c r="Z8" s="44" t="s">
        <v>2065</v>
      </c>
      <c r="AA8" s="44" t="s">
        <v>2066</v>
      </c>
      <c r="AB8" s="44" t="s">
        <v>2067</v>
      </c>
      <c r="AC8" s="44" t="s">
        <v>2068</v>
      </c>
      <c r="AD8" s="44" t="s">
        <v>2069</v>
      </c>
      <c r="AE8" s="44" t="s">
        <v>2070</v>
      </c>
      <c r="AF8" s="44" t="s">
        <v>2071</v>
      </c>
      <c r="AG8" s="44" t="s">
        <v>2072</v>
      </c>
      <c r="AH8" s="44" t="s">
        <v>2073</v>
      </c>
      <c r="AI8" s="44" t="s">
        <v>2074</v>
      </c>
      <c r="AJ8" s="44" t="s">
        <v>2075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2035</v>
      </c>
      <c r="D14" s="50" t="s">
        <v>42</v>
      </c>
      <c r="E14" s="32" t="s">
        <v>3</v>
      </c>
      <c r="F14" s="32" t="s">
        <v>899</v>
      </c>
      <c r="G14" s="32"/>
      <c r="H14" s="32"/>
      <c r="I14" s="32"/>
      <c r="J14" s="33">
        <v>142.12</v>
      </c>
      <c r="K14" s="33">
        <v>95.58</v>
      </c>
      <c r="L14" s="33">
        <v>78.44</v>
      </c>
      <c r="M14" s="33">
        <v>75.13</v>
      </c>
      <c r="N14" s="33">
        <v>108.61</v>
      </c>
      <c r="O14" s="33">
        <v>181.94</v>
      </c>
      <c r="P14" s="33">
        <v>227.86</v>
      </c>
      <c r="Q14" s="33">
        <v>215.79</v>
      </c>
      <c r="R14" s="33">
        <v>208.25</v>
      </c>
      <c r="S14" s="33">
        <v>156.17</v>
      </c>
      <c r="T14" s="33">
        <v>87.62</v>
      </c>
      <c r="U14" s="33">
        <v>69.18</v>
      </c>
      <c r="V14" s="33">
        <f>0.00+95.80</f>
        <v>95.8</v>
      </c>
      <c r="W14" s="33">
        <v>202.12</v>
      </c>
      <c r="X14" s="33">
        <v>82.64</v>
      </c>
      <c r="Y14" s="33">
        <v>109.64</v>
      </c>
      <c r="Z14" s="33">
        <v>125.21</v>
      </c>
      <c r="AA14" s="33">
        <v>187.63</v>
      </c>
      <c r="AB14" s="32"/>
      <c r="AC14" s="33">
        <v>273.32</v>
      </c>
      <c r="AD14" s="33">
        <v>229.52</v>
      </c>
      <c r="AE14" s="32"/>
      <c r="AF14" s="33">
        <v>99.01</v>
      </c>
      <c r="AG14" s="33">
        <v>81.92</v>
      </c>
      <c r="AH14" s="33">
        <v>110.88</v>
      </c>
      <c r="AI14" s="33">
        <v>140.46</v>
      </c>
      <c r="AJ14" s="33">
        <v>99.4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2035</v>
      </c>
      <c r="D15" s="50" t="s">
        <v>42</v>
      </c>
      <c r="E15" s="32" t="s">
        <v>3</v>
      </c>
      <c r="F15" s="32" t="s">
        <v>900</v>
      </c>
      <c r="G15" s="32"/>
      <c r="H15" s="32"/>
      <c r="I15" s="32"/>
      <c r="J15" s="33">
        <v>159.41</v>
      </c>
      <c r="K15" s="33">
        <v>155.9</v>
      </c>
      <c r="L15" s="33">
        <v>134.17</v>
      </c>
      <c r="M15" s="33">
        <v>162.32</v>
      </c>
      <c r="N15" s="33">
        <v>202.26</v>
      </c>
      <c r="O15" s="33">
        <v>240.09</v>
      </c>
      <c r="P15" s="33">
        <v>220.38</v>
      </c>
      <c r="Q15" s="33">
        <v>216.49</v>
      </c>
      <c r="R15" s="33">
        <v>214.3</v>
      </c>
      <c r="S15" s="33">
        <v>159.9</v>
      </c>
      <c r="T15" s="33">
        <v>157.41</v>
      </c>
      <c r="U15" s="33">
        <v>128.7</v>
      </c>
      <c r="V15" s="33">
        <v>159.23</v>
      </c>
      <c r="W15" s="33">
        <v>167.43</v>
      </c>
      <c r="X15" s="33">
        <v>137.79</v>
      </c>
      <c r="Y15" s="33">
        <v>175.47</v>
      </c>
      <c r="Z15" s="33">
        <v>214.99</v>
      </c>
      <c r="AA15" s="33">
        <v>245.57</v>
      </c>
      <c r="AB15" s="32"/>
      <c r="AC15" s="33">
        <v>203.62</v>
      </c>
      <c r="AD15" s="33">
        <v>199.04</v>
      </c>
      <c r="AE15" s="32"/>
      <c r="AF15" s="33">
        <v>133.58</v>
      </c>
      <c r="AG15" s="33">
        <v>126.45</v>
      </c>
      <c r="AH15" s="33">
        <f>59.55+0.00</f>
        <v>59.55</v>
      </c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2035</v>
      </c>
      <c r="D16" s="50" t="s">
        <v>42</v>
      </c>
      <c r="E16" s="32" t="s">
        <v>3</v>
      </c>
      <c r="F16" s="32" t="s">
        <v>2036</v>
      </c>
      <c r="G16" s="32"/>
      <c r="H16" s="32"/>
      <c r="I16" s="32"/>
      <c r="J16" s="33">
        <v>35.44</v>
      </c>
      <c r="K16" s="33">
        <v>35.42</v>
      </c>
      <c r="L16" s="33">
        <v>35.45</v>
      </c>
      <c r="M16" s="33">
        <v>35.45</v>
      </c>
      <c r="N16" s="33">
        <v>35.39</v>
      </c>
      <c r="O16" s="33">
        <v>35.4</v>
      </c>
      <c r="P16" s="33">
        <v>35.44</v>
      </c>
      <c r="Q16" s="33">
        <v>35.47</v>
      </c>
      <c r="R16" s="33">
        <v>35.4</v>
      </c>
      <c r="S16" s="33">
        <v>35.48</v>
      </c>
      <c r="T16" s="33">
        <v>35.47</v>
      </c>
      <c r="U16" s="33">
        <v>35.46</v>
      </c>
      <c r="V16" s="33">
        <v>35.47</v>
      </c>
      <c r="W16" s="33">
        <v>35.47</v>
      </c>
      <c r="X16" s="33">
        <v>35.46</v>
      </c>
      <c r="Y16" s="33">
        <v>35.46</v>
      </c>
      <c r="Z16" s="33">
        <v>35.43</v>
      </c>
      <c r="AA16" s="33">
        <v>35.46</v>
      </c>
      <c r="AB16" s="32"/>
      <c r="AC16" s="33">
        <f>35.44+-58.69</f>
        <v>-23.25</v>
      </c>
      <c r="AD16" s="33">
        <v>35.45</v>
      </c>
      <c r="AE16" s="32"/>
      <c r="AF16" s="33">
        <v>35.45</v>
      </c>
      <c r="AG16" s="33">
        <v>35.46</v>
      </c>
      <c r="AH16" s="33">
        <v>15.36</v>
      </c>
      <c r="AI16" s="32"/>
      <c r="AJ16" s="32"/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2035</v>
      </c>
      <c r="D17" s="50" t="s">
        <v>42</v>
      </c>
      <c r="E17" s="32" t="s">
        <v>3</v>
      </c>
      <c r="F17" s="32" t="s">
        <v>901</v>
      </c>
      <c r="G17" s="32"/>
      <c r="H17" s="32"/>
      <c r="I17" s="32"/>
      <c r="J17" s="32"/>
      <c r="K17" s="33">
        <v>254.11</v>
      </c>
      <c r="L17" s="33">
        <v>254.11</v>
      </c>
      <c r="M17" s="33">
        <v>254.08</v>
      </c>
      <c r="N17" s="33">
        <v>254.11</v>
      </c>
      <c r="O17" s="33">
        <v>254.11</v>
      </c>
      <c r="P17" s="33">
        <v>250.43</v>
      </c>
      <c r="Q17" s="33">
        <v>250.43</v>
      </c>
      <c r="R17" s="33">
        <v>250.43</v>
      </c>
      <c r="S17" s="33">
        <v>250.46</v>
      </c>
      <c r="T17" s="33">
        <v>250.46</v>
      </c>
      <c r="U17" s="33">
        <v>247</v>
      </c>
      <c r="V17" s="33">
        <v>247</v>
      </c>
      <c r="W17" s="33">
        <v>262.04</v>
      </c>
      <c r="X17" s="33">
        <v>262.04</v>
      </c>
      <c r="Y17" s="33">
        <v>281.82</v>
      </c>
      <c r="Z17" s="33">
        <v>281.82</v>
      </c>
      <c r="AA17" s="33">
        <v>281.82</v>
      </c>
      <c r="AB17" s="33">
        <v>281.82</v>
      </c>
      <c r="AC17" s="33">
        <v>281.82</v>
      </c>
      <c r="AD17" s="33">
        <v>281.95</v>
      </c>
      <c r="AE17" s="33">
        <v>282.02</v>
      </c>
      <c r="AF17" s="32"/>
      <c r="AG17" s="33">
        <v>282.02</v>
      </c>
      <c r="AH17" s="33">
        <v>225.62</v>
      </c>
      <c r="AI17" s="32"/>
      <c r="AJ17" s="32"/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2035</v>
      </c>
      <c r="D18" s="50" t="s">
        <v>42</v>
      </c>
      <c r="E18" s="32" t="s">
        <v>3</v>
      </c>
      <c r="F18" s="32" t="s">
        <v>2037</v>
      </c>
      <c r="G18" s="32"/>
      <c r="H18" s="32"/>
      <c r="I18" s="32"/>
      <c r="J18" s="33">
        <v>35.47</v>
      </c>
      <c r="K18" s="33">
        <v>35.47</v>
      </c>
      <c r="L18" s="33">
        <v>35.47</v>
      </c>
      <c r="M18" s="33">
        <v>35.48</v>
      </c>
      <c r="N18" s="33">
        <v>35.48</v>
      </c>
      <c r="O18" s="33">
        <v>16.55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2035</v>
      </c>
      <c r="D19" s="50" t="s">
        <v>42</v>
      </c>
      <c r="E19" s="32" t="s">
        <v>3</v>
      </c>
      <c r="F19" s="32" t="s">
        <v>2038</v>
      </c>
      <c r="G19" s="32"/>
      <c r="H19" s="32"/>
      <c r="I19" s="32"/>
      <c r="J19" s="33">
        <v>45.92</v>
      </c>
      <c r="K19" s="33">
        <v>57.31</v>
      </c>
      <c r="L19" s="33">
        <v>43.71</v>
      </c>
      <c r="M19" s="33">
        <v>44.51</v>
      </c>
      <c r="N19" s="33">
        <v>47.01</v>
      </c>
      <c r="O19" s="33">
        <v>52.34</v>
      </c>
      <c r="P19" s="33">
        <v>51.72</v>
      </c>
      <c r="Q19" s="33">
        <v>53.45</v>
      </c>
      <c r="R19" s="33">
        <v>52.32</v>
      </c>
      <c r="S19" s="33">
        <v>45.62</v>
      </c>
      <c r="T19" s="33">
        <v>41.17</v>
      </c>
      <c r="U19" s="33">
        <v>46.7</v>
      </c>
      <c r="V19" s="33">
        <v>47.56</v>
      </c>
      <c r="W19" s="33">
        <v>55.56</v>
      </c>
      <c r="X19" s="33">
        <v>46.1</v>
      </c>
      <c r="Y19" s="33">
        <v>49.09</v>
      </c>
      <c r="Z19" s="33">
        <v>49.65</v>
      </c>
      <c r="AA19" s="33">
        <v>56.92</v>
      </c>
      <c r="AB19" s="33">
        <v>61.41</v>
      </c>
      <c r="AC19" s="33">
        <v>64.76</v>
      </c>
      <c r="AD19" s="33">
        <v>68.4</v>
      </c>
      <c r="AE19" s="33">
        <v>63.9</v>
      </c>
      <c r="AF19" s="33">
        <v>53.04</v>
      </c>
      <c r="AG19" s="33">
        <v>49.27</v>
      </c>
      <c r="AH19" s="33">
        <v>59.3</v>
      </c>
      <c r="AI19" s="33">
        <v>52.82</v>
      </c>
      <c r="AJ19" s="33">
        <v>43.19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2035</v>
      </c>
      <c r="D20" s="50" t="s">
        <v>42</v>
      </c>
      <c r="E20" s="32" t="s">
        <v>3</v>
      </c>
      <c r="F20" s="32" t="s">
        <v>2039</v>
      </c>
      <c r="G20" s="32"/>
      <c r="H20" s="32"/>
      <c r="I20" s="32"/>
      <c r="J20" s="32"/>
      <c r="K20" s="32"/>
      <c r="L20" s="32"/>
      <c r="M20" s="32"/>
      <c r="N20" s="33">
        <v>29.51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2035</v>
      </c>
      <c r="D21" s="50" t="s">
        <v>42</v>
      </c>
      <c r="E21" s="32" t="s">
        <v>3</v>
      </c>
      <c r="F21" s="32" t="s">
        <v>2040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3">
        <v>176.34</v>
      </c>
      <c r="AD21" s="33">
        <v>190.35</v>
      </c>
      <c r="AE21" s="33">
        <f>237.10+63.86</f>
        <v>300.96</v>
      </c>
      <c r="AF21" s="32"/>
      <c r="AG21" s="32"/>
      <c r="AH21" s="32"/>
      <c r="AI21" s="32"/>
      <c r="AJ21" s="32"/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2035</v>
      </c>
      <c r="D22" s="50" t="s">
        <v>42</v>
      </c>
      <c r="E22" s="32" t="s">
        <v>3</v>
      </c>
      <c r="F22" s="32" t="s">
        <v>2041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3">
        <v>99.62</v>
      </c>
      <c r="AD22" s="33">
        <v>76.69</v>
      </c>
      <c r="AE22" s="33">
        <v>106.73</v>
      </c>
      <c r="AF22" s="33">
        <v>111.07</v>
      </c>
      <c r="AG22" s="33">
        <v>104.46</v>
      </c>
      <c r="AH22" s="33">
        <f>138.90+138.90</f>
        <v>277.8</v>
      </c>
      <c r="AI22" s="32"/>
      <c r="AJ22" s="32"/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2035</v>
      </c>
      <c r="D23" s="50" t="s">
        <v>42</v>
      </c>
      <c r="E23" s="32" t="s">
        <v>3</v>
      </c>
      <c r="F23" s="32" t="s">
        <v>2042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3">
        <v>129.41</v>
      </c>
      <c r="AE23" s="33">
        <v>146.12</v>
      </c>
      <c r="AF23" s="33">
        <v>166.31</v>
      </c>
      <c r="AG23" s="33">
        <v>105.63</v>
      </c>
      <c r="AH23" s="33">
        <v>189.9</v>
      </c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2035</v>
      </c>
      <c r="D24" s="50" t="s">
        <v>42</v>
      </c>
      <c r="E24" s="32" t="s">
        <v>3</v>
      </c>
      <c r="F24" s="32" t="s">
        <v>2043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3">
        <f>0.00+93.35</f>
        <v>93.35</v>
      </c>
      <c r="AI24" s="33">
        <v>136.97</v>
      </c>
      <c r="AJ24" s="33">
        <v>119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2035</v>
      </c>
      <c r="D25" s="50" t="s">
        <v>42</v>
      </c>
      <c r="E25" s="32" t="s">
        <v>3</v>
      </c>
      <c r="F25" s="32" t="s">
        <v>2044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3">
        <v>382.26</v>
      </c>
      <c r="AJ25" s="33">
        <v>267.44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2035</v>
      </c>
      <c r="D26" s="50" t="s">
        <v>42</v>
      </c>
      <c r="E26" s="32" t="s">
        <v>3</v>
      </c>
      <c r="F26" s="32" t="s">
        <v>2045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3">
        <v>24.8</v>
      </c>
      <c r="AI26" s="33">
        <v>35.8</v>
      </c>
      <c r="AJ26" s="33">
        <v>35.78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2035</v>
      </c>
      <c r="D27" s="50" t="s">
        <v>42</v>
      </c>
      <c r="E27" s="32" t="s">
        <v>3</v>
      </c>
      <c r="F27" s="32" t="s">
        <v>2046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3">
        <v>251.12</v>
      </c>
      <c r="AJ27" s="33">
        <f>200.59+0.00</f>
        <v>200.59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2035</v>
      </c>
      <c r="D28" s="50" t="s">
        <v>42</v>
      </c>
      <c r="E28" s="32" t="s">
        <v>3</v>
      </c>
      <c r="F28" s="32" t="s">
        <v>2047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3">
        <f>0.00+156.37</f>
        <v>156.37</v>
      </c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85</v>
      </c>
      <c r="E30" s="21"/>
      <c r="F30" s="21"/>
      <c r="G30" s="22">
        <f>SUM(G14:G28)</f>
      </c>
      <c r="H30" s="22">
        <f>SUM(H14:H28)</f>
      </c>
      <c r="I30" s="22">
        <f>SUM(I14:I28)</f>
      </c>
      <c r="J30" s="22">
        <f>SUM(J14:J28)</f>
      </c>
      <c r="K30" s="22">
        <f>SUM(K14:K28)</f>
      </c>
      <c r="L30" s="22">
        <f>SUM(L14:L28)</f>
      </c>
      <c r="M30" s="22">
        <f>SUM(M14:M28)</f>
      </c>
      <c r="N30" s="22">
        <f>SUM(N14:N28)</f>
      </c>
      <c r="O30" s="22">
        <f>SUM(O14:O28)</f>
      </c>
      <c r="P30" s="22">
        <f>SUM(P14:P28)</f>
      </c>
      <c r="Q30" s="22">
        <f>SUM(Q14:Q28)</f>
      </c>
      <c r="R30" s="22">
        <f>SUM(R14:R28)</f>
      </c>
      <c r="S30" s="22">
        <f>SUM(S14:S28)</f>
      </c>
      <c r="T30" s="22">
        <f>SUM(T14:T28)</f>
      </c>
      <c r="U30" s="22">
        <f>SUM(U14:U28)</f>
      </c>
      <c r="V30" s="22">
        <f>SUM(V14:V28)</f>
      </c>
      <c r="W30" s="22">
        <f>SUM(W14:W28)</f>
      </c>
      <c r="X30" s="22">
        <f>SUM(X14:X28)</f>
      </c>
      <c r="Y30" s="22">
        <f>SUM(Y14:Y28)</f>
      </c>
      <c r="Z30" s="22">
        <f>SUM(Z14:Z28)</f>
      </c>
      <c r="AA30" s="22">
        <f>SUM(AA14:AA28)</f>
      </c>
      <c r="AB30" s="22">
        <f>SUM(AB14:AB28)</f>
      </c>
      <c r="AC30" s="22">
        <f>SUM(AC14:AC28)</f>
      </c>
      <c r="AD30" s="22">
        <f>SUM(AD14:AD28)</f>
      </c>
      <c r="AE30" s="22">
        <f>SUM(AE14:AE28)</f>
      </c>
      <c r="AF30" s="22">
        <f>SUM(AF14:AF28)</f>
      </c>
      <c r="AG30" s="22">
        <f>SUM(AG14:AG28)</f>
      </c>
      <c r="AH30" s="22">
        <f>SUM(AH14:AH28)</f>
      </c>
      <c r="AI30" s="22">
        <f>SUM(AI14:AI28)</f>
      </c>
      <c r="AJ30" s="22">
        <f>SUM(AJ14:AJ28)</f>
      </c>
      <c r="AK30" s="22">
        <f>SUM(AK14:AK28)</f>
      </c>
      <c r="AL30" s="22">
        <f>SUM(AL14:AL28)</f>
      </c>
      <c r="AM30" s="23"/>
    </row>
    <row r="32" ht="13.5" customHeight="1" spans="2:39" x14ac:dyDescent="0.25">
      <c r="B32" s="46"/>
      <c r="C32" s="28"/>
      <c r="D32" s="47" t="s">
        <v>43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48" t="s">
        <v>3</v>
      </c>
      <c r="C33" s="49" t="s">
        <v>2035</v>
      </c>
      <c r="D33" s="50" t="s">
        <v>43</v>
      </c>
      <c r="E33" s="32" t="s">
        <v>3</v>
      </c>
      <c r="F33" s="32" t="s">
        <v>2048</v>
      </c>
      <c r="G33" s="32"/>
      <c r="H33" s="32"/>
      <c r="I33" s="32"/>
      <c r="J33" s="33">
        <f>1039.24+1293.94+1532.02+836.00</f>
        <v>4701.200000000001</v>
      </c>
      <c r="K33" s="33">
        <f>1538.14+1299.25+1538.32+1316.03</f>
        <v>5691.74</v>
      </c>
      <c r="L33" s="33">
        <f>1263.40+1296.26+1051.69+1534.77</f>
        <v>5146.12</v>
      </c>
      <c r="M33" s="33">
        <f>1007.67+1293.29+805.67+1531.25</f>
        <v>4637.88</v>
      </c>
      <c r="N33" s="33">
        <f>1124.63+1280.00+1515.52+1012.07</f>
        <v>4932.22</v>
      </c>
      <c r="O33" s="33">
        <f>1273.89+1280.00+1515.52+1170.27</f>
        <v>5239.68</v>
      </c>
      <c r="P33" s="33">
        <f>1247.55+1280.00+1515.52+1142.35</f>
        <v>5185.42</v>
      </c>
      <c r="Q33" s="33">
        <f>1276.88+1296.41+1064.67+1534.95</f>
        <v>5172.91</v>
      </c>
      <c r="R33" s="33">
        <f>1389.31+1297.60+1172.84+1536.35</f>
        <v>5396.1</v>
      </c>
      <c r="S33" s="33">
        <f>927.09+1300.38+728.15+1530.03</f>
        <v>4485.650000000001</v>
      </c>
      <c r="T33" s="33">
        <f>1012.12+1312.71+1531.28+809.95</f>
        <v>4666.0599999999995</v>
      </c>
      <c r="U33" s="33">
        <f>900.24+1311.26+1529.59+702.33</f>
        <v>4443.42</v>
      </c>
      <c r="V33" s="33">
        <f>940.25+1299.20+816.64+1515.52</f>
        <v>4571.61</v>
      </c>
      <c r="W33" s="33">
        <f>900.19+1311.19+702.29+1529.51</f>
        <v>4443.18</v>
      </c>
      <c r="X33" s="33">
        <f>976.17+1312.07+1530.53+775.39</f>
        <v>4594.16</v>
      </c>
      <c r="Y33" s="33">
        <f>1115.04+1313.77+908.99+1532.51</f>
        <v>4870.31</v>
      </c>
      <c r="Z33" s="33">
        <f>1276.15+1626.62+1024.83+0.00</f>
        <v>3927.6</v>
      </c>
      <c r="AA33" s="33">
        <f>909.06+1311.21+710.84+1529.53</f>
        <v>4460.64</v>
      </c>
      <c r="AB33" s="33">
        <f>1029.89+1312.74+827.07+1531.31</f>
        <v>4701.01</v>
      </c>
      <c r="AC33" s="33">
        <f>882.24+1310.85+685.04+1529.11</f>
        <v>4407.24</v>
      </c>
      <c r="AD33" s="33">
        <f>913.54+1311.27+715.14+1529.60</f>
        <v>4469.549999999999</v>
      </c>
      <c r="AE33" s="33">
        <f>919.31+1320.37+720.50+1529.66</f>
        <v>4489.84</v>
      </c>
      <c r="AF33" s="33">
        <f>1037.39+1332.16+831.58+1531.34</f>
        <v>4732.47</v>
      </c>
      <c r="AG33" s="33">
        <f>1073.96+1332.61+866.79+1531.86</f>
        <v>4805.219999999999</v>
      </c>
      <c r="AH33" s="33">
        <f>1014.53+1331.88+1531.01+809.58</f>
        <v>4687</v>
      </c>
      <c r="AI33" s="33">
        <f>932.29+1330.77+1529.74+730.42</f>
        <v>4523.22</v>
      </c>
      <c r="AJ33" s="32"/>
      <c r="AK33" s="32"/>
      <c r="AL33" s="34">
        <f>SUM(G33:AK33)</f>
      </c>
      <c r="AM33" s="35"/>
    </row>
    <row r="34" ht="13.5" customHeight="1" spans="2:39" x14ac:dyDescent="0.25">
      <c r="B34" s="51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40"/>
    </row>
    <row r="35" ht="13.5" customHeight="1" spans="2:39" x14ac:dyDescent="0.25">
      <c r="B35" s="20"/>
      <c r="C35" s="21"/>
      <c r="D35" s="21" t="s">
        <v>89</v>
      </c>
      <c r="E35" s="21"/>
      <c r="F35" s="21"/>
      <c r="G35" s="22">
        <f>SUM(G33:G33)</f>
      </c>
      <c r="H35" s="22">
        <f>SUM(H33:H33)</f>
      </c>
      <c r="I35" s="22">
        <f>SUM(I33:I33)</f>
      </c>
      <c r="J35" s="22">
        <f>SUM(J33:J33)</f>
      </c>
      <c r="K35" s="22">
        <f>SUM(K33:K33)</f>
      </c>
      <c r="L35" s="22">
        <f>SUM(L33:L33)</f>
      </c>
      <c r="M35" s="22">
        <f>SUM(M33:M33)</f>
      </c>
      <c r="N35" s="22">
        <f>SUM(N33:N33)</f>
      </c>
      <c r="O35" s="22">
        <f>SUM(O33:O33)</f>
      </c>
      <c r="P35" s="22">
        <f>SUM(P33:P33)</f>
      </c>
      <c r="Q35" s="22">
        <f>SUM(Q33:Q33)</f>
      </c>
      <c r="R35" s="22">
        <f>SUM(R33:R33)</f>
      </c>
      <c r="S35" s="22">
        <f>SUM(S33:S33)</f>
      </c>
      <c r="T35" s="22">
        <f>SUM(T33:T33)</f>
      </c>
      <c r="U35" s="22">
        <f>SUM(U33:U33)</f>
      </c>
      <c r="V35" s="22">
        <f>SUM(V33:V33)</f>
      </c>
      <c r="W35" s="22">
        <f>SUM(W33:W33)</f>
      </c>
      <c r="X35" s="22">
        <f>SUM(X33:X33)</f>
      </c>
      <c r="Y35" s="22">
        <f>SUM(Y33:Y33)</f>
      </c>
      <c r="Z35" s="22">
        <f>SUM(Z33:Z33)</f>
      </c>
      <c r="AA35" s="22">
        <f>SUM(AA33:AA33)</f>
      </c>
      <c r="AB35" s="22">
        <f>SUM(AB33:AB33)</f>
      </c>
      <c r="AC35" s="22">
        <f>SUM(AC33:AC33)</f>
      </c>
      <c r="AD35" s="22">
        <f>SUM(AD33:AD33)</f>
      </c>
      <c r="AE35" s="22">
        <f>SUM(AE33:AE33)</f>
      </c>
      <c r="AF35" s="22">
        <f>SUM(AF33:AF33)</f>
      </c>
      <c r="AG35" s="22">
        <f>SUM(AG33:AG33)</f>
      </c>
      <c r="AH35" s="22">
        <f>SUM(AH33:AH33)</f>
      </c>
      <c r="AI35" s="22">
        <f>SUM(AI33:AI33)</f>
      </c>
      <c r="AJ35" s="22">
        <f>SUM(AJ33:AJ33)</f>
      </c>
      <c r="AK35" s="22">
        <f>SUM(AK33:AK33)</f>
      </c>
      <c r="AL35" s="22">
        <f>SUM(AL33:AL33)</f>
      </c>
      <c r="AM35" s="23"/>
    </row>
    <row r="37" ht="13.5" customHeight="1" spans="2:39" x14ac:dyDescent="0.25">
      <c r="B37" s="46"/>
      <c r="C37" s="28"/>
      <c r="D37" s="47" t="s">
        <v>44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9"/>
    </row>
    <row r="38" ht="13.5" customHeight="1" spans="2:39" x14ac:dyDescent="0.25">
      <c r="B38" s="48" t="s">
        <v>3</v>
      </c>
      <c r="C38" s="49" t="s">
        <v>2035</v>
      </c>
      <c r="D38" s="50" t="s">
        <v>44</v>
      </c>
      <c r="E38" s="32" t="s">
        <v>3</v>
      </c>
      <c r="F38" s="32" t="s">
        <v>2048</v>
      </c>
      <c r="G38" s="32"/>
      <c r="H38" s="32"/>
      <c r="I38" s="32"/>
      <c r="J38" s="33">
        <v>2977.35</v>
      </c>
      <c r="K38" s="33">
        <v>3056.56</v>
      </c>
      <c r="L38" s="33">
        <v>3131.78</v>
      </c>
      <c r="M38" s="33">
        <v>3124.57</v>
      </c>
      <c r="N38" s="33">
        <v>3092.48</v>
      </c>
      <c r="O38" s="33">
        <v>3092.48</v>
      </c>
      <c r="P38" s="33">
        <v>3092.48</v>
      </c>
      <c r="Q38" s="33">
        <v>3132.12</v>
      </c>
      <c r="R38" s="33">
        <v>3135</v>
      </c>
      <c r="S38" s="33">
        <v>3122.08</v>
      </c>
      <c r="T38" s="33">
        <v>3124.63</v>
      </c>
      <c r="U38" s="33">
        <v>3121.2</v>
      </c>
      <c r="V38" s="33">
        <v>3092.48</v>
      </c>
      <c r="W38" s="33">
        <v>3167.06</v>
      </c>
      <c r="X38" s="33">
        <v>3232.99</v>
      </c>
      <c r="Y38" s="33">
        <v>3237.17</v>
      </c>
      <c r="Z38" s="33">
        <v>4008.06</v>
      </c>
      <c r="AA38" s="33">
        <v>3230.86</v>
      </c>
      <c r="AB38" s="33">
        <v>3234.65</v>
      </c>
      <c r="AC38" s="33">
        <v>3230.01</v>
      </c>
      <c r="AD38" s="33">
        <v>3231</v>
      </c>
      <c r="AE38" s="33">
        <v>3231.15</v>
      </c>
      <c r="AF38" s="33">
        <v>3234.69</v>
      </c>
      <c r="AG38" s="33">
        <v>3235.8</v>
      </c>
      <c r="AH38" s="33">
        <v>3234</v>
      </c>
      <c r="AI38" s="33">
        <v>3262.32</v>
      </c>
      <c r="AJ38" s="32"/>
      <c r="AK38" s="32"/>
      <c r="AL38" s="34">
        <f>SUM(G38:AK38)</f>
      </c>
      <c r="AM38" s="35"/>
    </row>
    <row r="39" ht="13.5" customHeight="1" spans="2:39" x14ac:dyDescent="0.25">
      <c r="B39" s="5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0"/>
    </row>
    <row r="40" ht="13.5" customHeight="1" spans="2:39" x14ac:dyDescent="0.25">
      <c r="B40" s="20"/>
      <c r="C40" s="21"/>
      <c r="D40" s="21" t="s">
        <v>90</v>
      </c>
      <c r="E40" s="21"/>
      <c r="F40" s="21"/>
      <c r="G40" s="22">
        <f>SUM(G38:G38)</f>
      </c>
      <c r="H40" s="22">
        <f>SUM(H38:H38)</f>
      </c>
      <c r="I40" s="22">
        <f>SUM(I38:I38)</f>
      </c>
      <c r="J40" s="22">
        <f>SUM(J38:J38)</f>
      </c>
      <c r="K40" s="22">
        <f>SUM(K38:K38)</f>
      </c>
      <c r="L40" s="22">
        <f>SUM(L38:L38)</f>
      </c>
      <c r="M40" s="22">
        <f>SUM(M38:M38)</f>
      </c>
      <c r="N40" s="22">
        <f>SUM(N38:N38)</f>
      </c>
      <c r="O40" s="22">
        <f>SUM(O38:O38)</f>
      </c>
      <c r="P40" s="22">
        <f>SUM(P38:P38)</f>
      </c>
      <c r="Q40" s="22">
        <f>SUM(Q38:Q38)</f>
      </c>
      <c r="R40" s="22">
        <f>SUM(R38:R38)</f>
      </c>
      <c r="S40" s="22">
        <f>SUM(S38:S38)</f>
      </c>
      <c r="T40" s="22">
        <f>SUM(T38:T38)</f>
      </c>
      <c r="U40" s="22">
        <f>SUM(U38:U38)</f>
      </c>
      <c r="V40" s="22">
        <f>SUM(V38:V38)</f>
      </c>
      <c r="W40" s="22">
        <f>SUM(W38:W38)</f>
      </c>
      <c r="X40" s="22">
        <f>SUM(X38:X38)</f>
      </c>
      <c r="Y40" s="22">
        <f>SUM(Y38:Y38)</f>
      </c>
      <c r="Z40" s="22">
        <f>SUM(Z38:Z38)</f>
      </c>
      <c r="AA40" s="22">
        <f>SUM(AA38:AA38)</f>
      </c>
      <c r="AB40" s="22">
        <f>SUM(AB38:AB38)</f>
      </c>
      <c r="AC40" s="22">
        <f>SUM(AC38:AC38)</f>
      </c>
      <c r="AD40" s="22">
        <f>SUM(AD38:AD38)</f>
      </c>
      <c r="AE40" s="22">
        <f>SUM(AE38:AE38)</f>
      </c>
      <c r="AF40" s="22">
        <f>SUM(AF38:AF38)</f>
      </c>
      <c r="AG40" s="22">
        <f>SUM(AG38:AG38)</f>
      </c>
      <c r="AH40" s="22">
        <f>SUM(AH38:AH38)</f>
      </c>
      <c r="AI40" s="22">
        <f>SUM(AI38:AI38)</f>
      </c>
      <c r="AJ40" s="22">
        <f>SUM(AJ38:AJ38)</f>
      </c>
      <c r="AK40" s="22">
        <f>SUM(AK38:AK38)</f>
      </c>
      <c r="AL40" s="22">
        <f>SUM(AL38:AL38)</f>
      </c>
      <c r="AM40" s="23"/>
    </row>
    <row r="43" ht="12.75" customHeight="1" spans="2:39" x14ac:dyDescent="0.25">
      <c r="B43" s="11" t="s">
        <v>40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>
        <f>G11</f>
      </c>
      <c r="H44" s="18">
        <f>H11</f>
      </c>
      <c r="I44" s="18">
        <f>I11</f>
      </c>
      <c r="J44" s="18">
        <f>J11</f>
      </c>
      <c r="K44" s="18">
        <f>K11</f>
      </c>
      <c r="L44" s="18">
        <f>L11</f>
      </c>
      <c r="M44" s="18">
        <f>M11</f>
      </c>
      <c r="N44" s="18">
        <f>N11</f>
      </c>
      <c r="O44" s="18">
        <f>O11</f>
      </c>
      <c r="P44" s="18">
        <f>P11</f>
      </c>
      <c r="Q44" s="18">
        <f>Q11</f>
      </c>
      <c r="R44" s="18">
        <f>R11</f>
      </c>
      <c r="S44" s="18">
        <f>S11</f>
      </c>
      <c r="T44" s="18">
        <f>T11</f>
      </c>
      <c r="U44" s="18">
        <f>U11</f>
      </c>
      <c r="V44" s="18">
        <f>V11</f>
      </c>
      <c r="W44" s="18">
        <f>W11</f>
      </c>
      <c r="X44" s="18">
        <f>X11</f>
      </c>
      <c r="Y44" s="18">
        <f>Y11</f>
      </c>
      <c r="Z44" s="18">
        <f>Z11</f>
      </c>
      <c r="AA44" s="18">
        <f>AA11</f>
      </c>
      <c r="AB44" s="18">
        <f>AB11</f>
      </c>
      <c r="AC44" s="18">
        <f>AC11</f>
      </c>
      <c r="AD44" s="18">
        <f>AD11</f>
      </c>
      <c r="AE44" s="18">
        <f>AE11</f>
      </c>
      <c r="AF44" s="18">
        <f>AF11</f>
      </c>
      <c r="AG44" s="18">
        <f>AG11</f>
      </c>
      <c r="AH44" s="18">
        <f>AH11</f>
      </c>
      <c r="AI44" s="18">
        <f>AI11</f>
      </c>
      <c r="AJ44" s="18">
        <f>AJ11</f>
      </c>
      <c r="AK44" s="18">
        <f>AK11</f>
      </c>
      <c r="AL44" s="18">
        <f>AL11</f>
      </c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>
        <f>G30</f>
      </c>
      <c r="H45" s="18">
        <f>H30</f>
      </c>
      <c r="I45" s="18">
        <f>I30</f>
      </c>
      <c r="J45" s="18">
        <f>J30</f>
      </c>
      <c r="K45" s="18">
        <f>K30</f>
      </c>
      <c r="L45" s="18">
        <f>L30</f>
      </c>
      <c r="M45" s="18">
        <f>M30</f>
      </c>
      <c r="N45" s="18">
        <f>N30</f>
      </c>
      <c r="O45" s="18">
        <f>O30</f>
      </c>
      <c r="P45" s="18">
        <f>P30</f>
      </c>
      <c r="Q45" s="18">
        <f>Q30</f>
      </c>
      <c r="R45" s="18">
        <f>R30</f>
      </c>
      <c r="S45" s="18">
        <f>S30</f>
      </c>
      <c r="T45" s="18">
        <f>T30</f>
      </c>
      <c r="U45" s="18">
        <f>U30</f>
      </c>
      <c r="V45" s="18">
        <f>V30</f>
      </c>
      <c r="W45" s="18">
        <f>W30</f>
      </c>
      <c r="X45" s="18">
        <f>X30</f>
      </c>
      <c r="Y45" s="18">
        <f>Y30</f>
      </c>
      <c r="Z45" s="18">
        <f>Z30</f>
      </c>
      <c r="AA45" s="18">
        <f>AA30</f>
      </c>
      <c r="AB45" s="18">
        <f>AB30</f>
      </c>
      <c r="AC45" s="18">
        <f>AC30</f>
      </c>
      <c r="AD45" s="18">
        <f>AD30</f>
      </c>
      <c r="AE45" s="18">
        <f>AE30</f>
      </c>
      <c r="AF45" s="18">
        <f>AF30</f>
      </c>
      <c r="AG45" s="18">
        <f>AG30</f>
      </c>
      <c r="AH45" s="18">
        <f>AH30</f>
      </c>
      <c r="AI45" s="18">
        <f>AI30</f>
      </c>
      <c r="AJ45" s="18">
        <f>AJ30</f>
      </c>
      <c r="AK45" s="18">
        <f>AK30</f>
      </c>
      <c r="AL45" s="18">
        <f>AL30</f>
      </c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>
        <f>G35</f>
      </c>
      <c r="H46" s="18">
        <f>H35</f>
      </c>
      <c r="I46" s="18">
        <f>I35</f>
      </c>
      <c r="J46" s="18">
        <f>J35</f>
      </c>
      <c r="K46" s="18">
        <f>K35</f>
      </c>
      <c r="L46" s="18">
        <f>L35</f>
      </c>
      <c r="M46" s="18">
        <f>M35</f>
      </c>
      <c r="N46" s="18">
        <f>N35</f>
      </c>
      <c r="O46" s="18">
        <f>O35</f>
      </c>
      <c r="P46" s="18">
        <f>P35</f>
      </c>
      <c r="Q46" s="18">
        <f>Q35</f>
      </c>
      <c r="R46" s="18">
        <f>R35</f>
      </c>
      <c r="S46" s="18">
        <f>S35</f>
      </c>
      <c r="T46" s="18">
        <f>T35</f>
      </c>
      <c r="U46" s="18">
        <f>U35</f>
      </c>
      <c r="V46" s="18">
        <f>V35</f>
      </c>
      <c r="W46" s="18">
        <f>W35</f>
      </c>
      <c r="X46" s="18">
        <f>X35</f>
      </c>
      <c r="Y46" s="18">
        <f>Y35</f>
      </c>
      <c r="Z46" s="18">
        <f>Z35</f>
      </c>
      <c r="AA46" s="18">
        <f>AA35</f>
      </c>
      <c r="AB46" s="18">
        <f>AB35</f>
      </c>
      <c r="AC46" s="18">
        <f>AC35</f>
      </c>
      <c r="AD46" s="18">
        <f>AD35</f>
      </c>
      <c r="AE46" s="18">
        <f>AE35</f>
      </c>
      <c r="AF46" s="18">
        <f>AF35</f>
      </c>
      <c r="AG46" s="18">
        <f>AG35</f>
      </c>
      <c r="AH46" s="18">
        <f>AH35</f>
      </c>
      <c r="AI46" s="18">
        <f>AI35</f>
      </c>
      <c r="AJ46" s="18">
        <f>AJ35</f>
      </c>
      <c r="AK46" s="18">
        <f>AK35</f>
      </c>
      <c r="AL46" s="18">
        <f>AL35</f>
      </c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>
        <f>G40</f>
      </c>
      <c r="H47" s="18">
        <f>H40</f>
      </c>
      <c r="I47" s="18">
        <f>I40</f>
      </c>
      <c r="J47" s="18">
        <f>J40</f>
      </c>
      <c r="K47" s="18">
        <f>K40</f>
      </c>
      <c r="L47" s="18">
        <f>L40</f>
      </c>
      <c r="M47" s="18">
        <f>M40</f>
      </c>
      <c r="N47" s="18">
        <f>N40</f>
      </c>
      <c r="O47" s="18">
        <f>O40</f>
      </c>
      <c r="P47" s="18">
        <f>P40</f>
      </c>
      <c r="Q47" s="18">
        <f>Q40</f>
      </c>
      <c r="R47" s="18">
        <f>R40</f>
      </c>
      <c r="S47" s="18">
        <f>S40</f>
      </c>
      <c r="T47" s="18">
        <f>T40</f>
      </c>
      <c r="U47" s="18">
        <f>U40</f>
      </c>
      <c r="V47" s="18">
        <f>V40</f>
      </c>
      <c r="W47" s="18">
        <f>W40</f>
      </c>
      <c r="X47" s="18">
        <f>X40</f>
      </c>
      <c r="Y47" s="18">
        <f>Y40</f>
      </c>
      <c r="Z47" s="18">
        <f>Z40</f>
      </c>
      <c r="AA47" s="18">
        <f>AA40</f>
      </c>
      <c r="AB47" s="18">
        <f>AB40</f>
      </c>
      <c r="AC47" s="18">
        <f>AC40</f>
      </c>
      <c r="AD47" s="18">
        <f>AD40</f>
      </c>
      <c r="AE47" s="18">
        <f>AE40</f>
      </c>
      <c r="AF47" s="18">
        <f>AF40</f>
      </c>
      <c r="AG47" s="18">
        <f>AG40</f>
      </c>
      <c r="AH47" s="18">
        <f>AH40</f>
      </c>
      <c r="AI47" s="18">
        <f>AI40</f>
      </c>
      <c r="AJ47" s="18">
        <f>AJ40</f>
      </c>
      <c r="AK47" s="18">
        <f>AK40</f>
      </c>
      <c r="AL47" s="18">
        <f>AL40</f>
      </c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46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2">
        <f>G51+G52+G53+G54</f>
      </c>
      <c r="H55" s="22">
        <f>H51+H52+H53+H54</f>
      </c>
      <c r="I55" s="22">
        <f>I51+I52+I53+I54</f>
      </c>
      <c r="J55" s="22">
        <f>J51+J52+J53+J54</f>
      </c>
      <c r="K55" s="22">
        <f>K51+K52+K53+K54</f>
      </c>
      <c r="L55" s="22">
        <f>L51+L52+L53+L54</f>
      </c>
      <c r="M55" s="22">
        <f>M51+M52+M53+M54</f>
      </c>
      <c r="N55" s="22">
        <f>N51+N52+N53+N54</f>
      </c>
      <c r="O55" s="22">
        <f>O51+O52+O53+O54</f>
      </c>
      <c r="P55" s="22">
        <f>P51+P52+P53+P54</f>
      </c>
      <c r="Q55" s="22">
        <f>Q51+Q52+Q53+Q54</f>
      </c>
      <c r="R55" s="22">
        <f>R51+R52+R53+R54</f>
      </c>
      <c r="S55" s="22">
        <f>S51+S52+S53+S54</f>
      </c>
      <c r="T55" s="22">
        <f>T51+T52+T53+T54</f>
      </c>
      <c r="U55" s="22">
        <f>U51+U52+U53+U54</f>
      </c>
      <c r="V55" s="22">
        <f>V51+V52+V53+V54</f>
      </c>
      <c r="W55" s="22">
        <f>W51+W52+W53+W54</f>
      </c>
      <c r="X55" s="22">
        <f>X51+X52+X53+X54</f>
      </c>
      <c r="Y55" s="22">
        <f>Y51+Y52+Y53+Y54</f>
      </c>
      <c r="Z55" s="22">
        <f>Z51+Z52+Z53+Z54</f>
      </c>
      <c r="AA55" s="22">
        <f>AA51+AA52+AA53+AA54</f>
      </c>
      <c r="AB55" s="22">
        <f>AB51+AB52+AB53+AB54</f>
      </c>
      <c r="AC55" s="22">
        <f>AC51+AC52+AC53+AC54</f>
      </c>
      <c r="AD55" s="22">
        <f>AD51+AD52+AD53+AD54</f>
      </c>
      <c r="AE55" s="22">
        <f>AE51+AE52+AE53+AE54</f>
      </c>
      <c r="AF55" s="22">
        <f>AF51+AF52+AF53+AF54</f>
      </c>
      <c r="AG55" s="22">
        <f>AG51+AG52+AG53+AG54</f>
      </c>
      <c r="AH55" s="22">
        <f>AH51+AH52+AH53+AH54</f>
      </c>
      <c r="AI55" s="22">
        <f>AI51+AI52+AI53+AI54</f>
      </c>
      <c r="AJ55" s="22">
        <f>AJ51+AJ52+AJ53+AJ54</f>
      </c>
      <c r="AK55" s="22">
        <f>AK51+AK52+AK53+AK54</f>
      </c>
      <c r="AL55" s="22">
        <f>AL51+AL52+AL53+AL54</f>
      </c>
      <c r="AM55" s="23"/>
    </row>
    <row r="57" ht="12.75" customHeight="1" spans="2:39" x14ac:dyDescent="0.25">
      <c r="B57" s="11" t="s">
        <v>47</v>
      </c>
      <c r="C57" s="12"/>
      <c r="D57" s="12"/>
      <c r="E57" s="12"/>
      <c r="F57" s="12"/>
      <c r="G57" s="52" t="s">
        <v>7</v>
      </c>
      <c r="H57" s="52" t="s">
        <v>8</v>
      </c>
      <c r="I57" s="52" t="s">
        <v>9</v>
      </c>
      <c r="J57" s="52" t="s">
        <v>10</v>
      </c>
      <c r="K57" s="52" t="s">
        <v>11</v>
      </c>
      <c r="L57" s="52" t="s">
        <v>12</v>
      </c>
      <c r="M57" s="52" t="s">
        <v>13</v>
      </c>
      <c r="N57" s="52" t="s">
        <v>14</v>
      </c>
      <c r="O57" s="52" t="s">
        <v>15</v>
      </c>
      <c r="P57" s="52" t="s">
        <v>16</v>
      </c>
      <c r="Q57" s="52" t="s">
        <v>17</v>
      </c>
      <c r="R57" s="52" t="s">
        <v>18</v>
      </c>
      <c r="S57" s="52" t="s">
        <v>19</v>
      </c>
      <c r="T57" s="52" t="s">
        <v>20</v>
      </c>
      <c r="U57" s="52" t="s">
        <v>21</v>
      </c>
      <c r="V57" s="52" t="s">
        <v>22</v>
      </c>
      <c r="W57" s="52" t="s">
        <v>23</v>
      </c>
      <c r="X57" s="52" t="s">
        <v>24</v>
      </c>
      <c r="Y57" s="52" t="s">
        <v>25</v>
      </c>
      <c r="Z57" s="52" t="s">
        <v>26</v>
      </c>
      <c r="AA57" s="52" t="s">
        <v>27</v>
      </c>
      <c r="AB57" s="52" t="s">
        <v>28</v>
      </c>
      <c r="AC57" s="52" t="s">
        <v>29</v>
      </c>
      <c r="AD57" s="52" t="s">
        <v>30</v>
      </c>
      <c r="AE57" s="52" t="s">
        <v>31</v>
      </c>
      <c r="AF57" s="52" t="s">
        <v>32</v>
      </c>
      <c r="AG57" s="52" t="s">
        <v>33</v>
      </c>
      <c r="AH57" s="52" t="s">
        <v>34</v>
      </c>
      <c r="AI57" s="52" t="s">
        <v>35</v>
      </c>
      <c r="AJ57" s="52" t="s">
        <v>36</v>
      </c>
      <c r="AK57" s="52" t="s">
        <v>37</v>
      </c>
      <c r="AL57" s="52" t="s">
        <v>38</v>
      </c>
      <c r="AM57" s="15"/>
    </row>
    <row r="58" ht="12.75" customHeight="1" spans="2:39" x14ac:dyDescent="0.25">
      <c r="B58" s="16"/>
      <c r="C58" s="17"/>
      <c r="D58" s="17" t="s">
        <v>41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16"/>
      <c r="C59" s="17"/>
      <c r="D59" s="17" t="s">
        <v>42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16"/>
      <c r="C60" s="17"/>
      <c r="D60" s="17" t="s">
        <v>43</v>
      </c>
      <c r="E60" s="17"/>
      <c r="F60" s="17"/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24">
        <f>AK53-AK46</f>
      </c>
      <c r="AL60" s="24">
        <f>AL53-AL46</f>
      </c>
      <c r="AM60" s="19"/>
    </row>
    <row r="61" ht="12.75" customHeight="1" spans="2:39" x14ac:dyDescent="0.25">
      <c r="B61" s="16"/>
      <c r="C61" s="17"/>
      <c r="D61" s="17" t="s">
        <v>44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20"/>
      <c r="C62" s="21"/>
      <c r="D62" s="21" t="s">
        <v>45</v>
      </c>
      <c r="E62" s="21"/>
      <c r="F62" s="21"/>
      <c r="G62" s="25">
        <f>G58+G59+G60+G61</f>
      </c>
      <c r="H62" s="25">
        <f>H58+H59+H60+H61</f>
      </c>
      <c r="I62" s="25">
        <f>I58+I59+I60+I61</f>
      </c>
      <c r="J62" s="25">
        <f>J58+J59+J60+J61</f>
      </c>
      <c r="K62" s="25">
        <f>K58+K59+K60+K61</f>
      </c>
      <c r="L62" s="25">
        <f>L58+L59+L60+L61</f>
      </c>
      <c r="M62" s="25">
        <f>M58+M59+M60+M61</f>
      </c>
      <c r="N62" s="25">
        <f>N58+N59+N60+N61</f>
      </c>
      <c r="O62" s="25">
        <f>O58+O59+O60+O61</f>
      </c>
      <c r="P62" s="25">
        <f>P58+P59+P60+P61</f>
      </c>
      <c r="Q62" s="25">
        <f>Q58+Q59+Q60+Q61</f>
      </c>
      <c r="R62" s="25">
        <f>R58+R59+R60+R61</f>
      </c>
      <c r="S62" s="25">
        <f>S58+S59+S60+S61</f>
      </c>
      <c r="T62" s="25">
        <f>T58+T59+T60+T61</f>
      </c>
      <c r="U62" s="25">
        <f>U58+U59+U60+U61</f>
      </c>
      <c r="V62" s="25">
        <f>V58+V59+V60+V61</f>
      </c>
      <c r="W62" s="25">
        <f>W58+W59+W60+W61</f>
      </c>
      <c r="X62" s="25">
        <f>X58+X59+X60+X61</f>
      </c>
      <c r="Y62" s="25">
        <f>Y58+Y59+Y60+Y61</f>
      </c>
      <c r="Z62" s="25">
        <f>Z58+Z59+Z60+Z61</f>
      </c>
      <c r="AA62" s="25">
        <f>AA58+AA59+AA60+AA61</f>
      </c>
      <c r="AB62" s="25">
        <f>AB58+AB59+AB60+AB61</f>
      </c>
      <c r="AC62" s="25">
        <f>AC58+AC59+AC60+AC61</f>
      </c>
      <c r="AD62" s="25">
        <f>AD58+AD59+AD60+AD61</f>
      </c>
      <c r="AE62" s="25">
        <f>AE58+AE59+AE60+AE61</f>
      </c>
      <c r="AF62" s="25">
        <f>AF58+AF59+AF60+AF61</f>
      </c>
      <c r="AG62" s="25">
        <f>AG58+AG59+AG60+AG61</f>
      </c>
      <c r="AH62" s="25">
        <f>AH58+AH59+AH60+AH61</f>
      </c>
      <c r="AI62" s="25">
        <f>AI58+AI59+AI60+AI61</f>
      </c>
      <c r="AJ62" s="25">
        <f>AJ58+AJ59+AJ60+AJ61</f>
      </c>
      <c r="AK62" s="25">
        <f>AK58+AK59+AK60+AK61</f>
      </c>
      <c r="AL62" s="25">
        <f>AL58+AL59+AL60+AL61</f>
      </c>
      <c r="AM6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2076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2077</v>
      </c>
      <c r="E9" s="32"/>
      <c r="F9" s="32"/>
      <c r="G9" s="32"/>
      <c r="H9" s="33">
        <v>625.62</v>
      </c>
      <c r="I9" s="32"/>
      <c r="J9" s="33">
        <v>637.64</v>
      </c>
      <c r="K9" s="32"/>
      <c r="L9" s="33">
        <v>567.6</v>
      </c>
      <c r="M9" s="32"/>
      <c r="N9" s="33">
        <v>687.96</v>
      </c>
      <c r="O9" s="32"/>
      <c r="P9" s="32"/>
      <c r="Q9" s="32"/>
      <c r="R9" s="32"/>
      <c r="S9" s="33">
        <v>593.88</v>
      </c>
      <c r="T9" s="32"/>
      <c r="U9" s="33">
        <v>637.87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2078</v>
      </c>
      <c r="E14" s="32"/>
      <c r="F14" s="32"/>
      <c r="G14" s="32"/>
      <c r="H14" s="33">
        <v>129.54</v>
      </c>
      <c r="I14" s="33">
        <v>145.96</v>
      </c>
      <c r="J14" s="36">
        <f>40.30+0.00</f>
        <v>40.3</v>
      </c>
      <c r="K14" s="32"/>
      <c r="L14" s="32"/>
      <c r="M14" s="32"/>
      <c r="N14" s="32"/>
      <c r="O14" s="33">
        <v>274.9</v>
      </c>
      <c r="P14" s="33">
        <v>171.39</v>
      </c>
      <c r="Q14" s="32"/>
      <c r="R14" s="36">
        <f>219.46+137.79</f>
        <v>357.25</v>
      </c>
      <c r="S14" s="33">
        <v>106.44</v>
      </c>
      <c r="T14" s="33">
        <v>116.13</v>
      </c>
      <c r="U14" s="33">
        <v>147.83</v>
      </c>
      <c r="V14" s="33">
        <v>108.03</v>
      </c>
      <c r="W14" s="33">
        <v>137.42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2079</v>
      </c>
      <c r="E15" s="32"/>
      <c r="F15" s="32"/>
      <c r="G15" s="32"/>
      <c r="H15" s="33">
        <v>233.91</v>
      </c>
      <c r="I15" s="33">
        <v>222.97</v>
      </c>
      <c r="J15" s="33">
        <v>192.02</v>
      </c>
      <c r="K15" s="32"/>
      <c r="L15" s="33">
        <v>285.8</v>
      </c>
      <c r="M15" s="36">
        <f>254.13+319.05</f>
        <v>573.1800000000001</v>
      </c>
      <c r="N15" s="32"/>
      <c r="O15" s="36">
        <f>279.88+242.64</f>
        <v>522.52</v>
      </c>
      <c r="P15" s="33">
        <v>256.37</v>
      </c>
      <c r="Q15" s="32"/>
      <c r="R15" s="36">
        <f>284.55+267.09</f>
        <v>551.64</v>
      </c>
      <c r="S15" s="33">
        <v>181.34</v>
      </c>
      <c r="T15" s="33">
        <v>164.47</v>
      </c>
      <c r="U15" s="33">
        <v>221.86</v>
      </c>
      <c r="V15" s="33">
        <v>294.35</v>
      </c>
      <c r="W15" s="33">
        <v>351.45</v>
      </c>
      <c r="X15" s="33">
        <v>329.68</v>
      </c>
      <c r="Y15" s="33">
        <v>376.2</v>
      </c>
      <c r="Z15" s="32"/>
      <c r="AA15" s="36">
        <f>367.97+378.22</f>
        <v>746.19</v>
      </c>
      <c r="AB15" s="32"/>
      <c r="AC15" s="33">
        <v>426.62</v>
      </c>
      <c r="AD15" s="36">
        <f>428.81+260.11</f>
        <v>688.9200000000001</v>
      </c>
      <c r="AE15" s="33">
        <v>288.28</v>
      </c>
      <c r="AF15" s="33">
        <v>258.16</v>
      </c>
      <c r="AG15" s="33">
        <v>265.33</v>
      </c>
      <c r="AH15" s="32"/>
      <c r="AI15" s="33">
        <v>273.79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2080</v>
      </c>
      <c r="E16" s="32"/>
      <c r="F16" s="32"/>
      <c r="G16" s="32"/>
      <c r="H16" s="33">
        <v>97.98</v>
      </c>
      <c r="I16" s="33">
        <v>93.18</v>
      </c>
      <c r="J16" s="33">
        <v>96.63</v>
      </c>
      <c r="K16" s="32"/>
      <c r="L16" s="33">
        <v>118.07</v>
      </c>
      <c r="M16" s="36">
        <f>147.70+193.85</f>
        <v>341.54999999999995</v>
      </c>
      <c r="N16" s="32"/>
      <c r="O16" s="36">
        <f>216.00+216.26</f>
        <v>432.26</v>
      </c>
      <c r="P16" s="33">
        <v>210.65</v>
      </c>
      <c r="Q16" s="32"/>
      <c r="R16" s="36">
        <f>190.64+140.82</f>
        <v>331.46</v>
      </c>
      <c r="S16" s="33">
        <v>96.57</v>
      </c>
      <c r="T16" s="33">
        <v>95.14</v>
      </c>
      <c r="U16" s="33">
        <v>107.95</v>
      </c>
      <c r="V16" s="33">
        <v>83.68</v>
      </c>
      <c r="W16" s="33">
        <v>138.29</v>
      </c>
      <c r="X16" s="33">
        <v>169.39</v>
      </c>
      <c r="Y16" s="33">
        <v>240.34</v>
      </c>
      <c r="Z16" s="32"/>
      <c r="AA16" s="36">
        <f>250.31+260.42</f>
        <v>510.73</v>
      </c>
      <c r="AB16" s="32"/>
      <c r="AC16" s="33">
        <v>245.5</v>
      </c>
      <c r="AD16" s="36">
        <f>211.88+135.98</f>
        <v>347.86</v>
      </c>
      <c r="AE16" s="33">
        <v>117.28</v>
      </c>
      <c r="AF16" s="33">
        <v>98.3</v>
      </c>
      <c r="AG16" s="33">
        <v>92.12</v>
      </c>
      <c r="AH16" s="32"/>
      <c r="AI16" s="33">
        <v>114.57</v>
      </c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2081</v>
      </c>
      <c r="E17" s="32"/>
      <c r="F17" s="32"/>
      <c r="G17" s="32"/>
      <c r="H17" s="33">
        <v>166.87</v>
      </c>
      <c r="I17" s="33">
        <v>241.68</v>
      </c>
      <c r="J17" s="33">
        <v>186.69</v>
      </c>
      <c r="K17" s="32"/>
      <c r="L17" s="33">
        <v>176.57</v>
      </c>
      <c r="M17" s="36">
        <f>217.26+206.83</f>
        <v>424.09000000000003</v>
      </c>
      <c r="N17" s="32"/>
      <c r="O17" s="36">
        <f>205.84+197.24</f>
        <v>403.08000000000004</v>
      </c>
      <c r="P17" s="33">
        <v>271.73</v>
      </c>
      <c r="Q17" s="32"/>
      <c r="R17" s="36">
        <f>220.78+195.16</f>
        <v>415.94</v>
      </c>
      <c r="S17" s="33">
        <v>164.46</v>
      </c>
      <c r="T17" s="33">
        <v>175.21</v>
      </c>
      <c r="U17" s="33">
        <v>156.48</v>
      </c>
      <c r="V17" s="33">
        <v>160.39</v>
      </c>
      <c r="W17" s="33">
        <v>178.42</v>
      </c>
      <c r="X17" s="33">
        <v>176.24</v>
      </c>
      <c r="Y17" s="33">
        <v>197.89</v>
      </c>
      <c r="Z17" s="32"/>
      <c r="AA17" s="36">
        <f>218.58+252.35</f>
        <v>470.93</v>
      </c>
      <c r="AB17" s="32"/>
      <c r="AC17" s="33">
        <v>248.44</v>
      </c>
      <c r="AD17" s="36">
        <f>220.61+172.68</f>
        <v>393.29</v>
      </c>
      <c r="AE17" s="33">
        <v>122.4</v>
      </c>
      <c r="AF17" s="33">
        <v>139.28</v>
      </c>
      <c r="AG17" s="33">
        <v>88.75</v>
      </c>
      <c r="AH17" s="32"/>
      <c r="AI17" s="33">
        <v>100.05</v>
      </c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2082</v>
      </c>
      <c r="E18" s="32"/>
      <c r="F18" s="32"/>
      <c r="G18" s="32"/>
      <c r="H18" s="33">
        <v>126.81</v>
      </c>
      <c r="I18" s="33">
        <v>160.85</v>
      </c>
      <c r="J18" s="33">
        <v>142.96</v>
      </c>
      <c r="K18" s="32"/>
      <c r="L18" s="33">
        <v>139.22</v>
      </c>
      <c r="M18" s="36">
        <f>186.41+198.72</f>
        <v>385.13</v>
      </c>
      <c r="N18" s="32"/>
      <c r="O18" s="36">
        <f>266.33+241.42</f>
        <v>507.75</v>
      </c>
      <c r="P18" s="33">
        <v>228.78</v>
      </c>
      <c r="Q18" s="32"/>
      <c r="R18" s="36">
        <f>184.14+132.30</f>
        <v>316.44</v>
      </c>
      <c r="S18" s="33">
        <v>125.05</v>
      </c>
      <c r="T18" s="33">
        <v>146.04</v>
      </c>
      <c r="U18" s="33">
        <v>130.3</v>
      </c>
      <c r="V18" s="33">
        <v>108.18</v>
      </c>
      <c r="W18" s="33">
        <v>139.42</v>
      </c>
      <c r="X18" s="33">
        <v>172.31</v>
      </c>
      <c r="Y18" s="33">
        <v>255.09</v>
      </c>
      <c r="Z18" s="32"/>
      <c r="AA18" s="36">
        <f>280.77+317.00</f>
        <v>597.77</v>
      </c>
      <c r="AB18" s="32"/>
      <c r="AC18" s="33">
        <v>289.54</v>
      </c>
      <c r="AD18" s="36">
        <f>240.86+124.88</f>
        <v>365.74</v>
      </c>
      <c r="AE18" s="33">
        <v>83.91</v>
      </c>
      <c r="AF18" s="33">
        <v>105.85</v>
      </c>
      <c r="AG18" s="33">
        <v>99.35</v>
      </c>
      <c r="AH18" s="32"/>
      <c r="AI18" s="33">
        <v>94.01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2083</v>
      </c>
      <c r="E19" s="32"/>
      <c r="F19" s="32"/>
      <c r="G19" s="32"/>
      <c r="H19" s="33">
        <v>13.28</v>
      </c>
      <c r="I19" s="33">
        <v>13.36</v>
      </c>
      <c r="J19" s="33">
        <v>13.36</v>
      </c>
      <c r="K19" s="32"/>
      <c r="L19" s="33">
        <v>12.72</v>
      </c>
      <c r="M19" s="36">
        <f>12.46+12.46</f>
        <v>24.92</v>
      </c>
      <c r="N19" s="32"/>
      <c r="O19" s="36">
        <f>12.46+12.22</f>
        <v>24.68</v>
      </c>
      <c r="P19" s="33">
        <v>12.46</v>
      </c>
      <c r="Q19" s="32"/>
      <c r="R19" s="36">
        <f>12.46+12.46</f>
        <v>24.92</v>
      </c>
      <c r="S19" s="33">
        <v>12.46</v>
      </c>
      <c r="T19" s="33">
        <v>14.36</v>
      </c>
      <c r="U19" s="33">
        <v>14.43</v>
      </c>
      <c r="V19" s="33">
        <v>14.43</v>
      </c>
      <c r="W19" s="33">
        <v>14.43</v>
      </c>
      <c r="X19" s="33">
        <v>14.43</v>
      </c>
      <c r="Y19" s="33">
        <v>14.43</v>
      </c>
      <c r="Z19" s="32"/>
      <c r="AA19" s="36">
        <f>14.43+14.43</f>
        <v>28.86</v>
      </c>
      <c r="AB19" s="32"/>
      <c r="AC19" s="33">
        <v>14.43</v>
      </c>
      <c r="AD19" s="36">
        <f>14.43+14.43</f>
        <v>28.86</v>
      </c>
      <c r="AE19" s="33">
        <v>14.43</v>
      </c>
      <c r="AF19" s="33">
        <v>14.05</v>
      </c>
      <c r="AG19" s="33">
        <v>14.05</v>
      </c>
      <c r="AH19" s="32"/>
      <c r="AI19" s="33">
        <v>14.05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2084</v>
      </c>
      <c r="E20" s="32"/>
      <c r="F20" s="32"/>
      <c r="G20" s="32"/>
      <c r="H20" s="33">
        <v>29.81</v>
      </c>
      <c r="I20" s="33">
        <v>29.81</v>
      </c>
      <c r="J20" s="33">
        <v>29.81</v>
      </c>
      <c r="K20" s="32"/>
      <c r="L20" s="33">
        <v>29.81</v>
      </c>
      <c r="M20" s="36">
        <f>29.81+29.81</f>
        <v>59.62</v>
      </c>
      <c r="N20" s="32"/>
      <c r="O20" s="36">
        <f>29.81+29.81</f>
        <v>59.62</v>
      </c>
      <c r="P20" s="33">
        <v>29.81</v>
      </c>
      <c r="Q20" s="32"/>
      <c r="R20" s="36">
        <f>29.81+29.81</f>
        <v>59.62</v>
      </c>
      <c r="S20" s="33">
        <v>29.81</v>
      </c>
      <c r="T20" s="33">
        <v>29.81</v>
      </c>
      <c r="U20" s="33">
        <v>29.81</v>
      </c>
      <c r="V20" s="33">
        <v>29.81</v>
      </c>
      <c r="W20" s="33">
        <v>29.81</v>
      </c>
      <c r="X20" s="33">
        <v>29.81</v>
      </c>
      <c r="Y20" s="33">
        <v>29.81</v>
      </c>
      <c r="Z20" s="32"/>
      <c r="AA20" s="36">
        <f>29.81+29.81</f>
        <v>59.62</v>
      </c>
      <c r="AB20" s="32"/>
      <c r="AC20" s="33">
        <v>29.81</v>
      </c>
      <c r="AD20" s="36">
        <f>29.81+29.81</f>
        <v>59.62</v>
      </c>
      <c r="AE20" s="33">
        <v>29.81</v>
      </c>
      <c r="AF20" s="33">
        <v>35.77</v>
      </c>
      <c r="AG20" s="33">
        <v>35.77</v>
      </c>
      <c r="AH20" s="32"/>
      <c r="AI20" s="33">
        <v>35.77</v>
      </c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2085</v>
      </c>
      <c r="E21" s="32"/>
      <c r="F21" s="32"/>
      <c r="G21" s="32"/>
      <c r="H21" s="33">
        <v>74.64</v>
      </c>
      <c r="I21" s="33">
        <v>78.54</v>
      </c>
      <c r="J21" s="33">
        <v>82.26</v>
      </c>
      <c r="K21" s="32"/>
      <c r="L21" s="33">
        <v>64.13</v>
      </c>
      <c r="M21" s="36">
        <f>80.84+114.60</f>
        <v>195.44</v>
      </c>
      <c r="N21" s="32"/>
      <c r="O21" s="36">
        <f>94.22+76.63</f>
        <v>170.85</v>
      </c>
      <c r="P21" s="33">
        <v>70.64</v>
      </c>
      <c r="Q21" s="32"/>
      <c r="R21" s="36">
        <f>79.93+68.73</f>
        <v>148.66000000000003</v>
      </c>
      <c r="S21" s="33">
        <v>77.63</v>
      </c>
      <c r="T21" s="33">
        <v>98.89</v>
      </c>
      <c r="U21" s="33">
        <v>92.79</v>
      </c>
      <c r="V21" s="33">
        <v>60.83</v>
      </c>
      <c r="W21" s="33">
        <v>63.95</v>
      </c>
      <c r="X21" s="33">
        <v>66.65</v>
      </c>
      <c r="Y21" s="33">
        <v>76.51</v>
      </c>
      <c r="Z21" s="32"/>
      <c r="AA21" s="36">
        <f>89.07+84.92</f>
        <v>173.99</v>
      </c>
      <c r="AB21" s="32"/>
      <c r="AC21" s="33">
        <v>85.8</v>
      </c>
      <c r="AD21" s="36">
        <f>77.66+73.79</f>
        <v>151.45</v>
      </c>
      <c r="AE21" s="33">
        <v>74.52</v>
      </c>
      <c r="AF21" s="33">
        <v>84.66</v>
      </c>
      <c r="AG21" s="33">
        <v>117.2</v>
      </c>
      <c r="AH21" s="32"/>
      <c r="AI21" s="33">
        <v>80.92</v>
      </c>
      <c r="AJ21" s="34">
        <f>SUM(E21:AI21)</f>
      </c>
      <c r="AK21" s="35"/>
    </row>
    <row r="22" ht="12.75" customHeight="1" spans="2:37" x14ac:dyDescent="0.25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ht="12.75" customHeight="1" spans="2:37" x14ac:dyDescent="0.25">
      <c r="B23" s="20" t="s">
        <v>85</v>
      </c>
      <c r="C23" s="21"/>
      <c r="D23" s="21"/>
      <c r="E23" s="22">
        <f>SUM(E14:E21)</f>
      </c>
      <c r="F23" s="22">
        <f>SUM(F14:F21)</f>
      </c>
      <c r="G23" s="22">
        <f>SUM(G14:G21)</f>
      </c>
      <c r="H23" s="22">
        <f>SUM(H14:H21)</f>
      </c>
      <c r="I23" s="22">
        <f>SUM(I14:I21)</f>
      </c>
      <c r="J23" s="22">
        <f>SUM(J14:J21)</f>
      </c>
      <c r="K23" s="22">
        <f>SUM(K14:K21)</f>
      </c>
      <c r="L23" s="22">
        <f>SUM(L14:L21)</f>
      </c>
      <c r="M23" s="22">
        <f>SUM(M14:M21)</f>
      </c>
      <c r="N23" s="22">
        <f>SUM(N14:N21)</f>
      </c>
      <c r="O23" s="22">
        <f>SUM(O14:O21)</f>
      </c>
      <c r="P23" s="22">
        <f>SUM(P14:P21)</f>
      </c>
      <c r="Q23" s="22">
        <f>SUM(Q14:Q21)</f>
      </c>
      <c r="R23" s="22">
        <f>SUM(R14:R21)</f>
      </c>
      <c r="S23" s="22">
        <f>SUM(S14:S21)</f>
      </c>
      <c r="T23" s="22">
        <f>SUM(T14:T21)</f>
      </c>
      <c r="U23" s="22">
        <f>SUM(U14:U21)</f>
      </c>
      <c r="V23" s="22">
        <f>SUM(V14:V21)</f>
      </c>
      <c r="W23" s="22">
        <f>SUM(W14:W21)</f>
      </c>
      <c r="X23" s="22">
        <f>SUM(X14:X21)</f>
      </c>
      <c r="Y23" s="22">
        <f>SUM(Y14:Y21)</f>
      </c>
      <c r="Z23" s="22">
        <f>SUM(Z14:Z21)</f>
      </c>
      <c r="AA23" s="22">
        <f>SUM(AA14:AA21)</f>
      </c>
      <c r="AB23" s="22">
        <f>SUM(AB14:AB21)</f>
      </c>
      <c r="AC23" s="22">
        <f>SUM(AC14:AC21)</f>
      </c>
      <c r="AD23" s="22">
        <f>SUM(AD14:AD21)</f>
      </c>
      <c r="AE23" s="22">
        <f>SUM(AE14:AE21)</f>
      </c>
      <c r="AF23" s="22">
        <f>SUM(AF14:AF21)</f>
      </c>
      <c r="AG23" s="22">
        <f>SUM(AG14:AG21)</f>
      </c>
      <c r="AH23" s="22">
        <f>SUM(AH14:AH21)</f>
      </c>
      <c r="AI23" s="22">
        <f>SUM(AI14:AI21)</f>
      </c>
      <c r="AJ23" s="22">
        <f>SUM(AJ14:AJ21)</f>
      </c>
      <c r="AK23" s="23"/>
    </row>
    <row r="25" ht="12.75" customHeight="1" spans="2:37" x14ac:dyDescent="0.25">
      <c r="B25" s="26" t="s">
        <v>43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/>
    </row>
    <row r="26" ht="12.75" customHeight="1" spans="2:37" x14ac:dyDescent="0.25">
      <c r="B26" s="30" t="s">
        <v>43</v>
      </c>
      <c r="C26" s="31" t="s">
        <v>3</v>
      </c>
      <c r="D26" s="32" t="s">
        <v>2086</v>
      </c>
      <c r="E26" s="32"/>
      <c r="F26" s="32"/>
      <c r="G26" s="32"/>
      <c r="H26" s="33">
        <v>147.91</v>
      </c>
      <c r="I26" s="33">
        <v>120.22</v>
      </c>
      <c r="J26" s="33">
        <v>151.05</v>
      </c>
      <c r="K26" s="33">
        <v>125.26</v>
      </c>
      <c r="L26" s="33">
        <v>134.07</v>
      </c>
      <c r="M26" s="33">
        <v>181.89</v>
      </c>
      <c r="N26" s="33">
        <v>152.94</v>
      </c>
      <c r="O26" s="33">
        <v>123.37</v>
      </c>
      <c r="P26" s="33">
        <v>159.86</v>
      </c>
      <c r="Q26" s="36">
        <f>160.14+138.39</f>
        <v>298.53</v>
      </c>
      <c r="R26" s="32"/>
      <c r="S26" s="33">
        <v>154.7</v>
      </c>
      <c r="T26" s="33">
        <v>145.87</v>
      </c>
      <c r="U26" s="33">
        <v>159.47</v>
      </c>
      <c r="V26" s="33">
        <v>149.94</v>
      </c>
      <c r="W26" s="36">
        <f>151.31+154.70</f>
        <v>306.01</v>
      </c>
      <c r="X26" s="33">
        <v>121.4</v>
      </c>
      <c r="Y26" s="32"/>
      <c r="Z26" s="36">
        <f>160.82+131.59</f>
        <v>292.40999999999997</v>
      </c>
      <c r="AA26" s="32"/>
      <c r="AB26" s="33">
        <v>194.81</v>
      </c>
      <c r="AC26" s="36">
        <f>128.28+136.57</f>
        <v>264.85</v>
      </c>
      <c r="AD26" s="32"/>
      <c r="AE26" s="33">
        <v>133.55</v>
      </c>
      <c r="AF26" s="33">
        <v>117</v>
      </c>
      <c r="AG26" s="33">
        <v>126.03</v>
      </c>
      <c r="AH26" s="33">
        <v>107.97</v>
      </c>
      <c r="AI26" s="32"/>
      <c r="AJ26" s="34">
        <f>SUM(E26:AI26)</f>
      </c>
      <c r="AK26" s="35"/>
    </row>
    <row r="27" ht="12.75" customHeight="1" spans="2:37" x14ac:dyDescent="0.25">
      <c r="B27" s="30" t="s">
        <v>43</v>
      </c>
      <c r="C27" s="31" t="s">
        <v>3</v>
      </c>
      <c r="D27" s="32" t="s">
        <v>2087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>
        <v>10.59</v>
      </c>
      <c r="P27" s="33">
        <v>11.03</v>
      </c>
      <c r="Q27" s="36">
        <f>11.91+11.91</f>
        <v>23.82</v>
      </c>
      <c r="R27" s="32"/>
      <c r="S27" s="33">
        <v>11.91</v>
      </c>
      <c r="T27" s="33">
        <v>11.91</v>
      </c>
      <c r="U27" s="33">
        <v>11.91</v>
      </c>
      <c r="V27" s="33">
        <v>11.91</v>
      </c>
      <c r="W27" s="36">
        <f>11.91+11.91</f>
        <v>23.82</v>
      </c>
      <c r="X27" s="33">
        <v>11.91</v>
      </c>
      <c r="Y27" s="32"/>
      <c r="Z27" s="36">
        <f>11.91+11.91</f>
        <v>23.82</v>
      </c>
      <c r="AA27" s="32"/>
      <c r="AB27" s="33">
        <v>11.91</v>
      </c>
      <c r="AC27" s="36">
        <f>13.17+13.17</f>
        <v>26.34</v>
      </c>
      <c r="AD27" s="32"/>
      <c r="AE27" s="33">
        <v>13.17</v>
      </c>
      <c r="AF27" s="33">
        <v>13.17</v>
      </c>
      <c r="AG27" s="33">
        <v>13.17</v>
      </c>
      <c r="AH27" s="33">
        <v>13.17</v>
      </c>
      <c r="AI27" s="32"/>
      <c r="AJ27" s="34">
        <f>SUM(E27:AI27)</f>
      </c>
      <c r="AK27" s="35"/>
    </row>
    <row r="28" ht="12.75" customHeight="1" spans="2:37" x14ac:dyDescent="0.25">
      <c r="B28" s="30" t="s">
        <v>43</v>
      </c>
      <c r="C28" s="31" t="s">
        <v>3</v>
      </c>
      <c r="D28" s="32" t="s">
        <v>2088</v>
      </c>
      <c r="E28" s="32"/>
      <c r="F28" s="32"/>
      <c r="G28" s="32"/>
      <c r="H28" s="33">
        <v>126.51</v>
      </c>
      <c r="I28" s="33">
        <v>122.11</v>
      </c>
      <c r="J28" s="33">
        <v>179.37</v>
      </c>
      <c r="K28" s="33">
        <v>132.18</v>
      </c>
      <c r="L28" s="33">
        <v>95.68</v>
      </c>
      <c r="M28" s="33">
        <v>134.07</v>
      </c>
      <c r="N28" s="33">
        <v>118.97</v>
      </c>
      <c r="O28" s="33">
        <v>90.65</v>
      </c>
      <c r="P28" s="33">
        <v>139.1</v>
      </c>
      <c r="Q28" s="36">
        <f>106.44+261.44</f>
        <v>367.88</v>
      </c>
      <c r="R28" s="32"/>
      <c r="S28" s="33">
        <v>156.74</v>
      </c>
      <c r="T28" s="33">
        <v>118.68</v>
      </c>
      <c r="U28" s="33">
        <v>160.82</v>
      </c>
      <c r="V28" s="33">
        <v>128.19</v>
      </c>
      <c r="W28" s="36">
        <f>143.83+167.62</f>
        <v>311.45000000000005</v>
      </c>
      <c r="X28" s="33">
        <v>142.47</v>
      </c>
      <c r="Y28" s="32"/>
      <c r="Z28" s="36">
        <f>265.51+156.07</f>
        <v>421.58</v>
      </c>
      <c r="AA28" s="32"/>
      <c r="AB28" s="33">
        <v>167.62</v>
      </c>
      <c r="AC28" s="36">
        <f>139.57+184.71</f>
        <v>324.28</v>
      </c>
      <c r="AD28" s="32"/>
      <c r="AE28" s="33">
        <v>312.62</v>
      </c>
      <c r="AF28" s="33">
        <v>193</v>
      </c>
      <c r="AG28" s="33">
        <v>203.52</v>
      </c>
      <c r="AH28" s="33">
        <v>160.63</v>
      </c>
      <c r="AI28" s="32"/>
      <c r="AJ28" s="34">
        <f>SUM(E28:AI28)</f>
      </c>
      <c r="AK28" s="35"/>
    </row>
    <row r="29" ht="12.75" customHeight="1" spans="2:37" x14ac:dyDescent="0.25">
      <c r="B29" s="30" t="s">
        <v>43</v>
      </c>
      <c r="C29" s="31" t="s">
        <v>3</v>
      </c>
      <c r="D29" s="32" t="s">
        <v>2089</v>
      </c>
      <c r="E29" s="32"/>
      <c r="F29" s="32"/>
      <c r="G29" s="32"/>
      <c r="H29" s="33">
        <v>12.29</v>
      </c>
      <c r="I29" s="33">
        <v>11.66</v>
      </c>
      <c r="J29" s="33">
        <v>11.66</v>
      </c>
      <c r="K29" s="33">
        <v>12.29</v>
      </c>
      <c r="L29" s="33">
        <v>11.66</v>
      </c>
      <c r="M29" s="33">
        <v>11.66</v>
      </c>
      <c r="N29" s="33">
        <v>12.29</v>
      </c>
      <c r="O29" s="33">
        <v>11.66</v>
      </c>
      <c r="P29" s="33">
        <v>12.29</v>
      </c>
      <c r="Q29" s="36">
        <f>13.28+12.60</f>
        <v>25.88</v>
      </c>
      <c r="R29" s="32"/>
      <c r="S29" s="33">
        <v>12.6</v>
      </c>
      <c r="T29" s="33">
        <v>12.6</v>
      </c>
      <c r="U29" s="33">
        <v>12.6</v>
      </c>
      <c r="V29" s="33">
        <v>11.91</v>
      </c>
      <c r="W29" s="36">
        <f>12.60+12.60</f>
        <v>25.2</v>
      </c>
      <c r="X29" s="33">
        <v>12.6</v>
      </c>
      <c r="Y29" s="32"/>
      <c r="Z29" s="36">
        <f>11.91+12.60</f>
        <v>24.509999999999998</v>
      </c>
      <c r="AA29" s="32"/>
      <c r="AB29" s="33">
        <v>12.6</v>
      </c>
      <c r="AC29" s="36">
        <f>13.92+13.17</f>
        <v>27.09</v>
      </c>
      <c r="AD29" s="32"/>
      <c r="AE29" s="33">
        <v>13.92</v>
      </c>
      <c r="AF29" s="33">
        <v>13.17</v>
      </c>
      <c r="AG29" s="33">
        <v>13.17</v>
      </c>
      <c r="AH29" s="33">
        <v>13.17</v>
      </c>
      <c r="AI29" s="32"/>
      <c r="AJ29" s="34">
        <f>SUM(E29:AI29)</f>
      </c>
      <c r="AK29" s="35"/>
    </row>
    <row r="30" ht="12.75" customHeight="1" spans="2:37" x14ac:dyDescent="0.25">
      <c r="B30" s="30" t="s">
        <v>43</v>
      </c>
      <c r="C30" s="31" t="s">
        <v>3</v>
      </c>
      <c r="D30" s="32" t="s">
        <v>2090</v>
      </c>
      <c r="E30" s="32"/>
      <c r="F30" s="32"/>
      <c r="G30" s="32"/>
      <c r="H30" s="33">
        <v>76.18</v>
      </c>
      <c r="I30" s="33">
        <v>68.63</v>
      </c>
      <c r="J30" s="33">
        <v>73.66</v>
      </c>
      <c r="K30" s="33">
        <v>90.02</v>
      </c>
      <c r="L30" s="33">
        <v>59.19</v>
      </c>
      <c r="M30" s="33">
        <v>100.72</v>
      </c>
      <c r="N30" s="33">
        <v>81.84</v>
      </c>
      <c r="O30" s="33">
        <v>92.53</v>
      </c>
      <c r="P30" s="33">
        <v>76.8</v>
      </c>
      <c r="Q30" s="36">
        <f>79.57+64.61</f>
        <v>144.18</v>
      </c>
      <c r="R30" s="32"/>
      <c r="S30" s="33">
        <v>82.97</v>
      </c>
      <c r="T30" s="33">
        <v>46.94</v>
      </c>
      <c r="U30" s="33">
        <v>58.5</v>
      </c>
      <c r="V30" s="33">
        <v>53.05</v>
      </c>
      <c r="W30" s="36">
        <f>53.05+60.53</f>
        <v>113.58</v>
      </c>
      <c r="X30" s="33">
        <v>105.4</v>
      </c>
      <c r="Y30" s="32"/>
      <c r="Z30" s="36">
        <f>64.61+59.18</f>
        <v>123.78999999999999</v>
      </c>
      <c r="AA30" s="32"/>
      <c r="AB30" s="33">
        <v>66.65</v>
      </c>
      <c r="AC30" s="36">
        <f>50.79+57.56</f>
        <v>108.35</v>
      </c>
      <c r="AD30" s="32"/>
      <c r="AE30" s="33">
        <v>58.31</v>
      </c>
      <c r="AF30" s="33">
        <v>59.06</v>
      </c>
      <c r="AG30" s="33">
        <v>61.33</v>
      </c>
      <c r="AH30" s="33">
        <v>62.82</v>
      </c>
      <c r="AI30" s="32"/>
      <c r="AJ30" s="34">
        <f>SUM(E30:AI30)</f>
      </c>
      <c r="AK30" s="35"/>
    </row>
    <row r="31" ht="12.75" customHeight="1" spans="2:37" x14ac:dyDescent="0.25">
      <c r="B31" s="30" t="s">
        <v>43</v>
      </c>
      <c r="C31" s="31" t="s">
        <v>3</v>
      </c>
      <c r="D31" s="32" t="s">
        <v>2091</v>
      </c>
      <c r="E31" s="32"/>
      <c r="F31" s="32"/>
      <c r="G31" s="32"/>
      <c r="H31" s="33">
        <v>52.9</v>
      </c>
      <c r="I31" s="33">
        <v>62.34</v>
      </c>
      <c r="J31" s="33">
        <v>37.17</v>
      </c>
      <c r="K31" s="33">
        <v>22.07</v>
      </c>
      <c r="L31" s="33">
        <v>23.32</v>
      </c>
      <c r="M31" s="33">
        <v>22.07</v>
      </c>
      <c r="N31" s="33">
        <v>67.36</v>
      </c>
      <c r="O31" s="33">
        <v>93.17</v>
      </c>
      <c r="P31" s="33">
        <v>98.2</v>
      </c>
      <c r="Q31" s="36">
        <f>23.83+23.83</f>
        <v>47.66</v>
      </c>
      <c r="R31" s="32"/>
      <c r="S31" s="33">
        <v>25.86</v>
      </c>
      <c r="T31" s="33">
        <v>25.19</v>
      </c>
      <c r="U31" s="33">
        <v>23.83</v>
      </c>
      <c r="V31" s="33">
        <v>23.83</v>
      </c>
      <c r="W31" s="36">
        <f>23.83+23.83</f>
        <v>47.66</v>
      </c>
      <c r="X31" s="33">
        <v>23.83</v>
      </c>
      <c r="Y31" s="32"/>
      <c r="Z31" s="36">
        <f>23.83+23.83</f>
        <v>47.66</v>
      </c>
      <c r="AA31" s="32"/>
      <c r="AB31" s="33">
        <v>23.83</v>
      </c>
      <c r="AC31" s="36">
        <f>13.17+13.17</f>
        <v>26.34</v>
      </c>
      <c r="AD31" s="32"/>
      <c r="AE31" s="33">
        <v>13.17</v>
      </c>
      <c r="AF31" s="33">
        <v>13.17</v>
      </c>
      <c r="AG31" s="33">
        <v>13.17</v>
      </c>
      <c r="AH31" s="33">
        <v>13.92</v>
      </c>
      <c r="AI31" s="32"/>
      <c r="AJ31" s="34">
        <f>SUM(E31:AI31)</f>
      </c>
      <c r="AK31" s="35"/>
    </row>
    <row r="32" ht="12.75" customHeight="1" spans="2:37" x14ac:dyDescent="0.25">
      <c r="B32" s="30" t="s">
        <v>43</v>
      </c>
      <c r="C32" s="31" t="s">
        <v>3</v>
      </c>
      <c r="D32" s="32" t="s">
        <v>2092</v>
      </c>
      <c r="E32" s="32"/>
      <c r="F32" s="32"/>
      <c r="G32" s="32"/>
      <c r="H32" s="33">
        <v>52.9</v>
      </c>
      <c r="I32" s="33">
        <v>89.39</v>
      </c>
      <c r="J32" s="33">
        <v>60.45</v>
      </c>
      <c r="K32" s="33">
        <v>88.13</v>
      </c>
      <c r="L32" s="33">
        <v>68</v>
      </c>
      <c r="M32" s="33">
        <v>87.51</v>
      </c>
      <c r="N32" s="33">
        <v>108.9</v>
      </c>
      <c r="O32" s="33">
        <v>75.55</v>
      </c>
      <c r="P32" s="33">
        <v>71.15</v>
      </c>
      <c r="Q32" s="36">
        <f>74.81+117.63</f>
        <v>192.44</v>
      </c>
      <c r="R32" s="32"/>
      <c r="S32" s="33">
        <v>74.13</v>
      </c>
      <c r="T32" s="33">
        <v>81.61</v>
      </c>
      <c r="U32" s="33">
        <v>78.89</v>
      </c>
      <c r="V32" s="33">
        <v>91.12</v>
      </c>
      <c r="W32" s="36">
        <f>84.33+97.24</f>
        <v>181.57</v>
      </c>
      <c r="X32" s="33">
        <v>72.09</v>
      </c>
      <c r="Y32" s="32"/>
      <c r="Z32" s="36">
        <f>90.44+132.59</f>
        <v>223.03</v>
      </c>
      <c r="AA32" s="32"/>
      <c r="AB32" s="33">
        <v>781.12</v>
      </c>
      <c r="AC32" s="36">
        <f>79.38+80.14</f>
        <v>159.51999999999998</v>
      </c>
      <c r="AD32" s="32"/>
      <c r="AE32" s="33">
        <v>89.91</v>
      </c>
      <c r="AF32" s="33">
        <v>74.11</v>
      </c>
      <c r="AG32" s="33">
        <v>84.65</v>
      </c>
      <c r="AH32" s="33">
        <v>79.38</v>
      </c>
      <c r="AI32" s="32"/>
      <c r="AJ32" s="34">
        <f>SUM(E32:AI32)</f>
      </c>
      <c r="AK32" s="35"/>
    </row>
    <row r="33" ht="12.75" customHeight="1" spans="2:37" x14ac:dyDescent="0.25">
      <c r="B33" s="30" t="s">
        <v>43</v>
      </c>
      <c r="C33" s="31" t="s">
        <v>3</v>
      </c>
      <c r="D33" s="32" t="s">
        <v>2093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6">
        <f>8.58+11.91</f>
        <v>20.490000000000002</v>
      </c>
      <c r="R33" s="32"/>
      <c r="S33" s="33">
        <v>11.91</v>
      </c>
      <c r="T33" s="33">
        <v>11.91</v>
      </c>
      <c r="U33" s="36">
        <f>11.91+0.00</f>
        <v>11.91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4">
        <f>SUM(E33:AI33)</f>
      </c>
      <c r="AK33" s="35"/>
    </row>
    <row r="34" ht="12.75" customHeight="1" spans="2:37" x14ac:dyDescent="0.25">
      <c r="B34" s="30" t="s">
        <v>43</v>
      </c>
      <c r="C34" s="31" t="s">
        <v>3</v>
      </c>
      <c r="D34" s="32" t="s">
        <v>2094</v>
      </c>
      <c r="E34" s="32"/>
      <c r="F34" s="32"/>
      <c r="G34" s="32"/>
      <c r="H34" s="33">
        <v>12.29</v>
      </c>
      <c r="I34" s="33">
        <v>11.03</v>
      </c>
      <c r="J34" s="33">
        <v>11.66</v>
      </c>
      <c r="K34" s="33">
        <v>12.29</v>
      </c>
      <c r="L34" s="33">
        <v>11.03</v>
      </c>
      <c r="M34" s="33">
        <v>11.66</v>
      </c>
      <c r="N34" s="33">
        <v>12.29</v>
      </c>
      <c r="O34" s="33">
        <v>11.03</v>
      </c>
      <c r="P34" s="33">
        <v>11.03</v>
      </c>
      <c r="Q34" s="36">
        <f>12.60+25.51</f>
        <v>38.11</v>
      </c>
      <c r="R34" s="32"/>
      <c r="S34" s="33">
        <v>11.91</v>
      </c>
      <c r="T34" s="33">
        <v>11.91</v>
      </c>
      <c r="U34" s="33">
        <v>12.6</v>
      </c>
      <c r="V34" s="33">
        <v>12.6</v>
      </c>
      <c r="W34" s="36">
        <f>11.91+12.60</f>
        <v>24.509999999999998</v>
      </c>
      <c r="X34" s="33">
        <v>11.91</v>
      </c>
      <c r="Y34" s="32"/>
      <c r="Z34" s="36">
        <f>14.63+13.28</f>
        <v>27.91</v>
      </c>
      <c r="AA34" s="32"/>
      <c r="AB34" s="33">
        <v>13.28</v>
      </c>
      <c r="AC34" s="36">
        <f>13.17+13.92</f>
        <v>27.09</v>
      </c>
      <c r="AD34" s="32"/>
      <c r="AE34" s="33">
        <v>13.92</v>
      </c>
      <c r="AF34" s="33">
        <v>13.92</v>
      </c>
      <c r="AG34" s="33">
        <v>13.92</v>
      </c>
      <c r="AH34" s="33">
        <v>16.18</v>
      </c>
      <c r="AI34" s="32"/>
      <c r="AJ34" s="34">
        <f>SUM(E34:AI34)</f>
      </c>
      <c r="AK34" s="35"/>
    </row>
    <row r="35" ht="12.75" customHeight="1" spans="2:37" x14ac:dyDescent="0.25">
      <c r="B35" s="30" t="s">
        <v>43</v>
      </c>
      <c r="C35" s="31" t="s">
        <v>3</v>
      </c>
      <c r="D35" s="32" t="s">
        <v>2095</v>
      </c>
      <c r="E35" s="32"/>
      <c r="F35" s="32"/>
      <c r="G35" s="32"/>
      <c r="H35" s="33">
        <v>13.55</v>
      </c>
      <c r="I35" s="33">
        <v>12.93</v>
      </c>
      <c r="J35" s="33">
        <v>14.18</v>
      </c>
      <c r="K35" s="33">
        <v>13.55</v>
      </c>
      <c r="L35" s="33">
        <v>13.55</v>
      </c>
      <c r="M35" s="33">
        <v>18.58</v>
      </c>
      <c r="N35" s="33">
        <v>15.43</v>
      </c>
      <c r="O35" s="33">
        <v>14.18</v>
      </c>
      <c r="P35" s="33">
        <v>14.81</v>
      </c>
      <c r="Q35" s="36">
        <f>224.69+14.63</f>
        <v>239.32</v>
      </c>
      <c r="R35" s="32"/>
      <c r="S35" s="33">
        <v>15.31</v>
      </c>
      <c r="T35" s="33">
        <v>18.03</v>
      </c>
      <c r="U35" s="33">
        <v>17.35</v>
      </c>
      <c r="V35" s="33">
        <v>17.35</v>
      </c>
      <c r="W35" s="36">
        <f>15.31+14.63</f>
        <v>29.94</v>
      </c>
      <c r="X35" s="33">
        <v>15.31</v>
      </c>
      <c r="Y35" s="32"/>
      <c r="Z35" s="36">
        <f>17.35+13.28</f>
        <v>30.630000000000003</v>
      </c>
      <c r="AA35" s="32"/>
      <c r="AB35" s="33">
        <v>14.63</v>
      </c>
      <c r="AC35" s="36">
        <f>15.42+16.93</f>
        <v>32.35</v>
      </c>
      <c r="AD35" s="32"/>
      <c r="AE35" s="33">
        <v>21.44</v>
      </c>
      <c r="AF35" s="33">
        <v>18.44</v>
      </c>
      <c r="AG35" s="33">
        <v>17.68</v>
      </c>
      <c r="AH35" s="33">
        <v>16.18</v>
      </c>
      <c r="AI35" s="32"/>
      <c r="AJ35" s="34">
        <f>SUM(E35:AI35)</f>
      </c>
      <c r="AK35" s="35"/>
    </row>
    <row r="36" ht="12.75" customHeight="1" spans="2:37" x14ac:dyDescent="0.25">
      <c r="B36" s="30" t="s">
        <v>43</v>
      </c>
      <c r="C36" s="31" t="s">
        <v>3</v>
      </c>
      <c r="D36" s="32" t="s">
        <v>2096</v>
      </c>
      <c r="E36" s="32"/>
      <c r="F36" s="32"/>
      <c r="G36" s="32"/>
      <c r="H36" s="33">
        <v>25.51</v>
      </c>
      <c r="I36" s="33">
        <v>15.43</v>
      </c>
      <c r="J36" s="33">
        <v>17.95</v>
      </c>
      <c r="K36" s="33">
        <v>18.58</v>
      </c>
      <c r="L36" s="33">
        <v>21.1</v>
      </c>
      <c r="M36" s="33">
        <v>37.46</v>
      </c>
      <c r="N36" s="33">
        <v>30.54</v>
      </c>
      <c r="O36" s="33">
        <v>40.6</v>
      </c>
      <c r="P36" s="33">
        <v>46.27</v>
      </c>
      <c r="Q36" s="36">
        <f>42.50+41.82</f>
        <v>84.32</v>
      </c>
      <c r="R36" s="32"/>
      <c r="S36" s="33">
        <v>49.98</v>
      </c>
      <c r="T36" s="33">
        <v>41.82</v>
      </c>
      <c r="U36" s="33">
        <v>49.3</v>
      </c>
      <c r="V36" s="33">
        <v>36.39</v>
      </c>
      <c r="W36" s="36">
        <f>36.39+37.07</f>
        <v>73.46000000000001</v>
      </c>
      <c r="X36" s="33">
        <v>30.27</v>
      </c>
      <c r="Y36" s="32"/>
      <c r="Z36" s="36">
        <f>12.60+22.79</f>
        <v>35.39</v>
      </c>
      <c r="AA36" s="32"/>
      <c r="AB36" s="33">
        <v>232.85</v>
      </c>
      <c r="AC36" s="36">
        <f>13.17+13.17</f>
        <v>26.34</v>
      </c>
      <c r="AD36" s="32"/>
      <c r="AE36" s="33">
        <v>13.17</v>
      </c>
      <c r="AF36" s="33">
        <v>13.17</v>
      </c>
      <c r="AG36" s="33">
        <v>13.17</v>
      </c>
      <c r="AH36" s="33">
        <v>13.17</v>
      </c>
      <c r="AI36" s="32"/>
      <c r="AJ36" s="34">
        <f>SUM(E36:AI36)</f>
      </c>
      <c r="AK36" s="35"/>
    </row>
    <row r="37" ht="12.75" customHeight="1" spans="2:37" x14ac:dyDescent="0.25">
      <c r="B37" s="37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40"/>
    </row>
    <row r="38" ht="12.75" customHeight="1" spans="2:37" x14ac:dyDescent="0.25">
      <c r="B38" s="20" t="s">
        <v>89</v>
      </c>
      <c r="C38" s="21"/>
      <c r="D38" s="21"/>
      <c r="E38" s="22">
        <f>SUM(E26:E36)</f>
      </c>
      <c r="F38" s="22">
        <f>SUM(F26:F36)</f>
      </c>
      <c r="G38" s="22">
        <f>SUM(G26:G36)</f>
      </c>
      <c r="H38" s="22">
        <f>SUM(H26:H36)</f>
      </c>
      <c r="I38" s="22">
        <f>SUM(I26:I36)</f>
      </c>
      <c r="J38" s="22">
        <f>SUM(J26:J36)</f>
      </c>
      <c r="K38" s="22">
        <f>SUM(K26:K36)</f>
      </c>
      <c r="L38" s="22">
        <f>SUM(L26:L36)</f>
      </c>
      <c r="M38" s="22">
        <f>SUM(M26:M36)</f>
      </c>
      <c r="N38" s="22">
        <f>SUM(N26:N36)</f>
      </c>
      <c r="O38" s="22">
        <f>SUM(O26:O36)</f>
      </c>
      <c r="P38" s="22">
        <f>SUM(P26:P36)</f>
      </c>
      <c r="Q38" s="22">
        <f>SUM(Q26:Q36)</f>
      </c>
      <c r="R38" s="22">
        <f>SUM(R26:R36)</f>
      </c>
      <c r="S38" s="22">
        <f>SUM(S26:S36)</f>
      </c>
      <c r="T38" s="22">
        <f>SUM(T26:T36)</f>
      </c>
      <c r="U38" s="22">
        <f>SUM(U26:U36)</f>
      </c>
      <c r="V38" s="22">
        <f>SUM(V26:V36)</f>
      </c>
      <c r="W38" s="22">
        <f>SUM(W26:W36)</f>
      </c>
      <c r="X38" s="22">
        <f>SUM(X26:X36)</f>
      </c>
      <c r="Y38" s="22">
        <f>SUM(Y26:Y36)</f>
      </c>
      <c r="Z38" s="22">
        <f>SUM(Z26:Z36)</f>
      </c>
      <c r="AA38" s="22">
        <f>SUM(AA26:AA36)</f>
      </c>
      <c r="AB38" s="22">
        <f>SUM(AB26:AB36)</f>
      </c>
      <c r="AC38" s="22">
        <f>SUM(AC26:AC36)</f>
      </c>
      <c r="AD38" s="22">
        <f>SUM(AD26:AD36)</f>
      </c>
      <c r="AE38" s="22">
        <f>SUM(AE26:AE36)</f>
      </c>
      <c r="AF38" s="22">
        <f>SUM(AF26:AF36)</f>
      </c>
      <c r="AG38" s="22">
        <f>SUM(AG26:AG36)</f>
      </c>
      <c r="AH38" s="22">
        <f>SUM(AH26:AH36)</f>
      </c>
      <c r="AI38" s="22">
        <f>SUM(AI26:AI36)</f>
      </c>
      <c r="AJ38" s="22">
        <f>SUM(AJ26:AJ36)</f>
      </c>
      <c r="AK38" s="23"/>
    </row>
    <row r="40" ht="12.75" customHeight="1" spans="2:37" x14ac:dyDescent="0.25">
      <c r="B40" s="26" t="s">
        <v>44</v>
      </c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9"/>
    </row>
    <row r="41" ht="12.75" customHeight="1" spans="2:37" x14ac:dyDescent="0.25">
      <c r="B41" s="37"/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40"/>
    </row>
    <row r="42" ht="12.75" customHeight="1" spans="2:37" x14ac:dyDescent="0.25">
      <c r="B42" s="20" t="s">
        <v>90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3"/>
    </row>
    <row r="45" ht="12.75" customHeight="1" spans="2:37" x14ac:dyDescent="0.25">
      <c r="B45" s="11" t="s">
        <v>40</v>
      </c>
      <c r="C45" s="12"/>
      <c r="D45" s="13"/>
      <c r="E45" s="14" t="s">
        <v>7</v>
      </c>
      <c r="F45" s="14" t="s">
        <v>8</v>
      </c>
      <c r="G45" s="14" t="s">
        <v>9</v>
      </c>
      <c r="H45" s="14" t="s">
        <v>10</v>
      </c>
      <c r="I45" s="14" t="s">
        <v>11</v>
      </c>
      <c r="J45" s="14" t="s">
        <v>12</v>
      </c>
      <c r="K45" s="14" t="s">
        <v>13</v>
      </c>
      <c r="L45" s="14" t="s">
        <v>14</v>
      </c>
      <c r="M45" s="14" t="s">
        <v>15</v>
      </c>
      <c r="N45" s="14" t="s">
        <v>16</v>
      </c>
      <c r="O45" s="14" t="s">
        <v>17</v>
      </c>
      <c r="P45" s="14" t="s">
        <v>18</v>
      </c>
      <c r="Q45" s="14" t="s">
        <v>19</v>
      </c>
      <c r="R45" s="14" t="s">
        <v>20</v>
      </c>
      <c r="S45" s="14" t="s">
        <v>21</v>
      </c>
      <c r="T45" s="14" t="s">
        <v>22</v>
      </c>
      <c r="U45" s="14" t="s">
        <v>23</v>
      </c>
      <c r="V45" s="14" t="s">
        <v>24</v>
      </c>
      <c r="W45" s="14" t="s">
        <v>25</v>
      </c>
      <c r="X45" s="14" t="s">
        <v>26</v>
      </c>
      <c r="Y45" s="14" t="s">
        <v>27</v>
      </c>
      <c r="Z45" s="14" t="s">
        <v>28</v>
      </c>
      <c r="AA45" s="14" t="s">
        <v>29</v>
      </c>
      <c r="AB45" s="14" t="s">
        <v>30</v>
      </c>
      <c r="AC45" s="14" t="s">
        <v>31</v>
      </c>
      <c r="AD45" s="14" t="s">
        <v>32</v>
      </c>
      <c r="AE45" s="14" t="s">
        <v>33</v>
      </c>
      <c r="AF45" s="14" t="s">
        <v>34</v>
      </c>
      <c r="AG45" s="14" t="s">
        <v>35</v>
      </c>
      <c r="AH45" s="14" t="s">
        <v>36</v>
      </c>
      <c r="AI45" s="14" t="s">
        <v>37</v>
      </c>
      <c r="AJ45" s="14" t="s">
        <v>38</v>
      </c>
      <c r="AK45" s="15"/>
    </row>
    <row r="46" ht="12.75" customHeight="1" spans="2:37" x14ac:dyDescent="0.25">
      <c r="B46" s="16" t="s">
        <v>41</v>
      </c>
      <c r="C46" s="17"/>
      <c r="D46" s="17"/>
      <c r="E46" s="18">
        <f>E11</f>
      </c>
      <c r="F46" s="18">
        <f>F11</f>
      </c>
      <c r="G46" s="18">
        <f>G11</f>
      </c>
      <c r="H46" s="18">
        <f>H11</f>
      </c>
      <c r="I46" s="18">
        <f>I11</f>
      </c>
      <c r="J46" s="18">
        <f>J11</f>
      </c>
      <c r="K46" s="18">
        <f>K11</f>
      </c>
      <c r="L46" s="18">
        <f>L11</f>
      </c>
      <c r="M46" s="18">
        <f>M11</f>
      </c>
      <c r="N46" s="18">
        <f>N11</f>
      </c>
      <c r="O46" s="18">
        <f>O11</f>
      </c>
      <c r="P46" s="18">
        <f>P11</f>
      </c>
      <c r="Q46" s="18">
        <f>Q11</f>
      </c>
      <c r="R46" s="18">
        <f>R11</f>
      </c>
      <c r="S46" s="18">
        <f>S11</f>
      </c>
      <c r="T46" s="18">
        <f>T11</f>
      </c>
      <c r="U46" s="18">
        <f>U11</f>
      </c>
      <c r="V46" s="18">
        <f>V11</f>
      </c>
      <c r="W46" s="18">
        <f>W11</f>
      </c>
      <c r="X46" s="18">
        <f>X11</f>
      </c>
      <c r="Y46" s="18">
        <f>Y11</f>
      </c>
      <c r="Z46" s="18">
        <f>Z11</f>
      </c>
      <c r="AA46" s="18">
        <f>AA11</f>
      </c>
      <c r="AB46" s="18">
        <f>AB11</f>
      </c>
      <c r="AC46" s="18">
        <f>AC11</f>
      </c>
      <c r="AD46" s="18">
        <f>AD11</f>
      </c>
      <c r="AE46" s="18">
        <f>AE11</f>
      </c>
      <c r="AF46" s="18">
        <f>AF11</f>
      </c>
      <c r="AG46" s="18">
        <f>AG11</f>
      </c>
      <c r="AH46" s="18">
        <f>AH11</f>
      </c>
      <c r="AI46" s="18">
        <f>AI11</f>
      </c>
      <c r="AJ46" s="18">
        <f>AJ11</f>
      </c>
      <c r="AK46" s="19"/>
    </row>
    <row r="47" ht="12.75" customHeight="1" spans="2:37" x14ac:dyDescent="0.25">
      <c r="B47" s="16" t="s">
        <v>42</v>
      </c>
      <c r="C47" s="17"/>
      <c r="D47" s="17"/>
      <c r="E47" s="18">
        <f>E23</f>
      </c>
      <c r="F47" s="18">
        <f>F23</f>
      </c>
      <c r="G47" s="18">
        <f>G23</f>
      </c>
      <c r="H47" s="18">
        <f>H23</f>
      </c>
      <c r="I47" s="18">
        <f>I23</f>
      </c>
      <c r="J47" s="18">
        <f>J23</f>
      </c>
      <c r="K47" s="18">
        <f>K23</f>
      </c>
      <c r="L47" s="18">
        <f>L23</f>
      </c>
      <c r="M47" s="18">
        <f>M23</f>
      </c>
      <c r="N47" s="18">
        <f>N23</f>
      </c>
      <c r="O47" s="18">
        <f>O23</f>
      </c>
      <c r="P47" s="18">
        <f>P23</f>
      </c>
      <c r="Q47" s="18">
        <f>Q23</f>
      </c>
      <c r="R47" s="18">
        <f>R23</f>
      </c>
      <c r="S47" s="18">
        <f>S23</f>
      </c>
      <c r="T47" s="18">
        <f>T23</f>
      </c>
      <c r="U47" s="18">
        <f>U23</f>
      </c>
      <c r="V47" s="18">
        <f>V23</f>
      </c>
      <c r="W47" s="18">
        <f>W23</f>
      </c>
      <c r="X47" s="18">
        <f>X23</f>
      </c>
      <c r="Y47" s="18">
        <f>Y23</f>
      </c>
      <c r="Z47" s="18">
        <f>Z23</f>
      </c>
      <c r="AA47" s="18">
        <f>AA23</f>
      </c>
      <c r="AB47" s="18">
        <f>AB23</f>
      </c>
      <c r="AC47" s="18">
        <f>AC23</f>
      </c>
      <c r="AD47" s="18">
        <f>AD23</f>
      </c>
      <c r="AE47" s="18">
        <f>AE23</f>
      </c>
      <c r="AF47" s="18">
        <f>AF23</f>
      </c>
      <c r="AG47" s="18">
        <f>AG23</f>
      </c>
      <c r="AH47" s="18">
        <f>AH23</f>
      </c>
      <c r="AI47" s="18">
        <f>AI23</f>
      </c>
      <c r="AJ47" s="18">
        <f>AJ23</f>
      </c>
      <c r="AK47" s="19"/>
    </row>
    <row r="48" ht="12.75" customHeight="1" spans="2:37" x14ac:dyDescent="0.25">
      <c r="B48" s="16" t="s">
        <v>43</v>
      </c>
      <c r="C48" s="17"/>
      <c r="D48" s="17"/>
      <c r="E48" s="18">
        <f>E38</f>
      </c>
      <c r="F48" s="18">
        <f>F38</f>
      </c>
      <c r="G48" s="18">
        <f>G38</f>
      </c>
      <c r="H48" s="18">
        <f>H38</f>
      </c>
      <c r="I48" s="18">
        <f>I38</f>
      </c>
      <c r="J48" s="18">
        <f>J38</f>
      </c>
      <c r="K48" s="18">
        <f>K38</f>
      </c>
      <c r="L48" s="18">
        <f>L38</f>
      </c>
      <c r="M48" s="18">
        <f>M38</f>
      </c>
      <c r="N48" s="18">
        <f>N38</f>
      </c>
      <c r="O48" s="18">
        <f>O38</f>
      </c>
      <c r="P48" s="18">
        <f>P38</f>
      </c>
      <c r="Q48" s="18">
        <f>Q38</f>
      </c>
      <c r="R48" s="18">
        <f>R38</f>
      </c>
      <c r="S48" s="18">
        <f>S38</f>
      </c>
      <c r="T48" s="18">
        <f>T38</f>
      </c>
      <c r="U48" s="18">
        <f>U38</f>
      </c>
      <c r="V48" s="18">
        <f>V38</f>
      </c>
      <c r="W48" s="18">
        <f>W38</f>
      </c>
      <c r="X48" s="18">
        <f>X38</f>
      </c>
      <c r="Y48" s="18">
        <f>Y38</f>
      </c>
      <c r="Z48" s="18">
        <f>Z38</f>
      </c>
      <c r="AA48" s="18">
        <f>AA38</f>
      </c>
      <c r="AB48" s="18">
        <f>AB38</f>
      </c>
      <c r="AC48" s="18">
        <f>AC38</f>
      </c>
      <c r="AD48" s="18">
        <f>AD38</f>
      </c>
      <c r="AE48" s="18">
        <f>AE38</f>
      </c>
      <c r="AF48" s="18">
        <f>AF38</f>
      </c>
      <c r="AG48" s="18">
        <f>AG38</f>
      </c>
      <c r="AH48" s="18">
        <f>AH38</f>
      </c>
      <c r="AI48" s="18">
        <f>AI38</f>
      </c>
      <c r="AJ48" s="18">
        <f>AJ38</f>
      </c>
      <c r="AK48" s="19"/>
    </row>
    <row r="49" ht="12.75" customHeight="1" spans="2:37" x14ac:dyDescent="0.25">
      <c r="B49" s="16" t="s">
        <v>44</v>
      </c>
      <c r="C49" s="17"/>
      <c r="D49" s="17"/>
      <c r="E49" s="18">
        <f>E42</f>
      </c>
      <c r="F49" s="18">
        <f>F42</f>
      </c>
      <c r="G49" s="18">
        <f>G42</f>
      </c>
      <c r="H49" s="18">
        <f>H42</f>
      </c>
      <c r="I49" s="18">
        <f>I42</f>
      </c>
      <c r="J49" s="18">
        <f>J42</f>
      </c>
      <c r="K49" s="18">
        <f>K42</f>
      </c>
      <c r="L49" s="18">
        <f>L42</f>
      </c>
      <c r="M49" s="18">
        <f>M42</f>
      </c>
      <c r="N49" s="18">
        <f>N42</f>
      </c>
      <c r="O49" s="18">
        <f>O42</f>
      </c>
      <c r="P49" s="18">
        <f>P42</f>
      </c>
      <c r="Q49" s="18">
        <f>Q42</f>
      </c>
      <c r="R49" s="18">
        <f>R42</f>
      </c>
      <c r="S49" s="18">
        <f>S42</f>
      </c>
      <c r="T49" s="18">
        <f>T42</f>
      </c>
      <c r="U49" s="18">
        <f>U42</f>
      </c>
      <c r="V49" s="18">
        <f>V42</f>
      </c>
      <c r="W49" s="18">
        <f>W42</f>
      </c>
      <c r="X49" s="18">
        <f>X42</f>
      </c>
      <c r="Y49" s="18">
        <f>Y42</f>
      </c>
      <c r="Z49" s="18">
        <f>Z42</f>
      </c>
      <c r="AA49" s="18">
        <f>AA42</f>
      </c>
      <c r="AB49" s="18">
        <f>AB42</f>
      </c>
      <c r="AC49" s="18">
        <f>AC42</f>
      </c>
      <c r="AD49" s="18">
        <f>AD42</f>
      </c>
      <c r="AE49" s="18">
        <f>AE42</f>
      </c>
      <c r="AF49" s="18">
        <f>AF42</f>
      </c>
      <c r="AG49" s="18">
        <f>AG42</f>
      </c>
      <c r="AH49" s="18">
        <f>AH42</f>
      </c>
      <c r="AI49" s="18">
        <f>AI42</f>
      </c>
      <c r="AJ49" s="18">
        <f>AJ42</f>
      </c>
      <c r="AK49" s="19"/>
    </row>
    <row r="50" ht="12.75" customHeight="1" spans="2:37" x14ac:dyDescent="0.25">
      <c r="B50" s="20" t="s">
        <v>45</v>
      </c>
      <c r="C50" s="21"/>
      <c r="D50" s="21"/>
      <c r="E50" s="22">
        <f>E46+E47+E48+E49</f>
      </c>
      <c r="F50" s="22">
        <f>F46+F47+F48+F49</f>
      </c>
      <c r="G50" s="22">
        <f>G46+G47+G48+G49</f>
      </c>
      <c r="H50" s="22">
        <f>H46+H47+H48+H49</f>
      </c>
      <c r="I50" s="22">
        <f>I46+I47+I48+I49</f>
      </c>
      <c r="J50" s="22">
        <f>J46+J47+J48+J49</f>
      </c>
      <c r="K50" s="22">
        <f>K46+K47+K48+K49</f>
      </c>
      <c r="L50" s="22">
        <f>L46+L47+L48+L49</f>
      </c>
      <c r="M50" s="22">
        <f>M46+M47+M48+M49</f>
      </c>
      <c r="N50" s="22">
        <f>N46+N47+N48+N49</f>
      </c>
      <c r="O50" s="22">
        <f>O46+O47+O48+O49</f>
      </c>
      <c r="P50" s="22">
        <f>P46+P47+P48+P49</f>
      </c>
      <c r="Q50" s="22">
        <f>Q46+Q47+Q48+Q49</f>
      </c>
      <c r="R50" s="22">
        <f>R46+R47+R48+R49</f>
      </c>
      <c r="S50" s="22">
        <f>S46+S47+S48+S49</f>
      </c>
      <c r="T50" s="22">
        <f>T46+T47+T48+T49</f>
      </c>
      <c r="U50" s="22">
        <f>U46+U47+U48+U49</f>
      </c>
      <c r="V50" s="22">
        <f>V46+V47+V48+V49</f>
      </c>
      <c r="W50" s="22">
        <f>W46+W47+W48+W49</f>
      </c>
      <c r="X50" s="22">
        <f>X46+X47+X48+X49</f>
      </c>
      <c r="Y50" s="22">
        <f>Y46+Y47+Y48+Y49</f>
      </c>
      <c r="Z50" s="22">
        <f>Z46+Z47+Z48+Z49</f>
      </c>
      <c r="AA50" s="22">
        <f>AA46+AA47+AA48+AA49</f>
      </c>
      <c r="AB50" s="22">
        <f>AB46+AB47+AB48+AB49</f>
      </c>
      <c r="AC50" s="22">
        <f>AC46+AC47+AC48+AC49</f>
      </c>
      <c r="AD50" s="22">
        <f>AD46+AD47+AD48+AD49</f>
      </c>
      <c r="AE50" s="22">
        <f>AE46+AE47+AE48+AE49</f>
      </c>
      <c r="AF50" s="22">
        <f>AF46+AF47+AF48+AF49</f>
      </c>
      <c r="AG50" s="22">
        <f>AG46+AG47+AG48+AG49</f>
      </c>
      <c r="AH50" s="22">
        <f>AH46+AH47+AH48+AH49</f>
      </c>
      <c r="AI50" s="22">
        <f>AI46+AI47+AI48+AI49</f>
      </c>
      <c r="AJ50" s="22">
        <f>AJ46+AJ47+AJ48+AJ49</f>
      </c>
      <c r="AK50" s="23"/>
    </row>
    <row r="52" ht="12.75" customHeight="1" spans="2:37" x14ac:dyDescent="0.25">
      <c r="B52" s="11" t="s">
        <v>46</v>
      </c>
      <c r="C52" s="12"/>
      <c r="D52" s="13"/>
      <c r="E52" s="14" t="s">
        <v>7</v>
      </c>
      <c r="F52" s="14" t="s">
        <v>8</v>
      </c>
      <c r="G52" s="14" t="s">
        <v>9</v>
      </c>
      <c r="H52" s="14" t="s">
        <v>10</v>
      </c>
      <c r="I52" s="14" t="s">
        <v>11</v>
      </c>
      <c r="J52" s="14" t="s">
        <v>12</v>
      </c>
      <c r="K52" s="14" t="s">
        <v>13</v>
      </c>
      <c r="L52" s="14" t="s">
        <v>14</v>
      </c>
      <c r="M52" s="14" t="s">
        <v>15</v>
      </c>
      <c r="N52" s="14" t="s">
        <v>16</v>
      </c>
      <c r="O52" s="14" t="s">
        <v>17</v>
      </c>
      <c r="P52" s="14" t="s">
        <v>18</v>
      </c>
      <c r="Q52" s="14" t="s">
        <v>19</v>
      </c>
      <c r="R52" s="14" t="s">
        <v>20</v>
      </c>
      <c r="S52" s="14" t="s">
        <v>21</v>
      </c>
      <c r="T52" s="14" t="s">
        <v>22</v>
      </c>
      <c r="U52" s="14" t="s">
        <v>23</v>
      </c>
      <c r="V52" s="14" t="s">
        <v>24</v>
      </c>
      <c r="W52" s="14" t="s">
        <v>25</v>
      </c>
      <c r="X52" s="14" t="s">
        <v>26</v>
      </c>
      <c r="Y52" s="14" t="s">
        <v>27</v>
      </c>
      <c r="Z52" s="14" t="s">
        <v>28</v>
      </c>
      <c r="AA52" s="14" t="s">
        <v>29</v>
      </c>
      <c r="AB52" s="14" t="s">
        <v>30</v>
      </c>
      <c r="AC52" s="14" t="s">
        <v>31</v>
      </c>
      <c r="AD52" s="14" t="s">
        <v>32</v>
      </c>
      <c r="AE52" s="14" t="s">
        <v>33</v>
      </c>
      <c r="AF52" s="14" t="s">
        <v>34</v>
      </c>
      <c r="AG52" s="14" t="s">
        <v>35</v>
      </c>
      <c r="AH52" s="14" t="s">
        <v>36</v>
      </c>
      <c r="AI52" s="14" t="s">
        <v>37</v>
      </c>
      <c r="AJ52" s="14" t="s">
        <v>38</v>
      </c>
      <c r="AK52" s="15"/>
    </row>
    <row r="53" ht="12.75" customHeight="1" spans="2:37" x14ac:dyDescent="0.25">
      <c r="B53" s="16" t="s">
        <v>41</v>
      </c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ht="12.75" customHeight="1" spans="2:37" x14ac:dyDescent="0.25">
      <c r="B54" s="16" t="s">
        <v>42</v>
      </c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ht="12.75" customHeight="1" spans="2:37" x14ac:dyDescent="0.25">
      <c r="B55" s="16" t="s">
        <v>43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9"/>
    </row>
    <row r="56" ht="12.75" customHeight="1" spans="2:37" x14ac:dyDescent="0.25">
      <c r="B56" s="16" t="s">
        <v>44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9"/>
    </row>
    <row r="57" ht="12.75" customHeight="1" spans="2:37" x14ac:dyDescent="0.25">
      <c r="B57" s="20" t="s">
        <v>45</v>
      </c>
      <c r="C57" s="21"/>
      <c r="D57" s="21"/>
      <c r="E57" s="22">
        <f>E53+E54+E55+E56</f>
      </c>
      <c r="F57" s="22">
        <f>F53+F54+F55+F56</f>
      </c>
      <c r="G57" s="22">
        <f>G53+G54+G55+G56</f>
      </c>
      <c r="H57" s="22">
        <f>H53+H54+H55+H56</f>
      </c>
      <c r="I57" s="22">
        <f>I53+I54+I55+I56</f>
      </c>
      <c r="J57" s="22">
        <f>J53+J54+J55+J56</f>
      </c>
      <c r="K57" s="22">
        <f>K53+K54+K55+K56</f>
      </c>
      <c r="L57" s="22">
        <f>L53+L54+L55+L56</f>
      </c>
      <c r="M57" s="22">
        <f>M53+M54+M55+M56</f>
      </c>
      <c r="N57" s="22">
        <f>N53+N54+N55+N56</f>
      </c>
      <c r="O57" s="22">
        <f>O53+O54+O55+O56</f>
      </c>
      <c r="P57" s="22">
        <f>P53+P54+P55+P56</f>
      </c>
      <c r="Q57" s="22">
        <f>Q53+Q54+Q55+Q56</f>
      </c>
      <c r="R57" s="22">
        <f>R53+R54+R55+R56</f>
      </c>
      <c r="S57" s="22">
        <f>S53+S54+S55+S56</f>
      </c>
      <c r="T57" s="22">
        <f>T53+T54+T55+T56</f>
      </c>
      <c r="U57" s="22">
        <f>U53+U54+U55+U56</f>
      </c>
      <c r="V57" s="22">
        <f>V53+V54+V55+V56</f>
      </c>
      <c r="W57" s="22">
        <f>W53+W54+W55+W56</f>
      </c>
      <c r="X57" s="22">
        <f>X53+X54+X55+X56</f>
      </c>
      <c r="Y57" s="22">
        <f>Y53+Y54+Y55+Y56</f>
      </c>
      <c r="Z57" s="22">
        <f>Z53+Z54+Z55+Z56</f>
      </c>
      <c r="AA57" s="22">
        <f>AA53+AA54+AA55+AA56</f>
      </c>
      <c r="AB57" s="22">
        <f>AB53+AB54+AB55+AB56</f>
      </c>
      <c r="AC57" s="22">
        <f>AC53+AC54+AC55+AC56</f>
      </c>
      <c r="AD57" s="22">
        <f>AD53+AD54+AD55+AD56</f>
      </c>
      <c r="AE57" s="22">
        <f>AE53+AE54+AE55+AE56</f>
      </c>
      <c r="AF57" s="22">
        <f>AF53+AF54+AF55+AF56</f>
      </c>
      <c r="AG57" s="22">
        <f>AG53+AG54+AG55+AG56</f>
      </c>
      <c r="AH57" s="22">
        <f>AH53+AH54+AH55+AH56</f>
      </c>
      <c r="AI57" s="22">
        <f>AI53+AI54+AI55+AI56</f>
      </c>
      <c r="AJ57" s="22">
        <f>AJ53+AJ54+AJ55+AJ56</f>
      </c>
      <c r="AK57" s="23"/>
    </row>
    <row r="59" ht="12.75" customHeight="1" spans="2:37" x14ac:dyDescent="0.25">
      <c r="B59" s="11" t="s">
        <v>47</v>
      </c>
      <c r="C59" s="12"/>
      <c r="D59" s="13"/>
      <c r="E59" s="14" t="s">
        <v>7</v>
      </c>
      <c r="F59" s="14" t="s">
        <v>8</v>
      </c>
      <c r="G59" s="14" t="s">
        <v>9</v>
      </c>
      <c r="H59" s="14" t="s">
        <v>10</v>
      </c>
      <c r="I59" s="14" t="s">
        <v>11</v>
      </c>
      <c r="J59" s="14" t="s">
        <v>12</v>
      </c>
      <c r="K59" s="14" t="s">
        <v>13</v>
      </c>
      <c r="L59" s="14" t="s">
        <v>14</v>
      </c>
      <c r="M59" s="14" t="s">
        <v>15</v>
      </c>
      <c r="N59" s="14" t="s">
        <v>16</v>
      </c>
      <c r="O59" s="14" t="s">
        <v>17</v>
      </c>
      <c r="P59" s="14" t="s">
        <v>18</v>
      </c>
      <c r="Q59" s="14" t="s">
        <v>19</v>
      </c>
      <c r="R59" s="14" t="s">
        <v>20</v>
      </c>
      <c r="S59" s="14" t="s">
        <v>21</v>
      </c>
      <c r="T59" s="14" t="s">
        <v>22</v>
      </c>
      <c r="U59" s="14" t="s">
        <v>23</v>
      </c>
      <c r="V59" s="14" t="s">
        <v>24</v>
      </c>
      <c r="W59" s="14" t="s">
        <v>25</v>
      </c>
      <c r="X59" s="14" t="s">
        <v>26</v>
      </c>
      <c r="Y59" s="14" t="s">
        <v>27</v>
      </c>
      <c r="Z59" s="14" t="s">
        <v>28</v>
      </c>
      <c r="AA59" s="14" t="s">
        <v>29</v>
      </c>
      <c r="AB59" s="14" t="s">
        <v>30</v>
      </c>
      <c r="AC59" s="14" t="s">
        <v>31</v>
      </c>
      <c r="AD59" s="14" t="s">
        <v>32</v>
      </c>
      <c r="AE59" s="14" t="s">
        <v>33</v>
      </c>
      <c r="AF59" s="14" t="s">
        <v>34</v>
      </c>
      <c r="AG59" s="14" t="s">
        <v>35</v>
      </c>
      <c r="AH59" s="14" t="s">
        <v>36</v>
      </c>
      <c r="AI59" s="14" t="s">
        <v>37</v>
      </c>
      <c r="AJ59" s="14" t="s">
        <v>38</v>
      </c>
      <c r="AK59" s="15"/>
    </row>
    <row r="60" ht="12.75" customHeight="1" spans="2:37" x14ac:dyDescent="0.25">
      <c r="B60" s="16" t="s">
        <v>41</v>
      </c>
      <c r="C60" s="17"/>
      <c r="D60" s="17"/>
      <c r="E60" s="24">
        <f>E53-E46</f>
      </c>
      <c r="F60" s="24">
        <f>F53-F46</f>
      </c>
      <c r="G60" s="24">
        <f>G53-G46</f>
      </c>
      <c r="H60" s="24">
        <f>H53-H46</f>
      </c>
      <c r="I60" s="24">
        <f>I53-I46</f>
      </c>
      <c r="J60" s="24">
        <f>J53-J46</f>
      </c>
      <c r="K60" s="24">
        <f>K53-K46</f>
      </c>
      <c r="L60" s="24">
        <f>L53-L46</f>
      </c>
      <c r="M60" s="24">
        <f>M53-M46</f>
      </c>
      <c r="N60" s="24">
        <f>N53-N46</f>
      </c>
      <c r="O60" s="24">
        <f>O53-O46</f>
      </c>
      <c r="P60" s="24">
        <f>P53-P46</f>
      </c>
      <c r="Q60" s="24">
        <f>Q53-Q46</f>
      </c>
      <c r="R60" s="24">
        <f>R53-R46</f>
      </c>
      <c r="S60" s="24">
        <f>S53-S46</f>
      </c>
      <c r="T60" s="24">
        <f>T53-T46</f>
      </c>
      <c r="U60" s="24">
        <f>U53-U46</f>
      </c>
      <c r="V60" s="24">
        <f>V53-V46</f>
      </c>
      <c r="W60" s="24">
        <f>W53-W46</f>
      </c>
      <c r="X60" s="24">
        <f>X53-X46</f>
      </c>
      <c r="Y60" s="24">
        <f>Y53-Y46</f>
      </c>
      <c r="Z60" s="24">
        <f>Z53-Z46</f>
      </c>
      <c r="AA60" s="24">
        <f>AA53-AA46</f>
      </c>
      <c r="AB60" s="24">
        <f>AB53-AB46</f>
      </c>
      <c r="AC60" s="24">
        <f>AC53-AC46</f>
      </c>
      <c r="AD60" s="24">
        <f>AD53-AD46</f>
      </c>
      <c r="AE60" s="24">
        <f>AE53-AE46</f>
      </c>
      <c r="AF60" s="24">
        <f>AF53-AF46</f>
      </c>
      <c r="AG60" s="24">
        <f>AG53-AG46</f>
      </c>
      <c r="AH60" s="24">
        <f>AH53-AH46</f>
      </c>
      <c r="AI60" s="24">
        <f>AI53-AI46</f>
      </c>
      <c r="AJ60" s="24">
        <f>AJ53-AJ46</f>
      </c>
      <c r="AK60" s="19"/>
    </row>
    <row r="61" ht="12.75" customHeight="1" spans="2:37" x14ac:dyDescent="0.25">
      <c r="B61" s="16" t="s">
        <v>42</v>
      </c>
      <c r="C61" s="17"/>
      <c r="D61" s="17"/>
      <c r="E61" s="24">
        <f>E54-E47</f>
      </c>
      <c r="F61" s="24">
        <f>F54-F47</f>
      </c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19"/>
    </row>
    <row r="62" ht="12.75" customHeight="1" spans="2:37" x14ac:dyDescent="0.25">
      <c r="B62" s="16" t="s">
        <v>43</v>
      </c>
      <c r="C62" s="17"/>
      <c r="D62" s="17"/>
      <c r="E62" s="24">
        <f>E55-E48</f>
      </c>
      <c r="F62" s="24">
        <f>F55-F48</f>
      </c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19"/>
    </row>
    <row r="63" ht="12.75" customHeight="1" spans="2:37" x14ac:dyDescent="0.25">
      <c r="B63" s="16" t="s">
        <v>44</v>
      </c>
      <c r="C63" s="17"/>
      <c r="D63" s="17"/>
      <c r="E63" s="24">
        <f>E56-E49</f>
      </c>
      <c r="F63" s="24">
        <f>F56-F49</f>
      </c>
      <c r="G63" s="24">
        <f>G56-G49</f>
      </c>
      <c r="H63" s="24">
        <f>H56-H49</f>
      </c>
      <c r="I63" s="24">
        <f>I56-I49</f>
      </c>
      <c r="J63" s="24">
        <f>J56-J49</f>
      </c>
      <c r="K63" s="24">
        <f>K56-K49</f>
      </c>
      <c r="L63" s="24">
        <f>L56-L49</f>
      </c>
      <c r="M63" s="24">
        <f>M56-M49</f>
      </c>
      <c r="N63" s="24">
        <f>N56-N49</f>
      </c>
      <c r="O63" s="24">
        <f>O56-O49</f>
      </c>
      <c r="P63" s="24">
        <f>P56-P49</f>
      </c>
      <c r="Q63" s="24">
        <f>Q56-Q49</f>
      </c>
      <c r="R63" s="24">
        <f>R56-R49</f>
      </c>
      <c r="S63" s="24">
        <f>S56-S49</f>
      </c>
      <c r="T63" s="24">
        <f>T56-T49</f>
      </c>
      <c r="U63" s="24">
        <f>U56-U49</f>
      </c>
      <c r="V63" s="24">
        <f>V56-V49</f>
      </c>
      <c r="W63" s="24">
        <f>W56-W49</f>
      </c>
      <c r="X63" s="24">
        <f>X56-X49</f>
      </c>
      <c r="Y63" s="24">
        <f>Y56-Y49</f>
      </c>
      <c r="Z63" s="24">
        <f>Z56-Z49</f>
      </c>
      <c r="AA63" s="24">
        <f>AA56-AA49</f>
      </c>
      <c r="AB63" s="24">
        <f>AB56-AB49</f>
      </c>
      <c r="AC63" s="24">
        <f>AC56-AC49</f>
      </c>
      <c r="AD63" s="24">
        <f>AD56-AD49</f>
      </c>
      <c r="AE63" s="24">
        <f>AE56-AE49</f>
      </c>
      <c r="AF63" s="24">
        <f>AF56-AF49</f>
      </c>
      <c r="AG63" s="24">
        <f>AG56-AG49</f>
      </c>
      <c r="AH63" s="24">
        <f>AH56-AH49</f>
      </c>
      <c r="AI63" s="24">
        <f>AI56-AI49</f>
      </c>
      <c r="AJ63" s="24">
        <f>AJ56-AJ49</f>
      </c>
      <c r="AK63" s="19"/>
    </row>
    <row r="64" ht="12.75" customHeight="1" spans="2:37" x14ac:dyDescent="0.25">
      <c r="B64" s="20" t="s">
        <v>45</v>
      </c>
      <c r="C64" s="21"/>
      <c r="D64" s="21"/>
      <c r="E64" s="25">
        <f>E60+E61+E62+E63</f>
      </c>
      <c r="F64" s="25">
        <f>F60+F61+F62+F63</f>
      </c>
      <c r="G64" s="25">
        <f>G60+G61+G62+G63</f>
      </c>
      <c r="H64" s="25">
        <f>H60+H61+H62+H63</f>
      </c>
      <c r="I64" s="25">
        <f>I60+I61+I62+I63</f>
      </c>
      <c r="J64" s="25">
        <f>J60+J61+J62+J63</f>
      </c>
      <c r="K64" s="25">
        <f>K60+K61+K62+K63</f>
      </c>
      <c r="L64" s="25">
        <f>L60+L61+L62+L63</f>
      </c>
      <c r="M64" s="25">
        <f>M60+M61+M62+M63</f>
      </c>
      <c r="N64" s="25">
        <f>N60+N61+N62+N63</f>
      </c>
      <c r="O64" s="25">
        <f>O60+O61+O62+O63</f>
      </c>
      <c r="P64" s="25">
        <f>P60+P61+P62+P63</f>
      </c>
      <c r="Q64" s="25">
        <f>Q60+Q61+Q62+Q63</f>
      </c>
      <c r="R64" s="25">
        <f>R60+R61+R62+R63</f>
      </c>
      <c r="S64" s="25">
        <f>S60+S61+S62+S63</f>
      </c>
      <c r="T64" s="25">
        <f>T60+T61+T62+T63</f>
      </c>
      <c r="U64" s="25">
        <f>U60+U61+U62+U63</f>
      </c>
      <c r="V64" s="25">
        <f>V60+V61+V62+V63</f>
      </c>
      <c r="W64" s="25">
        <f>W60+W61+W62+W63</f>
      </c>
      <c r="X64" s="25">
        <f>X60+X61+X62+X63</f>
      </c>
      <c r="Y64" s="25">
        <f>Y60+Y61+Y62+Y63</f>
      </c>
      <c r="Z64" s="25">
        <f>Z60+Z61+Z62+Z63</f>
      </c>
      <c r="AA64" s="25">
        <f>AA60+AA61+AA62+AA63</f>
      </c>
      <c r="AB64" s="25">
        <f>AB60+AB61+AB62+AB63</f>
      </c>
      <c r="AC64" s="25">
        <f>AC60+AC61+AC62+AC63</f>
      </c>
      <c r="AD64" s="25">
        <f>AD60+AD61+AD62+AD63</f>
      </c>
      <c r="AE64" s="25">
        <f>AE60+AE61+AE62+AE63</f>
      </c>
      <c r="AF64" s="25">
        <f>AF60+AF61+AF62+AF63</f>
      </c>
      <c r="AG64" s="25">
        <f>AG60+AG61+AG62+AG63</f>
      </c>
      <c r="AH64" s="25">
        <f>AH60+AH61+AH62+AH63</f>
      </c>
      <c r="AI64" s="25">
        <f>AI60+AI61+AI62+AI63</f>
      </c>
      <c r="AJ64" s="25">
        <f>AJ60+AJ61+AJ62+AJ63</f>
      </c>
      <c r="AK6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2076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2097</v>
      </c>
      <c r="K8" s="44" t="s">
        <v>2098</v>
      </c>
      <c r="L8" s="44" t="s">
        <v>2099</v>
      </c>
      <c r="M8" s="44" t="s">
        <v>217</v>
      </c>
      <c r="N8" s="44" t="s">
        <v>2100</v>
      </c>
      <c r="O8" s="44" t="s">
        <v>2101</v>
      </c>
      <c r="P8" s="44" t="s">
        <v>2102</v>
      </c>
      <c r="Q8" s="44" t="s">
        <v>1600</v>
      </c>
      <c r="R8" s="44" t="s">
        <v>2103</v>
      </c>
      <c r="S8" s="44" t="s">
        <v>2104</v>
      </c>
      <c r="T8" s="44" t="s">
        <v>1603</v>
      </c>
      <c r="U8" s="44" t="s">
        <v>2105</v>
      </c>
      <c r="V8" s="44" t="s">
        <v>2106</v>
      </c>
      <c r="W8" s="44" t="s">
        <v>2107</v>
      </c>
      <c r="X8" s="44" t="s">
        <v>1607</v>
      </c>
      <c r="Y8" s="44" t="s">
        <v>2108</v>
      </c>
      <c r="Z8" s="44" t="s">
        <v>2109</v>
      </c>
      <c r="AA8" s="44" t="s">
        <v>1573</v>
      </c>
      <c r="AB8" s="44" t="s">
        <v>1574</v>
      </c>
      <c r="AC8" s="44" t="s">
        <v>1575</v>
      </c>
      <c r="AD8" s="44" t="s">
        <v>1576</v>
      </c>
      <c r="AE8" s="44" t="s">
        <v>1577</v>
      </c>
      <c r="AF8" s="44" t="s">
        <v>1578</v>
      </c>
      <c r="AG8" s="44" t="s">
        <v>1579</v>
      </c>
      <c r="AH8" s="44" t="s">
        <v>1580</v>
      </c>
      <c r="AI8" s="44" t="s">
        <v>1581</v>
      </c>
      <c r="AJ8" s="44" t="s">
        <v>1161</v>
      </c>
      <c r="AK8" s="44" t="s">
        <v>178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2076</v>
      </c>
      <c r="D10" s="50" t="s">
        <v>41</v>
      </c>
      <c r="E10" s="32" t="s">
        <v>3</v>
      </c>
      <c r="F10" s="32" t="s">
        <v>2077</v>
      </c>
      <c r="G10" s="32"/>
      <c r="H10" s="32"/>
      <c r="I10" s="32"/>
      <c r="J10" s="33">
        <v>625.62</v>
      </c>
      <c r="K10" s="32"/>
      <c r="L10" s="33">
        <v>637.64</v>
      </c>
      <c r="M10" s="32"/>
      <c r="N10" s="33">
        <v>567.6</v>
      </c>
      <c r="O10" s="32"/>
      <c r="P10" s="33">
        <v>687.96</v>
      </c>
      <c r="Q10" s="32"/>
      <c r="R10" s="32"/>
      <c r="S10" s="32"/>
      <c r="T10" s="32"/>
      <c r="U10" s="33">
        <v>593.88</v>
      </c>
      <c r="V10" s="32"/>
      <c r="W10" s="33">
        <v>637.87</v>
      </c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2076</v>
      </c>
      <c r="D15" s="50" t="s">
        <v>42</v>
      </c>
      <c r="E15" s="32" t="s">
        <v>3</v>
      </c>
      <c r="F15" s="32" t="s">
        <v>2078</v>
      </c>
      <c r="G15" s="32"/>
      <c r="H15" s="32"/>
      <c r="I15" s="32"/>
      <c r="J15" s="33">
        <v>129.54</v>
      </c>
      <c r="K15" s="33">
        <v>145.96</v>
      </c>
      <c r="L15" s="33">
        <f>40.30+0.00</f>
        <v>40.3</v>
      </c>
      <c r="M15" s="32"/>
      <c r="N15" s="32"/>
      <c r="O15" s="32"/>
      <c r="P15" s="32"/>
      <c r="Q15" s="33">
        <v>274.9</v>
      </c>
      <c r="R15" s="33">
        <v>171.39</v>
      </c>
      <c r="S15" s="32"/>
      <c r="T15" s="33">
        <f>219.46+137.79</f>
        <v>357.25</v>
      </c>
      <c r="U15" s="33">
        <v>106.44</v>
      </c>
      <c r="V15" s="33">
        <v>116.13</v>
      </c>
      <c r="W15" s="33">
        <v>147.83</v>
      </c>
      <c r="X15" s="33">
        <v>108.03</v>
      </c>
      <c r="Y15" s="33">
        <v>137.42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2076</v>
      </c>
      <c r="D16" s="50" t="s">
        <v>42</v>
      </c>
      <c r="E16" s="32" t="s">
        <v>3</v>
      </c>
      <c r="F16" s="32" t="s">
        <v>2079</v>
      </c>
      <c r="G16" s="32"/>
      <c r="H16" s="32"/>
      <c r="I16" s="32"/>
      <c r="J16" s="33">
        <v>233.91</v>
      </c>
      <c r="K16" s="33">
        <v>222.97</v>
      </c>
      <c r="L16" s="33">
        <v>192.02</v>
      </c>
      <c r="M16" s="32"/>
      <c r="N16" s="33">
        <v>285.8</v>
      </c>
      <c r="O16" s="33">
        <f>254.13+319.05</f>
        <v>573.1800000000001</v>
      </c>
      <c r="P16" s="32"/>
      <c r="Q16" s="33">
        <f>279.88+242.64</f>
        <v>522.52</v>
      </c>
      <c r="R16" s="33">
        <v>256.37</v>
      </c>
      <c r="S16" s="32"/>
      <c r="T16" s="33">
        <f>284.55+267.09</f>
        <v>551.64</v>
      </c>
      <c r="U16" s="33">
        <v>181.34</v>
      </c>
      <c r="V16" s="33">
        <v>164.47</v>
      </c>
      <c r="W16" s="33">
        <v>221.86</v>
      </c>
      <c r="X16" s="33">
        <v>294.35</v>
      </c>
      <c r="Y16" s="33">
        <v>351.45</v>
      </c>
      <c r="Z16" s="33">
        <v>329.68</v>
      </c>
      <c r="AA16" s="33">
        <v>376.2</v>
      </c>
      <c r="AB16" s="32"/>
      <c r="AC16" s="33">
        <f>367.97+378.22</f>
        <v>746.19</v>
      </c>
      <c r="AD16" s="32"/>
      <c r="AE16" s="33">
        <v>426.62</v>
      </c>
      <c r="AF16" s="33">
        <f>428.81+260.11</f>
        <v>688.9200000000001</v>
      </c>
      <c r="AG16" s="33">
        <v>288.28</v>
      </c>
      <c r="AH16" s="33">
        <v>258.16</v>
      </c>
      <c r="AI16" s="33">
        <v>265.33</v>
      </c>
      <c r="AJ16" s="32"/>
      <c r="AK16" s="33">
        <v>273.79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2076</v>
      </c>
      <c r="D17" s="50" t="s">
        <v>42</v>
      </c>
      <c r="E17" s="32" t="s">
        <v>3</v>
      </c>
      <c r="F17" s="32" t="s">
        <v>2080</v>
      </c>
      <c r="G17" s="32"/>
      <c r="H17" s="32"/>
      <c r="I17" s="32"/>
      <c r="J17" s="33">
        <v>97.98</v>
      </c>
      <c r="K17" s="33">
        <v>93.18</v>
      </c>
      <c r="L17" s="33">
        <v>96.63</v>
      </c>
      <c r="M17" s="32"/>
      <c r="N17" s="33">
        <v>118.07</v>
      </c>
      <c r="O17" s="33">
        <f>147.70+193.85</f>
        <v>341.54999999999995</v>
      </c>
      <c r="P17" s="32"/>
      <c r="Q17" s="33">
        <f>216.00+216.26</f>
        <v>432.26</v>
      </c>
      <c r="R17" s="33">
        <v>210.65</v>
      </c>
      <c r="S17" s="32"/>
      <c r="T17" s="33">
        <f>190.64+140.82</f>
        <v>331.46</v>
      </c>
      <c r="U17" s="33">
        <v>96.57</v>
      </c>
      <c r="V17" s="33">
        <v>95.14</v>
      </c>
      <c r="W17" s="33">
        <v>107.95</v>
      </c>
      <c r="X17" s="33">
        <v>83.68</v>
      </c>
      <c r="Y17" s="33">
        <v>138.29</v>
      </c>
      <c r="Z17" s="33">
        <v>169.39</v>
      </c>
      <c r="AA17" s="33">
        <v>240.34</v>
      </c>
      <c r="AB17" s="32"/>
      <c r="AC17" s="33">
        <f>250.31+260.42</f>
        <v>510.73</v>
      </c>
      <c r="AD17" s="32"/>
      <c r="AE17" s="33">
        <v>245.5</v>
      </c>
      <c r="AF17" s="33">
        <f>211.88+135.98</f>
        <v>347.86</v>
      </c>
      <c r="AG17" s="33">
        <v>117.28</v>
      </c>
      <c r="AH17" s="33">
        <v>98.3</v>
      </c>
      <c r="AI17" s="33">
        <v>92.12</v>
      </c>
      <c r="AJ17" s="32"/>
      <c r="AK17" s="33">
        <v>114.57</v>
      </c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2076</v>
      </c>
      <c r="D18" s="50" t="s">
        <v>42</v>
      </c>
      <c r="E18" s="32" t="s">
        <v>3</v>
      </c>
      <c r="F18" s="32" t="s">
        <v>2081</v>
      </c>
      <c r="G18" s="32"/>
      <c r="H18" s="32"/>
      <c r="I18" s="32"/>
      <c r="J18" s="33">
        <v>166.87</v>
      </c>
      <c r="K18" s="33">
        <v>241.68</v>
      </c>
      <c r="L18" s="33">
        <v>186.69</v>
      </c>
      <c r="M18" s="32"/>
      <c r="N18" s="33">
        <v>176.57</v>
      </c>
      <c r="O18" s="33">
        <f>217.26+206.83</f>
        <v>424.09000000000003</v>
      </c>
      <c r="P18" s="32"/>
      <c r="Q18" s="33">
        <f>205.84+197.24</f>
        <v>403.08000000000004</v>
      </c>
      <c r="R18" s="33">
        <v>271.73</v>
      </c>
      <c r="S18" s="32"/>
      <c r="T18" s="33">
        <f>220.78+195.16</f>
        <v>415.94</v>
      </c>
      <c r="U18" s="33">
        <v>164.46</v>
      </c>
      <c r="V18" s="33">
        <v>175.21</v>
      </c>
      <c r="W18" s="33">
        <v>156.48</v>
      </c>
      <c r="X18" s="33">
        <v>160.39</v>
      </c>
      <c r="Y18" s="33">
        <v>178.42</v>
      </c>
      <c r="Z18" s="33">
        <v>176.24</v>
      </c>
      <c r="AA18" s="33">
        <v>197.89</v>
      </c>
      <c r="AB18" s="32"/>
      <c r="AC18" s="33">
        <f>218.58+252.35</f>
        <v>470.93</v>
      </c>
      <c r="AD18" s="32"/>
      <c r="AE18" s="33">
        <v>248.44</v>
      </c>
      <c r="AF18" s="33">
        <f>220.61+172.68</f>
        <v>393.29</v>
      </c>
      <c r="AG18" s="33">
        <v>122.4</v>
      </c>
      <c r="AH18" s="33">
        <v>139.28</v>
      </c>
      <c r="AI18" s="33">
        <v>88.75</v>
      </c>
      <c r="AJ18" s="32"/>
      <c r="AK18" s="33">
        <v>100.05</v>
      </c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2076</v>
      </c>
      <c r="D19" s="50" t="s">
        <v>42</v>
      </c>
      <c r="E19" s="32" t="s">
        <v>3</v>
      </c>
      <c r="F19" s="32" t="s">
        <v>2082</v>
      </c>
      <c r="G19" s="32"/>
      <c r="H19" s="32"/>
      <c r="I19" s="32"/>
      <c r="J19" s="33">
        <v>126.81</v>
      </c>
      <c r="K19" s="33">
        <v>160.85</v>
      </c>
      <c r="L19" s="33">
        <v>142.96</v>
      </c>
      <c r="M19" s="32"/>
      <c r="N19" s="33">
        <v>139.22</v>
      </c>
      <c r="O19" s="33">
        <f>186.41+198.72</f>
        <v>385.13</v>
      </c>
      <c r="P19" s="32"/>
      <c r="Q19" s="33">
        <f>266.33+241.42</f>
        <v>507.75</v>
      </c>
      <c r="R19" s="33">
        <v>228.78</v>
      </c>
      <c r="S19" s="32"/>
      <c r="T19" s="33">
        <f>184.14+132.30</f>
        <v>316.44</v>
      </c>
      <c r="U19" s="33">
        <v>125.05</v>
      </c>
      <c r="V19" s="33">
        <v>146.04</v>
      </c>
      <c r="W19" s="33">
        <v>130.3</v>
      </c>
      <c r="X19" s="33">
        <v>108.18</v>
      </c>
      <c r="Y19" s="33">
        <v>139.42</v>
      </c>
      <c r="Z19" s="33">
        <v>172.31</v>
      </c>
      <c r="AA19" s="33">
        <v>255.09</v>
      </c>
      <c r="AB19" s="32"/>
      <c r="AC19" s="33">
        <f>280.77+317.00</f>
        <v>597.77</v>
      </c>
      <c r="AD19" s="32"/>
      <c r="AE19" s="33">
        <v>289.54</v>
      </c>
      <c r="AF19" s="33">
        <f>240.86+124.88</f>
        <v>365.74</v>
      </c>
      <c r="AG19" s="33">
        <v>83.91</v>
      </c>
      <c r="AH19" s="33">
        <v>105.85</v>
      </c>
      <c r="AI19" s="33">
        <v>99.35</v>
      </c>
      <c r="AJ19" s="32"/>
      <c r="AK19" s="33">
        <v>94.01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2076</v>
      </c>
      <c r="D20" s="50" t="s">
        <v>42</v>
      </c>
      <c r="E20" s="32" t="s">
        <v>3</v>
      </c>
      <c r="F20" s="32" t="s">
        <v>2083</v>
      </c>
      <c r="G20" s="32"/>
      <c r="H20" s="32"/>
      <c r="I20" s="32"/>
      <c r="J20" s="33">
        <v>13.28</v>
      </c>
      <c r="K20" s="33">
        <v>13.36</v>
      </c>
      <c r="L20" s="33">
        <v>13.36</v>
      </c>
      <c r="M20" s="32"/>
      <c r="N20" s="33">
        <v>12.72</v>
      </c>
      <c r="O20" s="33">
        <f>12.46+12.46</f>
        <v>24.92</v>
      </c>
      <c r="P20" s="32"/>
      <c r="Q20" s="33">
        <f>12.46+12.22</f>
        <v>24.68</v>
      </c>
      <c r="R20" s="33">
        <v>12.46</v>
      </c>
      <c r="S20" s="32"/>
      <c r="T20" s="33">
        <f>12.46+12.46</f>
        <v>24.92</v>
      </c>
      <c r="U20" s="33">
        <v>12.46</v>
      </c>
      <c r="V20" s="33">
        <v>14.36</v>
      </c>
      <c r="W20" s="33">
        <v>14.43</v>
      </c>
      <c r="X20" s="33">
        <v>14.43</v>
      </c>
      <c r="Y20" s="33">
        <v>14.43</v>
      </c>
      <c r="Z20" s="33">
        <v>14.43</v>
      </c>
      <c r="AA20" s="33">
        <v>14.43</v>
      </c>
      <c r="AB20" s="32"/>
      <c r="AC20" s="33">
        <f>14.43+14.43</f>
        <v>28.86</v>
      </c>
      <c r="AD20" s="32"/>
      <c r="AE20" s="33">
        <v>14.43</v>
      </c>
      <c r="AF20" s="33">
        <f>14.43+14.43</f>
        <v>28.86</v>
      </c>
      <c r="AG20" s="33">
        <v>14.43</v>
      </c>
      <c r="AH20" s="33">
        <v>14.05</v>
      </c>
      <c r="AI20" s="33">
        <v>14.05</v>
      </c>
      <c r="AJ20" s="32"/>
      <c r="AK20" s="33">
        <v>14.05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2076</v>
      </c>
      <c r="D21" s="50" t="s">
        <v>42</v>
      </c>
      <c r="E21" s="32" t="s">
        <v>3</v>
      </c>
      <c r="F21" s="32" t="s">
        <v>2084</v>
      </c>
      <c r="G21" s="32"/>
      <c r="H21" s="32"/>
      <c r="I21" s="32"/>
      <c r="J21" s="33">
        <v>29.81</v>
      </c>
      <c r="K21" s="33">
        <v>29.81</v>
      </c>
      <c r="L21" s="33">
        <v>29.81</v>
      </c>
      <c r="M21" s="32"/>
      <c r="N21" s="33">
        <v>29.81</v>
      </c>
      <c r="O21" s="33">
        <f>29.81+29.81</f>
        <v>59.62</v>
      </c>
      <c r="P21" s="32"/>
      <c r="Q21" s="33">
        <f>29.81+29.81</f>
        <v>59.62</v>
      </c>
      <c r="R21" s="33">
        <v>29.81</v>
      </c>
      <c r="S21" s="32"/>
      <c r="T21" s="33">
        <f>29.81+29.81</f>
        <v>59.62</v>
      </c>
      <c r="U21" s="33">
        <v>29.81</v>
      </c>
      <c r="V21" s="33">
        <v>29.81</v>
      </c>
      <c r="W21" s="33">
        <v>29.81</v>
      </c>
      <c r="X21" s="33">
        <v>29.81</v>
      </c>
      <c r="Y21" s="33">
        <v>29.81</v>
      </c>
      <c r="Z21" s="33">
        <v>29.81</v>
      </c>
      <c r="AA21" s="33">
        <v>29.81</v>
      </c>
      <c r="AB21" s="32"/>
      <c r="AC21" s="33">
        <f>29.81+29.81</f>
        <v>59.62</v>
      </c>
      <c r="AD21" s="32"/>
      <c r="AE21" s="33">
        <v>29.81</v>
      </c>
      <c r="AF21" s="33">
        <f>29.81+29.81</f>
        <v>59.62</v>
      </c>
      <c r="AG21" s="33">
        <v>29.81</v>
      </c>
      <c r="AH21" s="33">
        <v>35.77</v>
      </c>
      <c r="AI21" s="33">
        <v>35.77</v>
      </c>
      <c r="AJ21" s="32"/>
      <c r="AK21" s="33">
        <v>35.77</v>
      </c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2076</v>
      </c>
      <c r="D22" s="50" t="s">
        <v>42</v>
      </c>
      <c r="E22" s="32" t="s">
        <v>3</v>
      </c>
      <c r="F22" s="32" t="s">
        <v>2085</v>
      </c>
      <c r="G22" s="32"/>
      <c r="H22" s="32"/>
      <c r="I22" s="32"/>
      <c r="J22" s="33">
        <v>74.64</v>
      </c>
      <c r="K22" s="33">
        <v>78.54</v>
      </c>
      <c r="L22" s="33">
        <v>82.26</v>
      </c>
      <c r="M22" s="32"/>
      <c r="N22" s="33">
        <v>64.13</v>
      </c>
      <c r="O22" s="33">
        <f>80.84+114.60</f>
        <v>195.44</v>
      </c>
      <c r="P22" s="32"/>
      <c r="Q22" s="33">
        <f>94.22+76.63</f>
        <v>170.85</v>
      </c>
      <c r="R22" s="33">
        <v>70.64</v>
      </c>
      <c r="S22" s="32"/>
      <c r="T22" s="33">
        <f>79.93+68.73</f>
        <v>148.66000000000003</v>
      </c>
      <c r="U22" s="33">
        <v>77.63</v>
      </c>
      <c r="V22" s="33">
        <v>98.89</v>
      </c>
      <c r="W22" s="33">
        <v>92.79</v>
      </c>
      <c r="X22" s="33">
        <v>60.83</v>
      </c>
      <c r="Y22" s="33">
        <v>63.95</v>
      </c>
      <c r="Z22" s="33">
        <v>66.65</v>
      </c>
      <c r="AA22" s="33">
        <v>76.51</v>
      </c>
      <c r="AB22" s="32"/>
      <c r="AC22" s="33">
        <f>89.07+84.92</f>
        <v>173.99</v>
      </c>
      <c r="AD22" s="32"/>
      <c r="AE22" s="33">
        <v>85.8</v>
      </c>
      <c r="AF22" s="33">
        <f>77.66+73.79</f>
        <v>151.45</v>
      </c>
      <c r="AG22" s="33">
        <v>74.52</v>
      </c>
      <c r="AH22" s="33">
        <v>84.66</v>
      </c>
      <c r="AI22" s="33">
        <v>117.2</v>
      </c>
      <c r="AJ22" s="32"/>
      <c r="AK22" s="33">
        <v>80.92</v>
      </c>
      <c r="AL22" s="34">
        <f>SUM(G22:AK22)</f>
      </c>
      <c r="AM22" s="35"/>
    </row>
    <row r="23" ht="13.5" customHeight="1" spans="2:39" x14ac:dyDescent="0.25">
      <c r="B23" s="51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0"/>
    </row>
    <row r="24" ht="13.5" customHeight="1" spans="2:39" x14ac:dyDescent="0.25">
      <c r="B24" s="20"/>
      <c r="C24" s="21"/>
      <c r="D24" s="21" t="s">
        <v>85</v>
      </c>
      <c r="E24" s="21"/>
      <c r="F24" s="21"/>
      <c r="G24" s="22">
        <f>SUM(G15:G22)</f>
      </c>
      <c r="H24" s="22">
        <f>SUM(H15:H22)</f>
      </c>
      <c r="I24" s="22">
        <f>SUM(I15:I22)</f>
      </c>
      <c r="J24" s="22">
        <f>SUM(J15:J22)</f>
      </c>
      <c r="K24" s="22">
        <f>SUM(K15:K22)</f>
      </c>
      <c r="L24" s="22">
        <f>SUM(L15:L22)</f>
      </c>
      <c r="M24" s="22">
        <f>SUM(M15:M22)</f>
      </c>
      <c r="N24" s="22">
        <f>SUM(N15:N22)</f>
      </c>
      <c r="O24" s="22">
        <f>SUM(O15:O22)</f>
      </c>
      <c r="P24" s="22">
        <f>SUM(P15:P22)</f>
      </c>
      <c r="Q24" s="22">
        <f>SUM(Q15:Q22)</f>
      </c>
      <c r="R24" s="22">
        <f>SUM(R15:R22)</f>
      </c>
      <c r="S24" s="22">
        <f>SUM(S15:S22)</f>
      </c>
      <c r="T24" s="22">
        <f>SUM(T15:T22)</f>
      </c>
      <c r="U24" s="22">
        <f>SUM(U15:U22)</f>
      </c>
      <c r="V24" s="22">
        <f>SUM(V15:V22)</f>
      </c>
      <c r="W24" s="22">
        <f>SUM(W15:W22)</f>
      </c>
      <c r="X24" s="22">
        <f>SUM(X15:X22)</f>
      </c>
      <c r="Y24" s="22">
        <f>SUM(Y15:Y22)</f>
      </c>
      <c r="Z24" s="22">
        <f>SUM(Z15:Z22)</f>
      </c>
      <c r="AA24" s="22">
        <f>SUM(AA15:AA22)</f>
      </c>
      <c r="AB24" s="22">
        <f>SUM(AB15:AB22)</f>
      </c>
      <c r="AC24" s="22">
        <f>SUM(AC15:AC22)</f>
      </c>
      <c r="AD24" s="22">
        <f>SUM(AD15:AD22)</f>
      </c>
      <c r="AE24" s="22">
        <f>SUM(AE15:AE22)</f>
      </c>
      <c r="AF24" s="22">
        <f>SUM(AF15:AF22)</f>
      </c>
      <c r="AG24" s="22">
        <f>SUM(AG15:AG22)</f>
      </c>
      <c r="AH24" s="22">
        <f>SUM(AH15:AH22)</f>
      </c>
      <c r="AI24" s="22">
        <f>SUM(AI15:AI22)</f>
      </c>
      <c r="AJ24" s="22">
        <f>SUM(AJ15:AJ22)</f>
      </c>
      <c r="AK24" s="22">
        <f>SUM(AK15:AK22)</f>
      </c>
      <c r="AL24" s="22">
        <f>SUM(AL15:AL22)</f>
      </c>
      <c r="AM24" s="23"/>
    </row>
    <row r="26" ht="13.5" customHeight="1" spans="2:39" x14ac:dyDescent="0.25">
      <c r="B26" s="46"/>
      <c r="C26" s="28"/>
      <c r="D26" s="47" t="s">
        <v>43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/>
    </row>
    <row r="27" ht="13.5" customHeight="1" spans="2:39" x14ac:dyDescent="0.25">
      <c r="B27" s="48" t="s">
        <v>3</v>
      </c>
      <c r="C27" s="49" t="s">
        <v>2076</v>
      </c>
      <c r="D27" s="50" t="s">
        <v>43</v>
      </c>
      <c r="E27" s="32" t="s">
        <v>3</v>
      </c>
      <c r="F27" s="32" t="s">
        <v>2086</v>
      </c>
      <c r="G27" s="32"/>
      <c r="H27" s="32"/>
      <c r="I27" s="32"/>
      <c r="J27" s="33">
        <v>147.91</v>
      </c>
      <c r="K27" s="33">
        <v>120.22</v>
      </c>
      <c r="L27" s="33">
        <v>151.05</v>
      </c>
      <c r="M27" s="33">
        <v>125.26</v>
      </c>
      <c r="N27" s="33">
        <v>134.07</v>
      </c>
      <c r="O27" s="33">
        <v>181.89</v>
      </c>
      <c r="P27" s="33">
        <v>152.94</v>
      </c>
      <c r="Q27" s="33">
        <v>123.37</v>
      </c>
      <c r="R27" s="33">
        <v>159.86</v>
      </c>
      <c r="S27" s="33">
        <f>160.14+138.39</f>
        <v>298.53</v>
      </c>
      <c r="T27" s="32"/>
      <c r="U27" s="33">
        <v>154.7</v>
      </c>
      <c r="V27" s="33">
        <v>145.87</v>
      </c>
      <c r="W27" s="33">
        <v>159.47</v>
      </c>
      <c r="X27" s="33">
        <v>149.94</v>
      </c>
      <c r="Y27" s="33">
        <f>151.31+154.70</f>
        <v>306.01</v>
      </c>
      <c r="Z27" s="33">
        <v>121.4</v>
      </c>
      <c r="AA27" s="32"/>
      <c r="AB27" s="33">
        <f>160.82+131.59</f>
        <v>292.40999999999997</v>
      </c>
      <c r="AC27" s="32"/>
      <c r="AD27" s="33">
        <v>194.81</v>
      </c>
      <c r="AE27" s="33">
        <f>128.28+136.57</f>
        <v>264.85</v>
      </c>
      <c r="AF27" s="32"/>
      <c r="AG27" s="33">
        <v>133.55</v>
      </c>
      <c r="AH27" s="33">
        <v>117</v>
      </c>
      <c r="AI27" s="33">
        <v>126.03</v>
      </c>
      <c r="AJ27" s="33">
        <v>107.97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2076</v>
      </c>
      <c r="D28" s="50" t="s">
        <v>43</v>
      </c>
      <c r="E28" s="32" t="s">
        <v>3</v>
      </c>
      <c r="F28" s="32" t="s">
        <v>2087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3">
        <v>10.59</v>
      </c>
      <c r="R28" s="33">
        <v>11.03</v>
      </c>
      <c r="S28" s="33">
        <f>11.91+11.91</f>
        <v>23.82</v>
      </c>
      <c r="T28" s="32"/>
      <c r="U28" s="33">
        <v>11.91</v>
      </c>
      <c r="V28" s="33">
        <v>11.91</v>
      </c>
      <c r="W28" s="33">
        <v>11.91</v>
      </c>
      <c r="X28" s="33">
        <v>11.91</v>
      </c>
      <c r="Y28" s="33">
        <f>11.91+11.91</f>
        <v>23.82</v>
      </c>
      <c r="Z28" s="33">
        <v>11.91</v>
      </c>
      <c r="AA28" s="32"/>
      <c r="AB28" s="33">
        <f>11.91+11.91</f>
        <v>23.82</v>
      </c>
      <c r="AC28" s="32"/>
      <c r="AD28" s="33">
        <v>11.91</v>
      </c>
      <c r="AE28" s="33">
        <f>13.17+13.17</f>
        <v>26.34</v>
      </c>
      <c r="AF28" s="32"/>
      <c r="AG28" s="33">
        <v>13.17</v>
      </c>
      <c r="AH28" s="33">
        <v>13.17</v>
      </c>
      <c r="AI28" s="33">
        <v>13.17</v>
      </c>
      <c r="AJ28" s="33">
        <v>13.17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2076</v>
      </c>
      <c r="D29" s="50" t="s">
        <v>43</v>
      </c>
      <c r="E29" s="32" t="s">
        <v>3</v>
      </c>
      <c r="F29" s="32" t="s">
        <v>2088</v>
      </c>
      <c r="G29" s="32"/>
      <c r="H29" s="32"/>
      <c r="I29" s="32"/>
      <c r="J29" s="33">
        <v>126.51</v>
      </c>
      <c r="K29" s="33">
        <v>122.11</v>
      </c>
      <c r="L29" s="33">
        <v>179.37</v>
      </c>
      <c r="M29" s="33">
        <v>132.18</v>
      </c>
      <c r="N29" s="33">
        <v>95.68</v>
      </c>
      <c r="O29" s="33">
        <v>134.07</v>
      </c>
      <c r="P29" s="33">
        <v>118.97</v>
      </c>
      <c r="Q29" s="33">
        <v>90.65</v>
      </c>
      <c r="R29" s="33">
        <v>139.1</v>
      </c>
      <c r="S29" s="33">
        <f>106.44+261.44</f>
        <v>367.88</v>
      </c>
      <c r="T29" s="32"/>
      <c r="U29" s="33">
        <v>156.74</v>
      </c>
      <c r="V29" s="33">
        <v>118.68</v>
      </c>
      <c r="W29" s="33">
        <v>160.82</v>
      </c>
      <c r="X29" s="33">
        <v>128.19</v>
      </c>
      <c r="Y29" s="33">
        <f>143.83+167.62</f>
        <v>311.45000000000005</v>
      </c>
      <c r="Z29" s="33">
        <v>142.47</v>
      </c>
      <c r="AA29" s="32"/>
      <c r="AB29" s="33">
        <f>265.51+156.07</f>
        <v>421.58</v>
      </c>
      <c r="AC29" s="32"/>
      <c r="AD29" s="33">
        <v>167.62</v>
      </c>
      <c r="AE29" s="33">
        <f>139.57+184.71</f>
        <v>324.28</v>
      </c>
      <c r="AF29" s="32"/>
      <c r="AG29" s="33">
        <v>312.62</v>
      </c>
      <c r="AH29" s="33">
        <v>193</v>
      </c>
      <c r="AI29" s="33">
        <v>203.52</v>
      </c>
      <c r="AJ29" s="33">
        <v>160.63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2076</v>
      </c>
      <c r="D30" s="50" t="s">
        <v>43</v>
      </c>
      <c r="E30" s="32" t="s">
        <v>3</v>
      </c>
      <c r="F30" s="32" t="s">
        <v>2089</v>
      </c>
      <c r="G30" s="32"/>
      <c r="H30" s="32"/>
      <c r="I30" s="32"/>
      <c r="J30" s="33">
        <v>12.29</v>
      </c>
      <c r="K30" s="33">
        <v>11.66</v>
      </c>
      <c r="L30" s="33">
        <v>11.66</v>
      </c>
      <c r="M30" s="33">
        <v>12.29</v>
      </c>
      <c r="N30" s="33">
        <v>11.66</v>
      </c>
      <c r="O30" s="33">
        <v>11.66</v>
      </c>
      <c r="P30" s="33">
        <v>12.29</v>
      </c>
      <c r="Q30" s="33">
        <v>11.66</v>
      </c>
      <c r="R30" s="33">
        <v>12.29</v>
      </c>
      <c r="S30" s="33">
        <f>13.28+12.60</f>
        <v>25.88</v>
      </c>
      <c r="T30" s="32"/>
      <c r="U30" s="33">
        <v>12.6</v>
      </c>
      <c r="V30" s="33">
        <v>12.6</v>
      </c>
      <c r="W30" s="33">
        <v>12.6</v>
      </c>
      <c r="X30" s="33">
        <v>11.91</v>
      </c>
      <c r="Y30" s="33">
        <f>12.60+12.60</f>
        <v>25.2</v>
      </c>
      <c r="Z30" s="33">
        <v>12.6</v>
      </c>
      <c r="AA30" s="32"/>
      <c r="AB30" s="33">
        <f>11.91+12.60</f>
        <v>24.509999999999998</v>
      </c>
      <c r="AC30" s="32"/>
      <c r="AD30" s="33">
        <v>12.6</v>
      </c>
      <c r="AE30" s="33">
        <f>13.92+13.17</f>
        <v>27.09</v>
      </c>
      <c r="AF30" s="32"/>
      <c r="AG30" s="33">
        <v>13.92</v>
      </c>
      <c r="AH30" s="33">
        <v>13.17</v>
      </c>
      <c r="AI30" s="33">
        <v>13.17</v>
      </c>
      <c r="AJ30" s="33">
        <v>13.17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2076</v>
      </c>
      <c r="D31" s="50" t="s">
        <v>43</v>
      </c>
      <c r="E31" s="32" t="s">
        <v>3</v>
      </c>
      <c r="F31" s="32" t="s">
        <v>2090</v>
      </c>
      <c r="G31" s="32"/>
      <c r="H31" s="32"/>
      <c r="I31" s="32"/>
      <c r="J31" s="33">
        <v>76.18</v>
      </c>
      <c r="K31" s="33">
        <v>68.63</v>
      </c>
      <c r="L31" s="33">
        <v>73.66</v>
      </c>
      <c r="M31" s="33">
        <v>90.02</v>
      </c>
      <c r="N31" s="33">
        <v>59.19</v>
      </c>
      <c r="O31" s="33">
        <v>100.72</v>
      </c>
      <c r="P31" s="33">
        <v>81.84</v>
      </c>
      <c r="Q31" s="33">
        <v>92.53</v>
      </c>
      <c r="R31" s="33">
        <v>76.8</v>
      </c>
      <c r="S31" s="33">
        <f>79.57+64.61</f>
        <v>144.18</v>
      </c>
      <c r="T31" s="32"/>
      <c r="U31" s="33">
        <v>82.97</v>
      </c>
      <c r="V31" s="33">
        <v>46.94</v>
      </c>
      <c r="W31" s="33">
        <v>58.5</v>
      </c>
      <c r="X31" s="33">
        <v>53.05</v>
      </c>
      <c r="Y31" s="33">
        <f>53.05+60.53</f>
        <v>113.58</v>
      </c>
      <c r="Z31" s="33">
        <v>105.4</v>
      </c>
      <c r="AA31" s="32"/>
      <c r="AB31" s="33">
        <f>64.61+59.18</f>
        <v>123.78999999999999</v>
      </c>
      <c r="AC31" s="32"/>
      <c r="AD31" s="33">
        <v>66.65</v>
      </c>
      <c r="AE31" s="33">
        <f>50.79+57.56</f>
        <v>108.35</v>
      </c>
      <c r="AF31" s="32"/>
      <c r="AG31" s="33">
        <v>58.31</v>
      </c>
      <c r="AH31" s="33">
        <v>59.06</v>
      </c>
      <c r="AI31" s="33">
        <v>61.33</v>
      </c>
      <c r="AJ31" s="33">
        <v>62.82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2076</v>
      </c>
      <c r="D32" s="50" t="s">
        <v>43</v>
      </c>
      <c r="E32" s="32" t="s">
        <v>3</v>
      </c>
      <c r="F32" s="32" t="s">
        <v>2091</v>
      </c>
      <c r="G32" s="32"/>
      <c r="H32" s="32"/>
      <c r="I32" s="32"/>
      <c r="J32" s="33">
        <v>52.9</v>
      </c>
      <c r="K32" s="33">
        <v>62.34</v>
      </c>
      <c r="L32" s="33">
        <v>37.17</v>
      </c>
      <c r="M32" s="33">
        <v>22.07</v>
      </c>
      <c r="N32" s="33">
        <v>23.32</v>
      </c>
      <c r="O32" s="33">
        <v>22.07</v>
      </c>
      <c r="P32" s="33">
        <v>67.36</v>
      </c>
      <c r="Q32" s="33">
        <v>93.17</v>
      </c>
      <c r="R32" s="33">
        <v>98.2</v>
      </c>
      <c r="S32" s="33">
        <f>23.83+23.83</f>
        <v>47.66</v>
      </c>
      <c r="T32" s="32"/>
      <c r="U32" s="33">
        <v>25.86</v>
      </c>
      <c r="V32" s="33">
        <v>25.19</v>
      </c>
      <c r="W32" s="33">
        <v>23.83</v>
      </c>
      <c r="X32" s="33">
        <v>23.83</v>
      </c>
      <c r="Y32" s="33">
        <f>23.83+23.83</f>
        <v>47.66</v>
      </c>
      <c r="Z32" s="33">
        <v>23.83</v>
      </c>
      <c r="AA32" s="32"/>
      <c r="AB32" s="33">
        <f>23.83+23.83</f>
        <v>47.66</v>
      </c>
      <c r="AC32" s="32"/>
      <c r="AD32" s="33">
        <v>23.83</v>
      </c>
      <c r="AE32" s="33">
        <f>13.17+13.17</f>
        <v>26.34</v>
      </c>
      <c r="AF32" s="32"/>
      <c r="AG32" s="33">
        <v>13.17</v>
      </c>
      <c r="AH32" s="33">
        <v>13.17</v>
      </c>
      <c r="AI32" s="33">
        <v>13.17</v>
      </c>
      <c r="AJ32" s="33">
        <v>13.92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2076</v>
      </c>
      <c r="D33" s="50" t="s">
        <v>43</v>
      </c>
      <c r="E33" s="32" t="s">
        <v>3</v>
      </c>
      <c r="F33" s="32" t="s">
        <v>2092</v>
      </c>
      <c r="G33" s="32"/>
      <c r="H33" s="32"/>
      <c r="I33" s="32"/>
      <c r="J33" s="33">
        <v>52.9</v>
      </c>
      <c r="K33" s="33">
        <v>89.39</v>
      </c>
      <c r="L33" s="33">
        <v>60.45</v>
      </c>
      <c r="M33" s="33">
        <v>88.13</v>
      </c>
      <c r="N33" s="33">
        <v>68</v>
      </c>
      <c r="O33" s="33">
        <v>87.51</v>
      </c>
      <c r="P33" s="33">
        <v>108.9</v>
      </c>
      <c r="Q33" s="33">
        <v>75.55</v>
      </c>
      <c r="R33" s="33">
        <v>71.15</v>
      </c>
      <c r="S33" s="33">
        <f>74.81+117.63</f>
        <v>192.44</v>
      </c>
      <c r="T33" s="32"/>
      <c r="U33" s="33">
        <v>74.13</v>
      </c>
      <c r="V33" s="33">
        <v>81.61</v>
      </c>
      <c r="W33" s="33">
        <v>78.89</v>
      </c>
      <c r="X33" s="33">
        <v>91.12</v>
      </c>
      <c r="Y33" s="33">
        <f>84.33+97.24</f>
        <v>181.57</v>
      </c>
      <c r="Z33" s="33">
        <v>72.09</v>
      </c>
      <c r="AA33" s="32"/>
      <c r="AB33" s="33">
        <f>90.44+132.59</f>
        <v>223.03</v>
      </c>
      <c r="AC33" s="32"/>
      <c r="AD33" s="33">
        <v>781.12</v>
      </c>
      <c r="AE33" s="33">
        <f>79.38+80.14</f>
        <v>159.51999999999998</v>
      </c>
      <c r="AF33" s="32"/>
      <c r="AG33" s="33">
        <v>89.91</v>
      </c>
      <c r="AH33" s="33">
        <v>74.11</v>
      </c>
      <c r="AI33" s="33">
        <v>84.65</v>
      </c>
      <c r="AJ33" s="33">
        <v>79.38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2076</v>
      </c>
      <c r="D34" s="50" t="s">
        <v>43</v>
      </c>
      <c r="E34" s="32" t="s">
        <v>3</v>
      </c>
      <c r="F34" s="32" t="s">
        <v>2093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>
        <f>8.58+11.91</f>
        <v>20.490000000000002</v>
      </c>
      <c r="T34" s="32"/>
      <c r="U34" s="33">
        <v>11.91</v>
      </c>
      <c r="V34" s="33">
        <v>11.91</v>
      </c>
      <c r="W34" s="33">
        <f>11.91+0.00</f>
        <v>11.91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2076</v>
      </c>
      <c r="D35" s="50" t="s">
        <v>43</v>
      </c>
      <c r="E35" s="32" t="s">
        <v>3</v>
      </c>
      <c r="F35" s="32" t="s">
        <v>2094</v>
      </c>
      <c r="G35" s="32"/>
      <c r="H35" s="32"/>
      <c r="I35" s="32"/>
      <c r="J35" s="33">
        <v>12.29</v>
      </c>
      <c r="K35" s="33">
        <v>11.03</v>
      </c>
      <c r="L35" s="33">
        <v>11.66</v>
      </c>
      <c r="M35" s="33">
        <v>12.29</v>
      </c>
      <c r="N35" s="33">
        <v>11.03</v>
      </c>
      <c r="O35" s="33">
        <v>11.66</v>
      </c>
      <c r="P35" s="33">
        <v>12.29</v>
      </c>
      <c r="Q35" s="33">
        <v>11.03</v>
      </c>
      <c r="R35" s="33">
        <v>11.03</v>
      </c>
      <c r="S35" s="33">
        <f>12.60+25.51</f>
        <v>38.11</v>
      </c>
      <c r="T35" s="32"/>
      <c r="U35" s="33">
        <v>11.91</v>
      </c>
      <c r="V35" s="33">
        <v>11.91</v>
      </c>
      <c r="W35" s="33">
        <v>12.6</v>
      </c>
      <c r="X35" s="33">
        <v>12.6</v>
      </c>
      <c r="Y35" s="33">
        <f>11.91+12.60</f>
        <v>24.509999999999998</v>
      </c>
      <c r="Z35" s="33">
        <v>11.91</v>
      </c>
      <c r="AA35" s="32"/>
      <c r="AB35" s="33">
        <f>14.63+13.28</f>
        <v>27.91</v>
      </c>
      <c r="AC35" s="32"/>
      <c r="AD35" s="33">
        <v>13.28</v>
      </c>
      <c r="AE35" s="33">
        <f>13.17+13.92</f>
        <v>27.09</v>
      </c>
      <c r="AF35" s="32"/>
      <c r="AG35" s="33">
        <v>13.92</v>
      </c>
      <c r="AH35" s="33">
        <v>13.92</v>
      </c>
      <c r="AI35" s="33">
        <v>13.92</v>
      </c>
      <c r="AJ35" s="33">
        <v>16.18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2076</v>
      </c>
      <c r="D36" s="50" t="s">
        <v>43</v>
      </c>
      <c r="E36" s="32" t="s">
        <v>3</v>
      </c>
      <c r="F36" s="32" t="s">
        <v>2095</v>
      </c>
      <c r="G36" s="32"/>
      <c r="H36" s="32"/>
      <c r="I36" s="32"/>
      <c r="J36" s="33">
        <v>13.55</v>
      </c>
      <c r="K36" s="33">
        <v>12.93</v>
      </c>
      <c r="L36" s="33">
        <v>14.18</v>
      </c>
      <c r="M36" s="33">
        <v>13.55</v>
      </c>
      <c r="N36" s="33">
        <v>13.55</v>
      </c>
      <c r="O36" s="33">
        <v>18.58</v>
      </c>
      <c r="P36" s="33">
        <v>15.43</v>
      </c>
      <c r="Q36" s="33">
        <v>14.18</v>
      </c>
      <c r="R36" s="33">
        <v>14.81</v>
      </c>
      <c r="S36" s="33">
        <f>224.69+14.63</f>
        <v>239.32</v>
      </c>
      <c r="T36" s="32"/>
      <c r="U36" s="33">
        <v>15.31</v>
      </c>
      <c r="V36" s="33">
        <v>18.03</v>
      </c>
      <c r="W36" s="33">
        <v>17.35</v>
      </c>
      <c r="X36" s="33">
        <v>17.35</v>
      </c>
      <c r="Y36" s="33">
        <f>15.31+14.63</f>
        <v>29.94</v>
      </c>
      <c r="Z36" s="33">
        <v>15.31</v>
      </c>
      <c r="AA36" s="32"/>
      <c r="AB36" s="33">
        <f>17.35+13.28</f>
        <v>30.630000000000003</v>
      </c>
      <c r="AC36" s="32"/>
      <c r="AD36" s="33">
        <v>14.63</v>
      </c>
      <c r="AE36" s="33">
        <f>15.42+16.93</f>
        <v>32.35</v>
      </c>
      <c r="AF36" s="32"/>
      <c r="AG36" s="33">
        <v>21.44</v>
      </c>
      <c r="AH36" s="33">
        <v>18.44</v>
      </c>
      <c r="AI36" s="33">
        <v>17.68</v>
      </c>
      <c r="AJ36" s="33">
        <v>16.18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2076</v>
      </c>
      <c r="D37" s="50" t="s">
        <v>43</v>
      </c>
      <c r="E37" s="32" t="s">
        <v>3</v>
      </c>
      <c r="F37" s="32" t="s">
        <v>2096</v>
      </c>
      <c r="G37" s="32"/>
      <c r="H37" s="32"/>
      <c r="I37" s="32"/>
      <c r="J37" s="33">
        <v>25.51</v>
      </c>
      <c r="K37" s="33">
        <v>15.43</v>
      </c>
      <c r="L37" s="33">
        <v>17.95</v>
      </c>
      <c r="M37" s="33">
        <v>18.58</v>
      </c>
      <c r="N37" s="33">
        <v>21.1</v>
      </c>
      <c r="O37" s="33">
        <v>37.46</v>
      </c>
      <c r="P37" s="33">
        <v>30.54</v>
      </c>
      <c r="Q37" s="33">
        <v>40.6</v>
      </c>
      <c r="R37" s="33">
        <v>46.27</v>
      </c>
      <c r="S37" s="33">
        <f>42.50+41.82</f>
        <v>84.32</v>
      </c>
      <c r="T37" s="32"/>
      <c r="U37" s="33">
        <v>49.98</v>
      </c>
      <c r="V37" s="33">
        <v>41.82</v>
      </c>
      <c r="W37" s="33">
        <v>49.3</v>
      </c>
      <c r="X37" s="33">
        <v>36.39</v>
      </c>
      <c r="Y37" s="33">
        <f>36.39+37.07</f>
        <v>73.46000000000001</v>
      </c>
      <c r="Z37" s="33">
        <v>30.27</v>
      </c>
      <c r="AA37" s="32"/>
      <c r="AB37" s="33">
        <f>12.60+22.79</f>
        <v>35.39</v>
      </c>
      <c r="AC37" s="32"/>
      <c r="AD37" s="33">
        <v>232.85</v>
      </c>
      <c r="AE37" s="33">
        <f>13.17+13.17</f>
        <v>26.34</v>
      </c>
      <c r="AF37" s="32"/>
      <c r="AG37" s="33">
        <v>13.17</v>
      </c>
      <c r="AH37" s="33">
        <v>13.17</v>
      </c>
      <c r="AI37" s="33">
        <v>13.17</v>
      </c>
      <c r="AJ37" s="33">
        <v>13.17</v>
      </c>
      <c r="AK37" s="32"/>
      <c r="AL37" s="34">
        <f>SUM(G37:AK37)</f>
      </c>
      <c r="AM37" s="35"/>
    </row>
    <row r="38" ht="13.5" customHeight="1" spans="2:39" x14ac:dyDescent="0.25">
      <c r="B38" s="51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40"/>
    </row>
    <row r="39" ht="13.5" customHeight="1" spans="2:39" x14ac:dyDescent="0.25">
      <c r="B39" s="20"/>
      <c r="C39" s="21"/>
      <c r="D39" s="21" t="s">
        <v>89</v>
      </c>
      <c r="E39" s="21"/>
      <c r="F39" s="21"/>
      <c r="G39" s="22">
        <f>SUM(G27:G37)</f>
      </c>
      <c r="H39" s="22">
        <f>SUM(H27:H37)</f>
      </c>
      <c r="I39" s="22">
        <f>SUM(I27:I37)</f>
      </c>
      <c r="J39" s="22">
        <f>SUM(J27:J37)</f>
      </c>
      <c r="K39" s="22">
        <f>SUM(K27:K37)</f>
      </c>
      <c r="L39" s="22">
        <f>SUM(L27:L37)</f>
      </c>
      <c r="M39" s="22">
        <f>SUM(M27:M37)</f>
      </c>
      <c r="N39" s="22">
        <f>SUM(N27:N37)</f>
      </c>
      <c r="O39" s="22">
        <f>SUM(O27:O37)</f>
      </c>
      <c r="P39" s="22">
        <f>SUM(P27:P37)</f>
      </c>
      <c r="Q39" s="22">
        <f>SUM(Q27:Q37)</f>
      </c>
      <c r="R39" s="22">
        <f>SUM(R27:R37)</f>
      </c>
      <c r="S39" s="22">
        <f>SUM(S27:S37)</f>
      </c>
      <c r="T39" s="22">
        <f>SUM(T27:T37)</f>
      </c>
      <c r="U39" s="22">
        <f>SUM(U27:U37)</f>
      </c>
      <c r="V39" s="22">
        <f>SUM(V27:V37)</f>
      </c>
      <c r="W39" s="22">
        <f>SUM(W27:W37)</f>
      </c>
      <c r="X39" s="22">
        <f>SUM(X27:X37)</f>
      </c>
      <c r="Y39" s="22">
        <f>SUM(Y27:Y37)</f>
      </c>
      <c r="Z39" s="22">
        <f>SUM(Z27:Z37)</f>
      </c>
      <c r="AA39" s="22">
        <f>SUM(AA27:AA37)</f>
      </c>
      <c r="AB39" s="22">
        <f>SUM(AB27:AB37)</f>
      </c>
      <c r="AC39" s="22">
        <f>SUM(AC27:AC37)</f>
      </c>
      <c r="AD39" s="22">
        <f>SUM(AD27:AD37)</f>
      </c>
      <c r="AE39" s="22">
        <f>SUM(AE27:AE37)</f>
      </c>
      <c r="AF39" s="22">
        <f>SUM(AF27:AF37)</f>
      </c>
      <c r="AG39" s="22">
        <f>SUM(AG27:AG37)</f>
      </c>
      <c r="AH39" s="22">
        <f>SUM(AH27:AH37)</f>
      </c>
      <c r="AI39" s="22">
        <f>SUM(AI27:AI37)</f>
      </c>
      <c r="AJ39" s="22">
        <f>SUM(AJ27:AJ37)</f>
      </c>
      <c r="AK39" s="22">
        <f>SUM(AK27:AK37)</f>
      </c>
      <c r="AL39" s="22">
        <f>SUM(AL27:AL37)</f>
      </c>
      <c r="AM39" s="23"/>
    </row>
    <row r="41" ht="13.5" customHeight="1" spans="2:39" x14ac:dyDescent="0.25">
      <c r="B41" s="46"/>
      <c r="C41" s="28"/>
      <c r="D41" s="47" t="s">
        <v>44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9"/>
    </row>
    <row r="42" ht="13.5" customHeight="1" spans="2:39" x14ac:dyDescent="0.25">
      <c r="B42" s="51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40"/>
    </row>
    <row r="43" ht="13.5" customHeight="1" spans="2:39" x14ac:dyDescent="0.25">
      <c r="B43" s="20"/>
      <c r="C43" s="21"/>
      <c r="D43" s="21" t="s">
        <v>90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3"/>
    </row>
    <row r="46" ht="12.75" customHeight="1" spans="2:39" x14ac:dyDescent="0.25">
      <c r="B46" s="11" t="s">
        <v>40</v>
      </c>
      <c r="C46" s="12"/>
      <c r="D46" s="12"/>
      <c r="E46" s="12"/>
      <c r="F46" s="12"/>
      <c r="G46" s="52" t="s">
        <v>7</v>
      </c>
      <c r="H46" s="52" t="s">
        <v>8</v>
      </c>
      <c r="I46" s="52" t="s">
        <v>9</v>
      </c>
      <c r="J46" s="52" t="s">
        <v>10</v>
      </c>
      <c r="K46" s="52" t="s">
        <v>11</v>
      </c>
      <c r="L46" s="52" t="s">
        <v>12</v>
      </c>
      <c r="M46" s="52" t="s">
        <v>13</v>
      </c>
      <c r="N46" s="52" t="s">
        <v>14</v>
      </c>
      <c r="O46" s="52" t="s">
        <v>15</v>
      </c>
      <c r="P46" s="52" t="s">
        <v>16</v>
      </c>
      <c r="Q46" s="52" t="s">
        <v>17</v>
      </c>
      <c r="R46" s="52" t="s">
        <v>18</v>
      </c>
      <c r="S46" s="52" t="s">
        <v>19</v>
      </c>
      <c r="T46" s="52" t="s">
        <v>20</v>
      </c>
      <c r="U46" s="52" t="s">
        <v>21</v>
      </c>
      <c r="V46" s="52" t="s">
        <v>22</v>
      </c>
      <c r="W46" s="52" t="s">
        <v>23</v>
      </c>
      <c r="X46" s="52" t="s">
        <v>24</v>
      </c>
      <c r="Y46" s="52" t="s">
        <v>25</v>
      </c>
      <c r="Z46" s="52" t="s">
        <v>26</v>
      </c>
      <c r="AA46" s="52" t="s">
        <v>27</v>
      </c>
      <c r="AB46" s="52" t="s">
        <v>28</v>
      </c>
      <c r="AC46" s="52" t="s">
        <v>29</v>
      </c>
      <c r="AD46" s="52" t="s">
        <v>30</v>
      </c>
      <c r="AE46" s="52" t="s">
        <v>31</v>
      </c>
      <c r="AF46" s="52" t="s">
        <v>32</v>
      </c>
      <c r="AG46" s="52" t="s">
        <v>33</v>
      </c>
      <c r="AH46" s="52" t="s">
        <v>34</v>
      </c>
      <c r="AI46" s="52" t="s">
        <v>35</v>
      </c>
      <c r="AJ46" s="52" t="s">
        <v>36</v>
      </c>
      <c r="AK46" s="52" t="s">
        <v>37</v>
      </c>
      <c r="AL46" s="52" t="s">
        <v>38</v>
      </c>
      <c r="AM46" s="15"/>
    </row>
    <row r="47" ht="12.75" customHeight="1" spans="2:39" x14ac:dyDescent="0.25">
      <c r="B47" s="16"/>
      <c r="C47" s="17"/>
      <c r="D47" s="17" t="s">
        <v>41</v>
      </c>
      <c r="E47" s="17"/>
      <c r="F47" s="17"/>
      <c r="G47" s="18">
        <f>G12</f>
      </c>
      <c r="H47" s="18">
        <f>H12</f>
      </c>
      <c r="I47" s="18">
        <f>I12</f>
      </c>
      <c r="J47" s="18">
        <f>J12</f>
      </c>
      <c r="K47" s="18">
        <f>K12</f>
      </c>
      <c r="L47" s="18">
        <f>L12</f>
      </c>
      <c r="M47" s="18">
        <f>M12</f>
      </c>
      <c r="N47" s="18">
        <f>N12</f>
      </c>
      <c r="O47" s="18">
        <f>O12</f>
      </c>
      <c r="P47" s="18">
        <f>P12</f>
      </c>
      <c r="Q47" s="18">
        <f>Q12</f>
      </c>
      <c r="R47" s="18">
        <f>R12</f>
      </c>
      <c r="S47" s="18">
        <f>S12</f>
      </c>
      <c r="T47" s="18">
        <f>T12</f>
      </c>
      <c r="U47" s="18">
        <f>U12</f>
      </c>
      <c r="V47" s="18">
        <f>V12</f>
      </c>
      <c r="W47" s="18">
        <f>W12</f>
      </c>
      <c r="X47" s="18">
        <f>X12</f>
      </c>
      <c r="Y47" s="18">
        <f>Y12</f>
      </c>
      <c r="Z47" s="18">
        <f>Z12</f>
      </c>
      <c r="AA47" s="18">
        <f>AA12</f>
      </c>
      <c r="AB47" s="18">
        <f>AB12</f>
      </c>
      <c r="AC47" s="18">
        <f>AC12</f>
      </c>
      <c r="AD47" s="18">
        <f>AD12</f>
      </c>
      <c r="AE47" s="18">
        <f>AE12</f>
      </c>
      <c r="AF47" s="18">
        <f>AF12</f>
      </c>
      <c r="AG47" s="18">
        <f>AG12</f>
      </c>
      <c r="AH47" s="18">
        <f>AH12</f>
      </c>
      <c r="AI47" s="18">
        <f>AI12</f>
      </c>
      <c r="AJ47" s="18">
        <f>AJ12</f>
      </c>
      <c r="AK47" s="18">
        <f>AK12</f>
      </c>
      <c r="AL47" s="18">
        <f>AL12</f>
      </c>
      <c r="AM47" s="19"/>
    </row>
    <row r="48" ht="12.75" customHeight="1" spans="2:39" x14ac:dyDescent="0.25">
      <c r="B48" s="16"/>
      <c r="C48" s="17"/>
      <c r="D48" s="17" t="s">
        <v>42</v>
      </c>
      <c r="E48" s="17"/>
      <c r="F48" s="17"/>
      <c r="G48" s="18">
        <f>G24</f>
      </c>
      <c r="H48" s="18">
        <f>H24</f>
      </c>
      <c r="I48" s="18">
        <f>I24</f>
      </c>
      <c r="J48" s="18">
        <f>J24</f>
      </c>
      <c r="K48" s="18">
        <f>K24</f>
      </c>
      <c r="L48" s="18">
        <f>L24</f>
      </c>
      <c r="M48" s="18">
        <f>M24</f>
      </c>
      <c r="N48" s="18">
        <f>N24</f>
      </c>
      <c r="O48" s="18">
        <f>O24</f>
      </c>
      <c r="P48" s="18">
        <f>P24</f>
      </c>
      <c r="Q48" s="18">
        <f>Q24</f>
      </c>
      <c r="R48" s="18">
        <f>R24</f>
      </c>
      <c r="S48" s="18">
        <f>S24</f>
      </c>
      <c r="T48" s="18">
        <f>T24</f>
      </c>
      <c r="U48" s="18">
        <f>U24</f>
      </c>
      <c r="V48" s="18">
        <f>V24</f>
      </c>
      <c r="W48" s="18">
        <f>W24</f>
      </c>
      <c r="X48" s="18">
        <f>X24</f>
      </c>
      <c r="Y48" s="18">
        <f>Y24</f>
      </c>
      <c r="Z48" s="18">
        <f>Z24</f>
      </c>
      <c r="AA48" s="18">
        <f>AA24</f>
      </c>
      <c r="AB48" s="18">
        <f>AB24</f>
      </c>
      <c r="AC48" s="18">
        <f>AC24</f>
      </c>
      <c r="AD48" s="18">
        <f>AD24</f>
      </c>
      <c r="AE48" s="18">
        <f>AE24</f>
      </c>
      <c r="AF48" s="18">
        <f>AF24</f>
      </c>
      <c r="AG48" s="18">
        <f>AG24</f>
      </c>
      <c r="AH48" s="18">
        <f>AH24</f>
      </c>
      <c r="AI48" s="18">
        <f>AI24</f>
      </c>
      <c r="AJ48" s="18">
        <f>AJ24</f>
      </c>
      <c r="AK48" s="18">
        <f>AK24</f>
      </c>
      <c r="AL48" s="18">
        <f>AL24</f>
      </c>
      <c r="AM48" s="19"/>
    </row>
    <row r="49" ht="12.75" customHeight="1" spans="2:39" x14ac:dyDescent="0.25">
      <c r="B49" s="16"/>
      <c r="C49" s="17"/>
      <c r="D49" s="17" t="s">
        <v>43</v>
      </c>
      <c r="E49" s="17"/>
      <c r="F49" s="17"/>
      <c r="G49" s="18">
        <f>G39</f>
      </c>
      <c r="H49" s="18">
        <f>H39</f>
      </c>
      <c r="I49" s="18">
        <f>I39</f>
      </c>
      <c r="J49" s="18">
        <f>J39</f>
      </c>
      <c r="K49" s="18">
        <f>K39</f>
      </c>
      <c r="L49" s="18">
        <f>L39</f>
      </c>
      <c r="M49" s="18">
        <f>M39</f>
      </c>
      <c r="N49" s="18">
        <f>N39</f>
      </c>
      <c r="O49" s="18">
        <f>O39</f>
      </c>
      <c r="P49" s="18">
        <f>P39</f>
      </c>
      <c r="Q49" s="18">
        <f>Q39</f>
      </c>
      <c r="R49" s="18">
        <f>R39</f>
      </c>
      <c r="S49" s="18">
        <f>S39</f>
      </c>
      <c r="T49" s="18">
        <f>T39</f>
      </c>
      <c r="U49" s="18">
        <f>U39</f>
      </c>
      <c r="V49" s="18">
        <f>V39</f>
      </c>
      <c r="W49" s="18">
        <f>W39</f>
      </c>
      <c r="X49" s="18">
        <f>X39</f>
      </c>
      <c r="Y49" s="18">
        <f>Y39</f>
      </c>
      <c r="Z49" s="18">
        <f>Z39</f>
      </c>
      <c r="AA49" s="18">
        <f>AA39</f>
      </c>
      <c r="AB49" s="18">
        <f>AB39</f>
      </c>
      <c r="AC49" s="18">
        <f>AC39</f>
      </c>
      <c r="AD49" s="18">
        <f>AD39</f>
      </c>
      <c r="AE49" s="18">
        <f>AE39</f>
      </c>
      <c r="AF49" s="18">
        <f>AF39</f>
      </c>
      <c r="AG49" s="18">
        <f>AG39</f>
      </c>
      <c r="AH49" s="18">
        <f>AH39</f>
      </c>
      <c r="AI49" s="18">
        <f>AI39</f>
      </c>
      <c r="AJ49" s="18">
        <f>AJ39</f>
      </c>
      <c r="AK49" s="18">
        <f>AK39</f>
      </c>
      <c r="AL49" s="18">
        <f>AL39</f>
      </c>
      <c r="AM49" s="19"/>
    </row>
    <row r="50" ht="12.75" customHeight="1" spans="2:39" x14ac:dyDescent="0.25">
      <c r="B50" s="16"/>
      <c r="C50" s="17"/>
      <c r="D50" s="17" t="s">
        <v>44</v>
      </c>
      <c r="E50" s="17"/>
      <c r="F50" s="17"/>
      <c r="G50" s="18">
        <f>G43</f>
      </c>
      <c r="H50" s="18">
        <f>H43</f>
      </c>
      <c r="I50" s="18">
        <f>I43</f>
      </c>
      <c r="J50" s="18">
        <f>J43</f>
      </c>
      <c r="K50" s="18">
        <f>K43</f>
      </c>
      <c r="L50" s="18">
        <f>L43</f>
      </c>
      <c r="M50" s="18">
        <f>M43</f>
      </c>
      <c r="N50" s="18">
        <f>N43</f>
      </c>
      <c r="O50" s="18">
        <f>O43</f>
      </c>
      <c r="P50" s="18">
        <f>P43</f>
      </c>
      <c r="Q50" s="18">
        <f>Q43</f>
      </c>
      <c r="R50" s="18">
        <f>R43</f>
      </c>
      <c r="S50" s="18">
        <f>S43</f>
      </c>
      <c r="T50" s="18">
        <f>T43</f>
      </c>
      <c r="U50" s="18">
        <f>U43</f>
      </c>
      <c r="V50" s="18">
        <f>V43</f>
      </c>
      <c r="W50" s="18">
        <f>W43</f>
      </c>
      <c r="X50" s="18">
        <f>X43</f>
      </c>
      <c r="Y50" s="18">
        <f>Y43</f>
      </c>
      <c r="Z50" s="18">
        <f>Z43</f>
      </c>
      <c r="AA50" s="18">
        <f>AA43</f>
      </c>
      <c r="AB50" s="18">
        <f>AB43</f>
      </c>
      <c r="AC50" s="18">
        <f>AC43</f>
      </c>
      <c r="AD50" s="18">
        <f>AD43</f>
      </c>
      <c r="AE50" s="18">
        <f>AE43</f>
      </c>
      <c r="AF50" s="18">
        <f>AF43</f>
      </c>
      <c r="AG50" s="18">
        <f>AG43</f>
      </c>
      <c r="AH50" s="18">
        <f>AH43</f>
      </c>
      <c r="AI50" s="18">
        <f>AI43</f>
      </c>
      <c r="AJ50" s="18">
        <f>AJ43</f>
      </c>
      <c r="AK50" s="18">
        <f>AK43</f>
      </c>
      <c r="AL50" s="18">
        <f>AL43</f>
      </c>
      <c r="AM50" s="19"/>
    </row>
    <row r="51" ht="12.75" customHeight="1" spans="2:39" x14ac:dyDescent="0.25">
      <c r="B51" s="20"/>
      <c r="C51" s="21"/>
      <c r="D51" s="21" t="s">
        <v>45</v>
      </c>
      <c r="E51" s="21"/>
      <c r="F51" s="21"/>
      <c r="G51" s="22">
        <f>G47+G48+G49+G50</f>
      </c>
      <c r="H51" s="22">
        <f>H47+H48+H49+H50</f>
      </c>
      <c r="I51" s="22">
        <f>I47+I48+I49+I50</f>
      </c>
      <c r="J51" s="22">
        <f>J47+J48+J49+J50</f>
      </c>
      <c r="K51" s="22">
        <f>K47+K48+K49+K50</f>
      </c>
      <c r="L51" s="22">
        <f>L47+L48+L49+L50</f>
      </c>
      <c r="M51" s="22">
        <f>M47+M48+M49+M50</f>
      </c>
      <c r="N51" s="22">
        <f>N47+N48+N49+N50</f>
      </c>
      <c r="O51" s="22">
        <f>O47+O48+O49+O50</f>
      </c>
      <c r="P51" s="22">
        <f>P47+P48+P49+P50</f>
      </c>
      <c r="Q51" s="22">
        <f>Q47+Q48+Q49+Q50</f>
      </c>
      <c r="R51" s="22">
        <f>R47+R48+R49+R50</f>
      </c>
      <c r="S51" s="22">
        <f>S47+S48+S49+S50</f>
      </c>
      <c r="T51" s="22">
        <f>T47+T48+T49+T50</f>
      </c>
      <c r="U51" s="22">
        <f>U47+U48+U49+U50</f>
      </c>
      <c r="V51" s="22">
        <f>V47+V48+V49+V50</f>
      </c>
      <c r="W51" s="22">
        <f>W47+W48+W49+W50</f>
      </c>
      <c r="X51" s="22">
        <f>X47+X48+X49+X50</f>
      </c>
      <c r="Y51" s="22">
        <f>Y47+Y48+Y49+Y50</f>
      </c>
      <c r="Z51" s="22">
        <f>Z47+Z48+Z49+Z50</f>
      </c>
      <c r="AA51" s="22">
        <f>AA47+AA48+AA49+AA50</f>
      </c>
      <c r="AB51" s="22">
        <f>AB47+AB48+AB49+AB50</f>
      </c>
      <c r="AC51" s="22">
        <f>AC47+AC48+AC49+AC50</f>
      </c>
      <c r="AD51" s="22">
        <f>AD47+AD48+AD49+AD50</f>
      </c>
      <c r="AE51" s="22">
        <f>AE47+AE48+AE49+AE50</f>
      </c>
      <c r="AF51" s="22">
        <f>AF47+AF48+AF49+AF50</f>
      </c>
      <c r="AG51" s="22">
        <f>AG47+AG48+AG49+AG50</f>
      </c>
      <c r="AH51" s="22">
        <f>AH47+AH48+AH49+AH50</f>
      </c>
      <c r="AI51" s="22">
        <f>AI47+AI48+AI49+AI50</f>
      </c>
      <c r="AJ51" s="22">
        <f>AJ47+AJ48+AJ49+AJ50</f>
      </c>
      <c r="AK51" s="22">
        <f>AK47+AK48+AK49+AK50</f>
      </c>
      <c r="AL51" s="22">
        <f>AL47+AL48+AL49+AL50</f>
      </c>
      <c r="AM51" s="23"/>
    </row>
    <row r="53" ht="12.75" customHeight="1" spans="2:39" x14ac:dyDescent="0.25">
      <c r="B53" s="11" t="s">
        <v>46</v>
      </c>
      <c r="C53" s="12"/>
      <c r="D53" s="12"/>
      <c r="E53" s="12"/>
      <c r="F53" s="12"/>
      <c r="G53" s="52" t="s">
        <v>7</v>
      </c>
      <c r="H53" s="52" t="s">
        <v>8</v>
      </c>
      <c r="I53" s="52" t="s">
        <v>9</v>
      </c>
      <c r="J53" s="52" t="s">
        <v>10</v>
      </c>
      <c r="K53" s="52" t="s">
        <v>11</v>
      </c>
      <c r="L53" s="52" t="s">
        <v>12</v>
      </c>
      <c r="M53" s="52" t="s">
        <v>13</v>
      </c>
      <c r="N53" s="52" t="s">
        <v>14</v>
      </c>
      <c r="O53" s="52" t="s">
        <v>15</v>
      </c>
      <c r="P53" s="52" t="s">
        <v>16</v>
      </c>
      <c r="Q53" s="52" t="s">
        <v>17</v>
      </c>
      <c r="R53" s="52" t="s">
        <v>18</v>
      </c>
      <c r="S53" s="52" t="s">
        <v>19</v>
      </c>
      <c r="T53" s="52" t="s">
        <v>20</v>
      </c>
      <c r="U53" s="52" t="s">
        <v>21</v>
      </c>
      <c r="V53" s="52" t="s">
        <v>22</v>
      </c>
      <c r="W53" s="52" t="s">
        <v>23</v>
      </c>
      <c r="X53" s="52" t="s">
        <v>24</v>
      </c>
      <c r="Y53" s="52" t="s">
        <v>25</v>
      </c>
      <c r="Z53" s="52" t="s">
        <v>26</v>
      </c>
      <c r="AA53" s="52" t="s">
        <v>27</v>
      </c>
      <c r="AB53" s="52" t="s">
        <v>28</v>
      </c>
      <c r="AC53" s="52" t="s">
        <v>29</v>
      </c>
      <c r="AD53" s="52" t="s">
        <v>30</v>
      </c>
      <c r="AE53" s="52" t="s">
        <v>31</v>
      </c>
      <c r="AF53" s="52" t="s">
        <v>32</v>
      </c>
      <c r="AG53" s="52" t="s">
        <v>33</v>
      </c>
      <c r="AH53" s="52" t="s">
        <v>34</v>
      </c>
      <c r="AI53" s="52" t="s">
        <v>35</v>
      </c>
      <c r="AJ53" s="52" t="s">
        <v>36</v>
      </c>
      <c r="AK53" s="52" t="s">
        <v>37</v>
      </c>
      <c r="AL53" s="52" t="s">
        <v>38</v>
      </c>
      <c r="AM53" s="15"/>
    </row>
    <row r="54" ht="12.75" customHeight="1" spans="2:39" x14ac:dyDescent="0.25">
      <c r="B54" s="16"/>
      <c r="C54" s="17"/>
      <c r="D54" s="17" t="s">
        <v>41</v>
      </c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9"/>
    </row>
    <row r="55" ht="12.75" customHeight="1" spans="2:39" x14ac:dyDescent="0.25">
      <c r="B55" s="16"/>
      <c r="C55" s="17"/>
      <c r="D55" s="17" t="s">
        <v>42</v>
      </c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9"/>
    </row>
    <row r="56" ht="12.75" customHeight="1" spans="2:39" x14ac:dyDescent="0.25">
      <c r="B56" s="16"/>
      <c r="C56" s="17"/>
      <c r="D56" s="17" t="s">
        <v>43</v>
      </c>
      <c r="E56" s="17"/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9"/>
    </row>
    <row r="57" ht="12.75" customHeight="1" spans="2:39" x14ac:dyDescent="0.25">
      <c r="B57" s="16"/>
      <c r="C57" s="17"/>
      <c r="D57" s="17" t="s">
        <v>44</v>
      </c>
      <c r="E57" s="17"/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9"/>
    </row>
    <row r="58" ht="12.75" customHeight="1" spans="2:39" x14ac:dyDescent="0.25">
      <c r="B58" s="20"/>
      <c r="C58" s="21"/>
      <c r="D58" s="21" t="s">
        <v>45</v>
      </c>
      <c r="E58" s="21"/>
      <c r="F58" s="21"/>
      <c r="G58" s="22">
        <f>G54+G55+G56+G57</f>
      </c>
      <c r="H58" s="22">
        <f>H54+H55+H56+H57</f>
      </c>
      <c r="I58" s="22">
        <f>I54+I55+I56+I57</f>
      </c>
      <c r="J58" s="22">
        <f>J54+J55+J56+J57</f>
      </c>
      <c r="K58" s="22">
        <f>K54+K55+K56+K57</f>
      </c>
      <c r="L58" s="22">
        <f>L54+L55+L56+L57</f>
      </c>
      <c r="M58" s="22">
        <f>M54+M55+M56+M57</f>
      </c>
      <c r="N58" s="22">
        <f>N54+N55+N56+N57</f>
      </c>
      <c r="O58" s="22">
        <f>O54+O55+O56+O57</f>
      </c>
      <c r="P58" s="22">
        <f>P54+P55+P56+P57</f>
      </c>
      <c r="Q58" s="22">
        <f>Q54+Q55+Q56+Q57</f>
      </c>
      <c r="R58" s="22">
        <f>R54+R55+R56+R57</f>
      </c>
      <c r="S58" s="22">
        <f>S54+S55+S56+S57</f>
      </c>
      <c r="T58" s="22">
        <f>T54+T55+T56+T57</f>
      </c>
      <c r="U58" s="22">
        <f>U54+U55+U56+U57</f>
      </c>
      <c r="V58" s="22">
        <f>V54+V55+V56+V57</f>
      </c>
      <c r="W58" s="22">
        <f>W54+W55+W56+W57</f>
      </c>
      <c r="X58" s="22">
        <f>X54+X55+X56+X57</f>
      </c>
      <c r="Y58" s="22">
        <f>Y54+Y55+Y56+Y57</f>
      </c>
      <c r="Z58" s="22">
        <f>Z54+Z55+Z56+Z57</f>
      </c>
      <c r="AA58" s="22">
        <f>AA54+AA55+AA56+AA57</f>
      </c>
      <c r="AB58" s="22">
        <f>AB54+AB55+AB56+AB57</f>
      </c>
      <c r="AC58" s="22">
        <f>AC54+AC55+AC56+AC57</f>
      </c>
      <c r="AD58" s="22">
        <f>AD54+AD55+AD56+AD57</f>
      </c>
      <c r="AE58" s="22">
        <f>AE54+AE55+AE56+AE57</f>
      </c>
      <c r="AF58" s="22">
        <f>AF54+AF55+AF56+AF57</f>
      </c>
      <c r="AG58" s="22">
        <f>AG54+AG55+AG56+AG57</f>
      </c>
      <c r="AH58" s="22">
        <f>AH54+AH55+AH56+AH57</f>
      </c>
      <c r="AI58" s="22">
        <f>AI54+AI55+AI56+AI57</f>
      </c>
      <c r="AJ58" s="22">
        <f>AJ54+AJ55+AJ56+AJ57</f>
      </c>
      <c r="AK58" s="22">
        <f>AK54+AK55+AK56+AK57</f>
      </c>
      <c r="AL58" s="22">
        <f>AL54+AL55+AL56+AL57</f>
      </c>
      <c r="AM58" s="23"/>
    </row>
    <row r="60" ht="12.75" customHeight="1" spans="2:39" x14ac:dyDescent="0.25">
      <c r="B60" s="11" t="s">
        <v>47</v>
      </c>
      <c r="C60" s="12"/>
      <c r="D60" s="12"/>
      <c r="E60" s="12"/>
      <c r="F60" s="12"/>
      <c r="G60" s="52" t="s">
        <v>7</v>
      </c>
      <c r="H60" s="52" t="s">
        <v>8</v>
      </c>
      <c r="I60" s="52" t="s">
        <v>9</v>
      </c>
      <c r="J60" s="52" t="s">
        <v>10</v>
      </c>
      <c r="K60" s="52" t="s">
        <v>11</v>
      </c>
      <c r="L60" s="52" t="s">
        <v>12</v>
      </c>
      <c r="M60" s="52" t="s">
        <v>13</v>
      </c>
      <c r="N60" s="52" t="s">
        <v>14</v>
      </c>
      <c r="O60" s="52" t="s">
        <v>15</v>
      </c>
      <c r="P60" s="52" t="s">
        <v>16</v>
      </c>
      <c r="Q60" s="52" t="s">
        <v>17</v>
      </c>
      <c r="R60" s="52" t="s">
        <v>18</v>
      </c>
      <c r="S60" s="52" t="s">
        <v>19</v>
      </c>
      <c r="T60" s="52" t="s">
        <v>20</v>
      </c>
      <c r="U60" s="52" t="s">
        <v>21</v>
      </c>
      <c r="V60" s="52" t="s">
        <v>22</v>
      </c>
      <c r="W60" s="52" t="s">
        <v>23</v>
      </c>
      <c r="X60" s="52" t="s">
        <v>24</v>
      </c>
      <c r="Y60" s="52" t="s">
        <v>25</v>
      </c>
      <c r="Z60" s="52" t="s">
        <v>26</v>
      </c>
      <c r="AA60" s="52" t="s">
        <v>27</v>
      </c>
      <c r="AB60" s="52" t="s">
        <v>28</v>
      </c>
      <c r="AC60" s="52" t="s">
        <v>29</v>
      </c>
      <c r="AD60" s="52" t="s">
        <v>30</v>
      </c>
      <c r="AE60" s="52" t="s">
        <v>31</v>
      </c>
      <c r="AF60" s="52" t="s">
        <v>32</v>
      </c>
      <c r="AG60" s="52" t="s">
        <v>33</v>
      </c>
      <c r="AH60" s="52" t="s">
        <v>34</v>
      </c>
      <c r="AI60" s="52" t="s">
        <v>35</v>
      </c>
      <c r="AJ60" s="52" t="s">
        <v>36</v>
      </c>
      <c r="AK60" s="52" t="s">
        <v>37</v>
      </c>
      <c r="AL60" s="52" t="s">
        <v>38</v>
      </c>
      <c r="AM60" s="15"/>
    </row>
    <row r="61" ht="12.75" customHeight="1" spans="2:39" x14ac:dyDescent="0.25">
      <c r="B61" s="16"/>
      <c r="C61" s="17"/>
      <c r="D61" s="17" t="s">
        <v>41</v>
      </c>
      <c r="E61" s="17"/>
      <c r="F61" s="17"/>
      <c r="G61" s="24">
        <f>G54-G47</f>
      </c>
      <c r="H61" s="24">
        <f>H54-H47</f>
      </c>
      <c r="I61" s="24">
        <f>I54-I47</f>
      </c>
      <c r="J61" s="24">
        <f>J54-J47</f>
      </c>
      <c r="K61" s="24">
        <f>K54-K47</f>
      </c>
      <c r="L61" s="24">
        <f>L54-L47</f>
      </c>
      <c r="M61" s="24">
        <f>M54-M47</f>
      </c>
      <c r="N61" s="24">
        <f>N54-N47</f>
      </c>
      <c r="O61" s="24">
        <f>O54-O47</f>
      </c>
      <c r="P61" s="24">
        <f>P54-P47</f>
      </c>
      <c r="Q61" s="24">
        <f>Q54-Q47</f>
      </c>
      <c r="R61" s="24">
        <f>R54-R47</f>
      </c>
      <c r="S61" s="24">
        <f>S54-S47</f>
      </c>
      <c r="T61" s="24">
        <f>T54-T47</f>
      </c>
      <c r="U61" s="24">
        <f>U54-U47</f>
      </c>
      <c r="V61" s="24">
        <f>V54-V47</f>
      </c>
      <c r="W61" s="24">
        <f>W54-W47</f>
      </c>
      <c r="X61" s="24">
        <f>X54-X47</f>
      </c>
      <c r="Y61" s="24">
        <f>Y54-Y47</f>
      </c>
      <c r="Z61" s="24">
        <f>Z54-Z47</f>
      </c>
      <c r="AA61" s="24">
        <f>AA54-AA47</f>
      </c>
      <c r="AB61" s="24">
        <f>AB54-AB47</f>
      </c>
      <c r="AC61" s="24">
        <f>AC54-AC47</f>
      </c>
      <c r="AD61" s="24">
        <f>AD54-AD47</f>
      </c>
      <c r="AE61" s="24">
        <f>AE54-AE47</f>
      </c>
      <c r="AF61" s="24">
        <f>AF54-AF47</f>
      </c>
      <c r="AG61" s="24">
        <f>AG54-AG47</f>
      </c>
      <c r="AH61" s="24">
        <f>AH54-AH47</f>
      </c>
      <c r="AI61" s="24">
        <f>AI54-AI47</f>
      </c>
      <c r="AJ61" s="24">
        <f>AJ54-AJ47</f>
      </c>
      <c r="AK61" s="24">
        <f>AK54-AK47</f>
      </c>
      <c r="AL61" s="24">
        <f>AL54-AL47</f>
      </c>
      <c r="AM61" s="19"/>
    </row>
    <row r="62" ht="12.75" customHeight="1" spans="2:39" x14ac:dyDescent="0.25">
      <c r="B62" s="16"/>
      <c r="C62" s="17"/>
      <c r="D62" s="17" t="s">
        <v>42</v>
      </c>
      <c r="E62" s="17"/>
      <c r="F62" s="17"/>
      <c r="G62" s="24">
        <f>G55-G48</f>
      </c>
      <c r="H62" s="24">
        <f>H55-H48</f>
      </c>
      <c r="I62" s="24">
        <f>I55-I48</f>
      </c>
      <c r="J62" s="24">
        <f>J55-J48</f>
      </c>
      <c r="K62" s="24">
        <f>K55-K48</f>
      </c>
      <c r="L62" s="24">
        <f>L55-L48</f>
      </c>
      <c r="M62" s="24">
        <f>M55-M48</f>
      </c>
      <c r="N62" s="24">
        <f>N55-N48</f>
      </c>
      <c r="O62" s="24">
        <f>O55-O48</f>
      </c>
      <c r="P62" s="24">
        <f>P55-P48</f>
      </c>
      <c r="Q62" s="24">
        <f>Q55-Q48</f>
      </c>
      <c r="R62" s="24">
        <f>R55-R48</f>
      </c>
      <c r="S62" s="24">
        <f>S55-S48</f>
      </c>
      <c r="T62" s="24">
        <f>T55-T48</f>
      </c>
      <c r="U62" s="24">
        <f>U55-U48</f>
      </c>
      <c r="V62" s="24">
        <f>V55-V48</f>
      </c>
      <c r="W62" s="24">
        <f>W55-W48</f>
      </c>
      <c r="X62" s="24">
        <f>X55-X48</f>
      </c>
      <c r="Y62" s="24">
        <f>Y55-Y48</f>
      </c>
      <c r="Z62" s="24">
        <f>Z55-Z48</f>
      </c>
      <c r="AA62" s="24">
        <f>AA55-AA48</f>
      </c>
      <c r="AB62" s="24">
        <f>AB55-AB48</f>
      </c>
      <c r="AC62" s="24">
        <f>AC55-AC48</f>
      </c>
      <c r="AD62" s="24">
        <f>AD55-AD48</f>
      </c>
      <c r="AE62" s="24">
        <f>AE55-AE48</f>
      </c>
      <c r="AF62" s="24">
        <f>AF55-AF48</f>
      </c>
      <c r="AG62" s="24">
        <f>AG55-AG48</f>
      </c>
      <c r="AH62" s="24">
        <f>AH55-AH48</f>
      </c>
      <c r="AI62" s="24">
        <f>AI55-AI48</f>
      </c>
      <c r="AJ62" s="24">
        <f>AJ55-AJ48</f>
      </c>
      <c r="AK62" s="24">
        <f>AK55-AK48</f>
      </c>
      <c r="AL62" s="24">
        <f>AL55-AL48</f>
      </c>
      <c r="AM62" s="19"/>
    </row>
    <row r="63" ht="12.75" customHeight="1" spans="2:39" x14ac:dyDescent="0.25">
      <c r="B63" s="16"/>
      <c r="C63" s="17"/>
      <c r="D63" s="17" t="s">
        <v>43</v>
      </c>
      <c r="E63" s="17"/>
      <c r="F63" s="17"/>
      <c r="G63" s="24">
        <f>G56-G49</f>
      </c>
      <c r="H63" s="24">
        <f>H56-H49</f>
      </c>
      <c r="I63" s="24">
        <f>I56-I49</f>
      </c>
      <c r="J63" s="24">
        <f>J56-J49</f>
      </c>
      <c r="K63" s="24">
        <f>K56-K49</f>
      </c>
      <c r="L63" s="24">
        <f>L56-L49</f>
      </c>
      <c r="M63" s="24">
        <f>M56-M49</f>
      </c>
      <c r="N63" s="24">
        <f>N56-N49</f>
      </c>
      <c r="O63" s="24">
        <f>O56-O49</f>
      </c>
      <c r="P63" s="24">
        <f>P56-P49</f>
      </c>
      <c r="Q63" s="24">
        <f>Q56-Q49</f>
      </c>
      <c r="R63" s="24">
        <f>R56-R49</f>
      </c>
      <c r="S63" s="24">
        <f>S56-S49</f>
      </c>
      <c r="T63" s="24">
        <f>T56-T49</f>
      </c>
      <c r="U63" s="24">
        <f>U56-U49</f>
      </c>
      <c r="V63" s="24">
        <f>V56-V49</f>
      </c>
      <c r="W63" s="24">
        <f>W56-W49</f>
      </c>
      <c r="X63" s="24">
        <f>X56-X49</f>
      </c>
      <c r="Y63" s="24">
        <f>Y56-Y49</f>
      </c>
      <c r="Z63" s="24">
        <f>Z56-Z49</f>
      </c>
      <c r="AA63" s="24">
        <f>AA56-AA49</f>
      </c>
      <c r="AB63" s="24">
        <f>AB56-AB49</f>
      </c>
      <c r="AC63" s="24">
        <f>AC56-AC49</f>
      </c>
      <c r="AD63" s="24">
        <f>AD56-AD49</f>
      </c>
      <c r="AE63" s="24">
        <f>AE56-AE49</f>
      </c>
      <c r="AF63" s="24">
        <f>AF56-AF49</f>
      </c>
      <c r="AG63" s="24">
        <f>AG56-AG49</f>
      </c>
      <c r="AH63" s="24">
        <f>AH56-AH49</f>
      </c>
      <c r="AI63" s="24">
        <f>AI56-AI49</f>
      </c>
      <c r="AJ63" s="24">
        <f>AJ56-AJ49</f>
      </c>
      <c r="AK63" s="24">
        <f>AK56-AK49</f>
      </c>
      <c r="AL63" s="24">
        <f>AL56-AL49</f>
      </c>
      <c r="AM63" s="19"/>
    </row>
    <row r="64" ht="12.75" customHeight="1" spans="2:39" x14ac:dyDescent="0.25">
      <c r="B64" s="16"/>
      <c r="C64" s="17"/>
      <c r="D64" s="17" t="s">
        <v>44</v>
      </c>
      <c r="E64" s="17"/>
      <c r="F64" s="17"/>
      <c r="G64" s="24">
        <f>G57-G50</f>
      </c>
      <c r="H64" s="24">
        <f>H57-H50</f>
      </c>
      <c r="I64" s="24">
        <f>I57-I50</f>
      </c>
      <c r="J64" s="24">
        <f>J57-J50</f>
      </c>
      <c r="K64" s="24">
        <f>K57-K50</f>
      </c>
      <c r="L64" s="24">
        <f>L57-L50</f>
      </c>
      <c r="M64" s="24">
        <f>M57-M50</f>
      </c>
      <c r="N64" s="24">
        <f>N57-N50</f>
      </c>
      <c r="O64" s="24">
        <f>O57-O50</f>
      </c>
      <c r="P64" s="24">
        <f>P57-P50</f>
      </c>
      <c r="Q64" s="24">
        <f>Q57-Q50</f>
      </c>
      <c r="R64" s="24">
        <f>R57-R50</f>
      </c>
      <c r="S64" s="24">
        <f>S57-S50</f>
      </c>
      <c r="T64" s="24">
        <f>T57-T50</f>
      </c>
      <c r="U64" s="24">
        <f>U57-U50</f>
      </c>
      <c r="V64" s="24">
        <f>V57-V50</f>
      </c>
      <c r="W64" s="24">
        <f>W57-W50</f>
      </c>
      <c r="X64" s="24">
        <f>X57-X50</f>
      </c>
      <c r="Y64" s="24">
        <f>Y57-Y50</f>
      </c>
      <c r="Z64" s="24">
        <f>Z57-Z50</f>
      </c>
      <c r="AA64" s="24">
        <f>AA57-AA50</f>
      </c>
      <c r="AB64" s="24">
        <f>AB57-AB50</f>
      </c>
      <c r="AC64" s="24">
        <f>AC57-AC50</f>
      </c>
      <c r="AD64" s="24">
        <f>AD57-AD50</f>
      </c>
      <c r="AE64" s="24">
        <f>AE57-AE50</f>
      </c>
      <c r="AF64" s="24">
        <f>AF57-AF50</f>
      </c>
      <c r="AG64" s="24">
        <f>AG57-AG50</f>
      </c>
      <c r="AH64" s="24">
        <f>AH57-AH50</f>
      </c>
      <c r="AI64" s="24">
        <f>AI57-AI50</f>
      </c>
      <c r="AJ64" s="24">
        <f>AJ57-AJ50</f>
      </c>
      <c r="AK64" s="24">
        <f>AK57-AK50</f>
      </c>
      <c r="AL64" s="24">
        <f>AL57-AL50</f>
      </c>
      <c r="AM64" s="19"/>
    </row>
    <row r="65" ht="12.75" customHeight="1" spans="2:39" x14ac:dyDescent="0.25">
      <c r="B65" s="20"/>
      <c r="C65" s="21"/>
      <c r="D65" s="21" t="s">
        <v>45</v>
      </c>
      <c r="E65" s="21"/>
      <c r="F65" s="21"/>
      <c r="G65" s="25">
        <f>G61+G62+G63+G64</f>
      </c>
      <c r="H65" s="25">
        <f>H61+H62+H63+H64</f>
      </c>
      <c r="I65" s="25">
        <f>I61+I62+I63+I64</f>
      </c>
      <c r="J65" s="25">
        <f>J61+J62+J63+J64</f>
      </c>
      <c r="K65" s="25">
        <f>K61+K62+K63+K64</f>
      </c>
      <c r="L65" s="25">
        <f>L61+L62+L63+L64</f>
      </c>
      <c r="M65" s="25">
        <f>M61+M62+M63+M64</f>
      </c>
      <c r="N65" s="25">
        <f>N61+N62+N63+N64</f>
      </c>
      <c r="O65" s="25">
        <f>O61+O62+O63+O64</f>
      </c>
      <c r="P65" s="25">
        <f>P61+P62+P63+P64</f>
      </c>
      <c r="Q65" s="25">
        <f>Q61+Q62+Q63+Q64</f>
      </c>
      <c r="R65" s="25">
        <f>R61+R62+R63+R64</f>
      </c>
      <c r="S65" s="25">
        <f>S61+S62+S63+S64</f>
      </c>
      <c r="T65" s="25">
        <f>T61+T62+T63+T64</f>
      </c>
      <c r="U65" s="25">
        <f>U61+U62+U63+U64</f>
      </c>
      <c r="V65" s="25">
        <f>V61+V62+V63+V64</f>
      </c>
      <c r="W65" s="25">
        <f>W61+W62+W63+W64</f>
      </c>
      <c r="X65" s="25">
        <f>X61+X62+X63+X64</f>
      </c>
      <c r="Y65" s="25">
        <f>Y61+Y62+Y63+Y64</f>
      </c>
      <c r="Z65" s="25">
        <f>Z61+Z62+Z63+Z64</f>
      </c>
      <c r="AA65" s="25">
        <f>AA61+AA62+AA63+AA64</f>
      </c>
      <c r="AB65" s="25">
        <f>AB61+AB62+AB63+AB64</f>
      </c>
      <c r="AC65" s="25">
        <f>AC61+AC62+AC63+AC64</f>
      </c>
      <c r="AD65" s="25">
        <f>AD61+AD62+AD63+AD64</f>
      </c>
      <c r="AE65" s="25">
        <f>AE61+AE62+AE63+AE64</f>
      </c>
      <c r="AF65" s="25">
        <f>AF61+AF62+AF63+AF64</f>
      </c>
      <c r="AG65" s="25">
        <f>AG61+AG62+AG63+AG64</f>
      </c>
      <c r="AH65" s="25">
        <f>AH61+AH62+AH63+AH64</f>
      </c>
      <c r="AI65" s="25">
        <f>AI61+AI62+AI63+AI64</f>
      </c>
      <c r="AJ65" s="25">
        <f>AJ61+AJ62+AJ63+AJ64</f>
      </c>
      <c r="AK65" s="25">
        <f>AK61+AK62+AK63+AK64</f>
      </c>
      <c r="AL65" s="25">
        <f>AL61+AL62+AL63+AL64</f>
      </c>
      <c r="AM6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2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2110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2111</v>
      </c>
      <c r="E9" s="32"/>
      <c r="F9" s="32"/>
      <c r="G9" s="32"/>
      <c r="H9" s="32"/>
      <c r="I9" s="36">
        <f>113.20+0.00</f>
        <v>113.2</v>
      </c>
      <c r="J9" s="33">
        <v>97.91</v>
      </c>
      <c r="K9" s="33">
        <v>83.27</v>
      </c>
      <c r="L9" s="33">
        <v>85.52</v>
      </c>
      <c r="M9" s="33">
        <v>60.78</v>
      </c>
      <c r="N9" s="33">
        <v>45.07</v>
      </c>
      <c r="O9" s="33">
        <v>40.57</v>
      </c>
      <c r="P9" s="33">
        <v>38.38</v>
      </c>
      <c r="Q9" s="33">
        <v>40.92</v>
      </c>
      <c r="R9" s="33">
        <v>37.26</v>
      </c>
      <c r="S9" s="33">
        <v>41.19</v>
      </c>
      <c r="T9" s="33">
        <v>54.89</v>
      </c>
      <c r="U9" s="33">
        <v>74.09</v>
      </c>
      <c r="V9" s="33">
        <v>68.82</v>
      </c>
      <c r="W9" s="33">
        <v>62.47</v>
      </c>
      <c r="X9" s="33">
        <v>62.9</v>
      </c>
      <c r="Y9" s="33">
        <v>60.92</v>
      </c>
      <c r="Z9" s="33">
        <v>65.13</v>
      </c>
      <c r="AA9" s="33">
        <v>59.22</v>
      </c>
      <c r="AB9" s="33">
        <v>57.86</v>
      </c>
      <c r="AC9" s="33">
        <v>67.41</v>
      </c>
      <c r="AD9" s="33">
        <v>67.44</v>
      </c>
      <c r="AE9" s="33">
        <v>71.69</v>
      </c>
      <c r="AF9" s="33">
        <v>92.86</v>
      </c>
      <c r="AG9" s="33">
        <v>98.92</v>
      </c>
      <c r="AH9" s="33">
        <v>81.28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2112</v>
      </c>
      <c r="E10" s="32"/>
      <c r="F10" s="32"/>
      <c r="G10" s="32"/>
      <c r="H10" s="32"/>
      <c r="I10" s="33">
        <v>29.29</v>
      </c>
      <c r="J10" s="33">
        <v>29.29</v>
      </c>
      <c r="K10" s="33">
        <v>29.29</v>
      </c>
      <c r="L10" s="33">
        <v>29.29</v>
      </c>
      <c r="M10" s="33">
        <v>29.29</v>
      </c>
      <c r="N10" s="33">
        <v>29.29</v>
      </c>
      <c r="O10" s="33">
        <v>29.29</v>
      </c>
      <c r="P10" s="33">
        <v>29.31</v>
      </c>
      <c r="Q10" s="33">
        <v>29.31</v>
      </c>
      <c r="R10" s="33">
        <v>29.31</v>
      </c>
      <c r="S10" s="33">
        <v>29.31</v>
      </c>
      <c r="T10" s="33">
        <v>29.31</v>
      </c>
      <c r="U10" s="33">
        <v>29.31</v>
      </c>
      <c r="V10" s="33">
        <v>29.31</v>
      </c>
      <c r="W10" s="33">
        <v>29.31</v>
      </c>
      <c r="X10" s="33">
        <v>29.3</v>
      </c>
      <c r="Y10" s="33">
        <v>29.3</v>
      </c>
      <c r="Z10" s="33">
        <v>29.3</v>
      </c>
      <c r="AA10" s="33">
        <v>29.3</v>
      </c>
      <c r="AB10" s="36">
        <f>29.31+16.40</f>
        <v>45.709999999999994</v>
      </c>
      <c r="AC10" s="32"/>
      <c r="AD10" s="32"/>
      <c r="AE10" s="32"/>
      <c r="AF10" s="32"/>
      <c r="AG10" s="32"/>
      <c r="AH10" s="32"/>
      <c r="AI10" s="32"/>
      <c r="AJ10" s="34">
        <f>SUM(E10:AI10)</f>
      </c>
      <c r="AK10" s="35"/>
    </row>
    <row r="11" ht="12.75" customHeight="1" spans="2:37" x14ac:dyDescent="0.25">
      <c r="B11" s="30" t="s">
        <v>41</v>
      </c>
      <c r="C11" s="31" t="s">
        <v>3</v>
      </c>
      <c r="D11" s="32" t="s">
        <v>2113</v>
      </c>
      <c r="E11" s="32"/>
      <c r="F11" s="32"/>
      <c r="G11" s="32"/>
      <c r="H11" s="33">
        <v>29.29</v>
      </c>
      <c r="I11" s="33">
        <v>34.09</v>
      </c>
      <c r="J11" s="33">
        <v>34.02</v>
      </c>
      <c r="K11" s="33">
        <v>65.3</v>
      </c>
      <c r="L11" s="33">
        <v>60.78</v>
      </c>
      <c r="M11" s="33">
        <v>31.57</v>
      </c>
      <c r="N11" s="33">
        <v>31.57</v>
      </c>
      <c r="O11" s="33">
        <v>29.29</v>
      </c>
      <c r="P11" s="33">
        <v>29.31</v>
      </c>
      <c r="Q11" s="33">
        <v>29.31</v>
      </c>
      <c r="R11" s="33">
        <v>29.31</v>
      </c>
      <c r="S11" s="33">
        <v>29.31</v>
      </c>
      <c r="T11" s="33">
        <v>31.3</v>
      </c>
      <c r="U11" s="33">
        <v>29.31</v>
      </c>
      <c r="V11" s="33">
        <v>95.19</v>
      </c>
      <c r="W11" s="33">
        <v>154.95</v>
      </c>
      <c r="X11" s="33">
        <v>68.84</v>
      </c>
      <c r="Y11" s="33">
        <v>56.99</v>
      </c>
      <c r="Z11" s="33">
        <v>47.22</v>
      </c>
      <c r="AA11" s="33">
        <v>45.26</v>
      </c>
      <c r="AB11" s="33">
        <v>37.54</v>
      </c>
      <c r="AC11" s="33">
        <v>39.89</v>
      </c>
      <c r="AD11" s="33">
        <v>61.09</v>
      </c>
      <c r="AE11" s="33">
        <v>78.04</v>
      </c>
      <c r="AF11" s="33">
        <v>97.12</v>
      </c>
      <c r="AG11" s="33">
        <v>130.53</v>
      </c>
      <c r="AH11" s="33">
        <v>124.87</v>
      </c>
      <c r="AI11" s="32"/>
      <c r="AJ11" s="34">
        <f>SUM(E11:AI11)</f>
      </c>
      <c r="AK11" s="35"/>
    </row>
    <row r="12" ht="12.75" customHeight="1" spans="2:37" x14ac:dyDescent="0.25">
      <c r="B12" s="30" t="s">
        <v>41</v>
      </c>
      <c r="C12" s="31" t="s">
        <v>3</v>
      </c>
      <c r="D12" s="32" t="s">
        <v>2114</v>
      </c>
      <c r="E12" s="32"/>
      <c r="F12" s="32"/>
      <c r="G12" s="32"/>
      <c r="H12" s="33">
        <v>11.41</v>
      </c>
      <c r="I12" s="33">
        <v>11.41</v>
      </c>
      <c r="J12" s="33">
        <v>11.41</v>
      </c>
      <c r="K12" s="33">
        <v>11.41</v>
      </c>
      <c r="L12" s="33">
        <v>11.41</v>
      </c>
      <c r="M12" s="33">
        <v>11.41</v>
      </c>
      <c r="N12" s="33">
        <v>11.41</v>
      </c>
      <c r="O12" s="33">
        <v>11.41</v>
      </c>
      <c r="P12" s="33">
        <v>11.42</v>
      </c>
      <c r="Q12" s="33">
        <v>11.42</v>
      </c>
      <c r="R12" s="33">
        <v>11.42</v>
      </c>
      <c r="S12" s="33">
        <v>11.42</v>
      </c>
      <c r="T12" s="33">
        <v>11.42</v>
      </c>
      <c r="U12" s="33">
        <v>11.42</v>
      </c>
      <c r="V12" s="33">
        <v>11.42</v>
      </c>
      <c r="W12" s="33">
        <v>11.42</v>
      </c>
      <c r="X12" s="33">
        <v>11.41</v>
      </c>
      <c r="Y12" s="33">
        <v>11.41</v>
      </c>
      <c r="Z12" s="33">
        <v>11.41</v>
      </c>
      <c r="AA12" s="33">
        <v>11.41</v>
      </c>
      <c r="AB12" s="33">
        <v>11.42</v>
      </c>
      <c r="AC12" s="33">
        <v>11.42</v>
      </c>
      <c r="AD12" s="33">
        <v>11.42</v>
      </c>
      <c r="AE12" s="33">
        <v>11.42</v>
      </c>
      <c r="AF12" s="33">
        <v>11.42</v>
      </c>
      <c r="AG12" s="33">
        <v>11.42</v>
      </c>
      <c r="AH12" s="33">
        <v>11.42</v>
      </c>
      <c r="AI12" s="32"/>
      <c r="AJ12" s="34">
        <f>SUM(E12:AI12)</f>
      </c>
      <c r="AK12" s="35"/>
    </row>
    <row r="13" ht="12.75" customHeight="1" spans="2:37" x14ac:dyDescent="0.25">
      <c r="B13" s="30" t="s">
        <v>41</v>
      </c>
      <c r="C13" s="31" t="s">
        <v>3</v>
      </c>
      <c r="D13" s="32" t="s">
        <v>2115</v>
      </c>
      <c r="E13" s="32"/>
      <c r="F13" s="32"/>
      <c r="G13" s="32"/>
      <c r="H13" s="32"/>
      <c r="I13" s="33">
        <v>30.05</v>
      </c>
      <c r="J13" s="33">
        <v>33.85</v>
      </c>
      <c r="K13" s="33">
        <v>24.86</v>
      </c>
      <c r="L13" s="33">
        <v>30.61</v>
      </c>
      <c r="M13" s="33">
        <v>26.78</v>
      </c>
      <c r="N13" s="33">
        <v>26.9</v>
      </c>
      <c r="O13" s="33">
        <v>21.12</v>
      </c>
      <c r="P13" s="33">
        <v>19.25</v>
      </c>
      <c r="Q13" s="33">
        <v>17.44</v>
      </c>
      <c r="R13" s="33">
        <v>16.46</v>
      </c>
      <c r="S13" s="33">
        <v>23.08</v>
      </c>
      <c r="T13" s="33">
        <v>26.32</v>
      </c>
      <c r="U13" s="33">
        <v>32.67</v>
      </c>
      <c r="V13" s="33">
        <v>30.24</v>
      </c>
      <c r="W13" s="33">
        <v>31.47</v>
      </c>
      <c r="X13" s="33">
        <v>32.64</v>
      </c>
      <c r="Y13" s="33">
        <v>29.37</v>
      </c>
      <c r="Z13" s="33">
        <v>27.87</v>
      </c>
      <c r="AA13" s="33">
        <v>22.95</v>
      </c>
      <c r="AB13" s="33">
        <v>16.51</v>
      </c>
      <c r="AC13" s="33">
        <v>18.49</v>
      </c>
      <c r="AD13" s="33">
        <v>23.85</v>
      </c>
      <c r="AE13" s="33">
        <v>27.4</v>
      </c>
      <c r="AF13" s="33">
        <v>39.81</v>
      </c>
      <c r="AG13" s="33">
        <v>39.66</v>
      </c>
      <c r="AH13" s="33">
        <v>33.96</v>
      </c>
      <c r="AI13" s="32"/>
      <c r="AJ13" s="34">
        <f>SUM(E13:AI13)</f>
      </c>
      <c r="AK13" s="35"/>
    </row>
    <row r="14" ht="12.75" customHeight="1" spans="2:37" x14ac:dyDescent="0.25">
      <c r="B14" s="30" t="s">
        <v>41</v>
      </c>
      <c r="C14" s="31" t="s">
        <v>3</v>
      </c>
      <c r="D14" s="32" t="s">
        <v>2116</v>
      </c>
      <c r="E14" s="32"/>
      <c r="F14" s="32"/>
      <c r="G14" s="32"/>
      <c r="H14" s="32"/>
      <c r="I14" s="33">
        <v>40.41</v>
      </c>
      <c r="J14" s="33">
        <v>35.89</v>
      </c>
      <c r="K14" s="33">
        <v>30.62</v>
      </c>
      <c r="L14" s="33">
        <v>26.78</v>
      </c>
      <c r="M14" s="33">
        <v>22.95</v>
      </c>
      <c r="N14" s="33">
        <v>21.11</v>
      </c>
      <c r="O14" s="33">
        <v>17.23</v>
      </c>
      <c r="P14" s="33">
        <v>17.31</v>
      </c>
      <c r="Q14" s="33">
        <v>19.44</v>
      </c>
      <c r="R14" s="33">
        <v>16.46</v>
      </c>
      <c r="S14" s="33">
        <v>23.08</v>
      </c>
      <c r="T14" s="33">
        <v>26.32</v>
      </c>
      <c r="U14" s="33">
        <v>31.02</v>
      </c>
      <c r="V14" s="33">
        <v>31.79</v>
      </c>
      <c r="W14" s="33">
        <v>24.3</v>
      </c>
      <c r="X14" s="33">
        <v>24.48</v>
      </c>
      <c r="Y14" s="33">
        <v>22.83</v>
      </c>
      <c r="Z14" s="33">
        <v>21.29</v>
      </c>
      <c r="AA14" s="33">
        <v>18.01</v>
      </c>
      <c r="AB14" s="33">
        <v>16.51</v>
      </c>
      <c r="AC14" s="33">
        <v>20.28</v>
      </c>
      <c r="AD14" s="33">
        <v>20.29</v>
      </c>
      <c r="AE14" s="33">
        <v>22.05</v>
      </c>
      <c r="AF14" s="33">
        <v>29.16</v>
      </c>
      <c r="AG14" s="33">
        <v>30.83</v>
      </c>
      <c r="AH14" s="33">
        <v>28.75</v>
      </c>
      <c r="AI14" s="32"/>
      <c r="AJ14" s="34">
        <f>SUM(E14:AI14)</f>
      </c>
      <c r="AK14" s="35"/>
    </row>
    <row r="15" ht="12.75" customHeight="1" spans="2:37" x14ac:dyDescent="0.25">
      <c r="B15" s="30" t="s">
        <v>41</v>
      </c>
      <c r="C15" s="31" t="s">
        <v>3</v>
      </c>
      <c r="D15" s="32" t="s">
        <v>2117</v>
      </c>
      <c r="E15" s="32"/>
      <c r="F15" s="32"/>
      <c r="G15" s="32"/>
      <c r="H15" s="32"/>
      <c r="I15" s="33">
        <v>50.73</v>
      </c>
      <c r="J15" s="33">
        <v>66.5</v>
      </c>
      <c r="K15" s="33">
        <v>57.53</v>
      </c>
      <c r="L15" s="33">
        <v>59.47</v>
      </c>
      <c r="M15" s="33">
        <v>55.61</v>
      </c>
      <c r="N15" s="33">
        <v>46.26</v>
      </c>
      <c r="O15" s="33">
        <v>40.5</v>
      </c>
      <c r="P15" s="33">
        <v>40.66</v>
      </c>
      <c r="Q15" s="33">
        <v>43.49</v>
      </c>
      <c r="R15" s="33">
        <v>35.85</v>
      </c>
      <c r="S15" s="33">
        <v>41.42</v>
      </c>
      <c r="T15" s="33">
        <v>59.44</v>
      </c>
      <c r="U15" s="33">
        <v>78.45</v>
      </c>
      <c r="V15" s="33">
        <v>52.23</v>
      </c>
      <c r="W15" s="33">
        <v>47.22</v>
      </c>
      <c r="X15" s="33">
        <v>48.96</v>
      </c>
      <c r="Y15" s="33">
        <v>47.34</v>
      </c>
      <c r="Z15" s="33">
        <v>49.28</v>
      </c>
      <c r="AA15" s="33">
        <v>41.13</v>
      </c>
      <c r="AB15" s="33">
        <v>38.43</v>
      </c>
      <c r="AC15" s="33">
        <v>46.87</v>
      </c>
      <c r="AD15" s="33">
        <v>48.67</v>
      </c>
      <c r="AE15" s="33">
        <v>57.57</v>
      </c>
      <c r="AF15" s="33">
        <v>82.4</v>
      </c>
      <c r="AG15" s="33">
        <v>83.78</v>
      </c>
      <c r="AH15" s="33">
        <v>68.66</v>
      </c>
      <c r="AI15" s="32"/>
      <c r="AJ15" s="34">
        <f>SUM(E15:AI15)</f>
      </c>
      <c r="AK15" s="35"/>
    </row>
    <row r="16" ht="12.75" customHeight="1" spans="2:37" x14ac:dyDescent="0.25">
      <c r="B16" s="30" t="s">
        <v>41</v>
      </c>
      <c r="C16" s="31" t="s">
        <v>3</v>
      </c>
      <c r="D16" s="32" t="s">
        <v>2118</v>
      </c>
      <c r="E16" s="32"/>
      <c r="F16" s="32"/>
      <c r="G16" s="32"/>
      <c r="H16" s="32"/>
      <c r="I16" s="33">
        <v>36.26</v>
      </c>
      <c r="J16" s="33">
        <v>52.18</v>
      </c>
      <c r="K16" s="33">
        <v>36.41</v>
      </c>
      <c r="L16" s="33">
        <v>17.17</v>
      </c>
      <c r="M16" s="33">
        <v>19.11</v>
      </c>
      <c r="N16" s="33">
        <v>19.16</v>
      </c>
      <c r="O16" s="33">
        <v>17.23</v>
      </c>
      <c r="P16" s="33">
        <v>19.25</v>
      </c>
      <c r="Q16" s="33">
        <v>19.44</v>
      </c>
      <c r="R16" s="33">
        <v>18.11</v>
      </c>
      <c r="S16" s="33">
        <v>16.43</v>
      </c>
      <c r="T16" s="33">
        <v>18.04</v>
      </c>
      <c r="U16" s="33">
        <v>17.97</v>
      </c>
      <c r="V16" s="33">
        <v>17.69</v>
      </c>
      <c r="W16" s="33">
        <v>17.15</v>
      </c>
      <c r="X16" s="33">
        <v>16.33</v>
      </c>
      <c r="Y16" s="33">
        <v>17.93</v>
      </c>
      <c r="Z16" s="33">
        <v>16.38</v>
      </c>
      <c r="AA16" s="33">
        <v>18.01</v>
      </c>
      <c r="AB16" s="33">
        <v>18.25</v>
      </c>
      <c r="AC16" s="33">
        <v>18.49</v>
      </c>
      <c r="AD16" s="33">
        <v>16.76</v>
      </c>
      <c r="AE16" s="33">
        <v>18.5</v>
      </c>
      <c r="AF16" s="33">
        <v>18.5</v>
      </c>
      <c r="AG16" s="33">
        <v>18.47</v>
      </c>
      <c r="AH16" s="33">
        <v>18.35</v>
      </c>
      <c r="AI16" s="32"/>
      <c r="AJ16" s="34">
        <f>SUM(E16:AI16)</f>
      </c>
      <c r="AK16" s="35"/>
    </row>
    <row r="17" ht="12.75" customHeight="1" spans="2:37" x14ac:dyDescent="0.25">
      <c r="B17" s="30" t="s">
        <v>41</v>
      </c>
      <c r="C17" s="31" t="s">
        <v>3</v>
      </c>
      <c r="D17" s="32" t="s">
        <v>2119</v>
      </c>
      <c r="E17" s="32"/>
      <c r="F17" s="32"/>
      <c r="G17" s="32"/>
      <c r="H17" s="32"/>
      <c r="I17" s="33">
        <v>44.55</v>
      </c>
      <c r="J17" s="33">
        <v>33.85</v>
      </c>
      <c r="K17" s="33">
        <v>28.71</v>
      </c>
      <c r="L17" s="33">
        <v>26.78</v>
      </c>
      <c r="M17" s="33">
        <v>24.86</v>
      </c>
      <c r="N17" s="33">
        <v>26.9</v>
      </c>
      <c r="O17" s="33">
        <v>26.92</v>
      </c>
      <c r="P17" s="33">
        <v>15.37</v>
      </c>
      <c r="Q17" s="33">
        <v>19.44</v>
      </c>
      <c r="R17" s="33">
        <v>18.11</v>
      </c>
      <c r="S17" s="33">
        <v>21.42</v>
      </c>
      <c r="T17" s="33">
        <v>24.66</v>
      </c>
      <c r="U17" s="33">
        <v>24.49</v>
      </c>
      <c r="V17" s="33">
        <v>25.54</v>
      </c>
      <c r="W17" s="33">
        <v>21.44</v>
      </c>
      <c r="X17" s="33">
        <v>22.83</v>
      </c>
      <c r="Y17" s="33">
        <v>21.21</v>
      </c>
      <c r="Z17" s="33">
        <v>21.29</v>
      </c>
      <c r="AA17" s="33">
        <v>18.01</v>
      </c>
      <c r="AB17" s="33">
        <v>18.25</v>
      </c>
      <c r="AC17" s="33">
        <v>20.28</v>
      </c>
      <c r="AD17" s="33">
        <v>20.29</v>
      </c>
      <c r="AE17" s="33">
        <v>23.86</v>
      </c>
      <c r="AF17" s="33">
        <v>30.94</v>
      </c>
      <c r="AG17" s="33">
        <v>27.31</v>
      </c>
      <c r="AH17" s="33">
        <v>27.03</v>
      </c>
      <c r="AI17" s="32"/>
      <c r="AJ17" s="34">
        <f>SUM(E17:AI17)</f>
      </c>
      <c r="AK17" s="35"/>
    </row>
    <row r="18" ht="12.75" customHeight="1" spans="2:37" x14ac:dyDescent="0.25">
      <c r="B18" s="30" t="s">
        <v>41</v>
      </c>
      <c r="C18" s="31" t="s">
        <v>3</v>
      </c>
      <c r="D18" s="32" t="s">
        <v>2120</v>
      </c>
      <c r="E18" s="32"/>
      <c r="F18" s="32"/>
      <c r="G18" s="32"/>
      <c r="H18" s="32"/>
      <c r="I18" s="33">
        <v>36.26</v>
      </c>
      <c r="J18" s="33">
        <v>35.89</v>
      </c>
      <c r="K18" s="33">
        <v>30.62</v>
      </c>
      <c r="L18" s="33">
        <v>30.61</v>
      </c>
      <c r="M18" s="33">
        <v>28.71</v>
      </c>
      <c r="N18" s="33">
        <v>30.75</v>
      </c>
      <c r="O18" s="33">
        <v>26.92</v>
      </c>
      <c r="P18" s="33">
        <v>28.94</v>
      </c>
      <c r="Q18" s="33">
        <v>29.45</v>
      </c>
      <c r="R18" s="33">
        <v>25.14</v>
      </c>
      <c r="S18" s="33">
        <v>29.76</v>
      </c>
      <c r="T18" s="33">
        <v>29.64</v>
      </c>
      <c r="U18" s="33">
        <v>32.67</v>
      </c>
      <c r="V18" s="33">
        <v>28.7</v>
      </c>
      <c r="W18" s="33">
        <v>25.71</v>
      </c>
      <c r="X18" s="33">
        <v>24.48</v>
      </c>
      <c r="Y18" s="33">
        <v>19.58</v>
      </c>
      <c r="Z18" s="33">
        <v>16.38</v>
      </c>
      <c r="AA18" s="33">
        <v>18.01</v>
      </c>
      <c r="AB18" s="33">
        <v>14.84</v>
      </c>
      <c r="AC18" s="33">
        <v>18.49</v>
      </c>
      <c r="AD18" s="33">
        <v>20.29</v>
      </c>
      <c r="AE18" s="33">
        <v>23.86</v>
      </c>
      <c r="AF18" s="33">
        <v>30.94</v>
      </c>
      <c r="AG18" s="33">
        <v>34.37</v>
      </c>
      <c r="AH18" s="33">
        <v>32.21</v>
      </c>
      <c r="AI18" s="32"/>
      <c r="AJ18" s="34">
        <f>SUM(E18:AI18)</f>
      </c>
      <c r="AK18" s="35"/>
    </row>
    <row r="19" ht="12.75" customHeight="1" spans="2:37" x14ac:dyDescent="0.25">
      <c r="B19" s="30" t="s">
        <v>41</v>
      </c>
      <c r="C19" s="31" t="s">
        <v>3</v>
      </c>
      <c r="D19" s="32" t="s">
        <v>2121</v>
      </c>
      <c r="E19" s="32"/>
      <c r="F19" s="32"/>
      <c r="G19" s="32"/>
      <c r="H19" s="32"/>
      <c r="I19" s="33">
        <v>52.81</v>
      </c>
      <c r="J19" s="33">
        <v>52.18</v>
      </c>
      <c r="K19" s="33">
        <v>51.78</v>
      </c>
      <c r="L19" s="33">
        <v>38.32</v>
      </c>
      <c r="M19" s="33">
        <v>26.78</v>
      </c>
      <c r="N19" s="33">
        <v>28.84</v>
      </c>
      <c r="O19" s="33">
        <v>23.04</v>
      </c>
      <c r="P19" s="33">
        <v>23.12</v>
      </c>
      <c r="Q19" s="33">
        <v>25.44</v>
      </c>
      <c r="R19" s="33">
        <v>23.47</v>
      </c>
      <c r="S19" s="33">
        <v>29.76</v>
      </c>
      <c r="T19" s="33">
        <v>37.91</v>
      </c>
      <c r="U19" s="33">
        <v>35.94</v>
      </c>
      <c r="V19" s="33">
        <v>33.38</v>
      </c>
      <c r="W19" s="33">
        <v>30.03</v>
      </c>
      <c r="X19" s="33">
        <v>30.99</v>
      </c>
      <c r="Y19" s="33">
        <v>26.12</v>
      </c>
      <c r="Z19" s="33">
        <v>24.57</v>
      </c>
      <c r="AA19" s="33">
        <v>22.95</v>
      </c>
      <c r="AB19" s="33">
        <v>21.56</v>
      </c>
      <c r="AC19" s="33">
        <v>23.84</v>
      </c>
      <c r="AD19" s="33">
        <v>29.16</v>
      </c>
      <c r="AE19" s="33">
        <v>32.7</v>
      </c>
      <c r="AF19" s="33">
        <v>36.26</v>
      </c>
      <c r="AG19" s="33">
        <v>41.42</v>
      </c>
      <c r="AH19" s="33">
        <v>35.68</v>
      </c>
      <c r="AI19" s="32"/>
      <c r="AJ19" s="34">
        <f>SUM(E19:AI19)</f>
      </c>
      <c r="AK19" s="35"/>
    </row>
    <row r="20" ht="12.75" customHeight="1" spans="2:37" x14ac:dyDescent="0.25">
      <c r="B20" s="30" t="s">
        <v>41</v>
      </c>
      <c r="C20" s="31" t="s">
        <v>3</v>
      </c>
      <c r="D20" s="32" t="s">
        <v>2122</v>
      </c>
      <c r="E20" s="32"/>
      <c r="F20" s="32"/>
      <c r="G20" s="32"/>
      <c r="H20" s="33">
        <v>11.41</v>
      </c>
      <c r="I20" s="33">
        <v>11.41</v>
      </c>
      <c r="J20" s="33">
        <v>11.41</v>
      </c>
      <c r="K20" s="33">
        <v>11.41</v>
      </c>
      <c r="L20" s="33">
        <v>11.41</v>
      </c>
      <c r="M20" s="33">
        <v>11.41</v>
      </c>
      <c r="N20" s="33">
        <v>11.41</v>
      </c>
      <c r="O20" s="33">
        <v>11.41</v>
      </c>
      <c r="P20" s="33">
        <v>11.42</v>
      </c>
      <c r="Q20" s="33">
        <v>11.42</v>
      </c>
      <c r="R20" s="33">
        <v>11.42</v>
      </c>
      <c r="S20" s="33">
        <v>11.42</v>
      </c>
      <c r="T20" s="33">
        <v>11.42</v>
      </c>
      <c r="U20" s="33">
        <v>11.42</v>
      </c>
      <c r="V20" s="33">
        <v>11.42</v>
      </c>
      <c r="W20" s="33">
        <v>11.42</v>
      </c>
      <c r="X20" s="33">
        <v>11.41</v>
      </c>
      <c r="Y20" s="33">
        <v>11.41</v>
      </c>
      <c r="Z20" s="33">
        <v>11.41</v>
      </c>
      <c r="AA20" s="33">
        <v>11.41</v>
      </c>
      <c r="AB20" s="33">
        <v>11.42</v>
      </c>
      <c r="AC20" s="33">
        <v>11.42</v>
      </c>
      <c r="AD20" s="33">
        <v>11.42</v>
      </c>
      <c r="AE20" s="33">
        <v>11.42</v>
      </c>
      <c r="AF20" s="33">
        <v>11.42</v>
      </c>
      <c r="AG20" s="33">
        <v>11.42</v>
      </c>
      <c r="AH20" s="33">
        <v>11.42</v>
      </c>
      <c r="AI20" s="32"/>
      <c r="AJ20" s="34">
        <f>SUM(E20:AI20)</f>
      </c>
      <c r="AK20" s="35"/>
    </row>
    <row r="21" ht="12.75" customHeight="1" spans="2:37" x14ac:dyDescent="0.25">
      <c r="B21" s="30" t="s">
        <v>41</v>
      </c>
      <c r="C21" s="31" t="s">
        <v>3</v>
      </c>
      <c r="D21" s="32" t="s">
        <v>2123</v>
      </c>
      <c r="E21" s="32"/>
      <c r="F21" s="32"/>
      <c r="G21" s="32"/>
      <c r="H21" s="33">
        <v>11.41</v>
      </c>
      <c r="I21" s="33">
        <v>11.41</v>
      </c>
      <c r="J21" s="33">
        <v>11.41</v>
      </c>
      <c r="K21" s="33">
        <v>11.41</v>
      </c>
      <c r="L21" s="33">
        <v>11.41</v>
      </c>
      <c r="M21" s="33">
        <v>11.41</v>
      </c>
      <c r="N21" s="33">
        <v>11.41</v>
      </c>
      <c r="O21" s="33">
        <v>11.41</v>
      </c>
      <c r="P21" s="33">
        <v>11.42</v>
      </c>
      <c r="Q21" s="33">
        <v>11.42</v>
      </c>
      <c r="R21" s="33">
        <v>11.42</v>
      </c>
      <c r="S21" s="33">
        <v>11.42</v>
      </c>
      <c r="T21" s="33">
        <v>11.42</v>
      </c>
      <c r="U21" s="33">
        <v>11.42</v>
      </c>
      <c r="V21" s="33">
        <v>11.42</v>
      </c>
      <c r="W21" s="33">
        <v>11.42</v>
      </c>
      <c r="X21" s="33">
        <v>11.41</v>
      </c>
      <c r="Y21" s="33">
        <v>11.41</v>
      </c>
      <c r="Z21" s="33">
        <v>13.07</v>
      </c>
      <c r="AA21" s="33">
        <v>11.41</v>
      </c>
      <c r="AB21" s="33">
        <v>11.42</v>
      </c>
      <c r="AC21" s="33">
        <v>11.42</v>
      </c>
      <c r="AD21" s="33">
        <v>11.42</v>
      </c>
      <c r="AE21" s="33">
        <v>11.42</v>
      </c>
      <c r="AF21" s="33">
        <v>11.42</v>
      </c>
      <c r="AG21" s="33">
        <v>11.42</v>
      </c>
      <c r="AH21" s="33">
        <v>11.42</v>
      </c>
      <c r="AI21" s="32"/>
      <c r="AJ21" s="34">
        <f>SUM(E21:AI21)</f>
      </c>
      <c r="AK21" s="35"/>
    </row>
    <row r="22" ht="12.75" customHeight="1" spans="2:37" x14ac:dyDescent="0.25">
      <c r="B22" s="30" t="s">
        <v>41</v>
      </c>
      <c r="C22" s="31" t="s">
        <v>3</v>
      </c>
      <c r="D22" s="32" t="s">
        <v>2124</v>
      </c>
      <c r="E22" s="32"/>
      <c r="F22" s="32"/>
      <c r="G22" s="32"/>
      <c r="H22" s="32"/>
      <c r="I22" s="33">
        <v>36.26</v>
      </c>
      <c r="J22" s="33">
        <v>37.94</v>
      </c>
      <c r="K22" s="33">
        <v>30.62</v>
      </c>
      <c r="L22" s="33">
        <v>30.61</v>
      </c>
      <c r="M22" s="33">
        <v>28.71</v>
      </c>
      <c r="N22" s="33">
        <v>28.84</v>
      </c>
      <c r="O22" s="33">
        <v>26.92</v>
      </c>
      <c r="P22" s="33">
        <v>27</v>
      </c>
      <c r="Q22" s="33">
        <v>29.45</v>
      </c>
      <c r="R22" s="33">
        <v>25.14</v>
      </c>
      <c r="S22" s="33">
        <v>29.76</v>
      </c>
      <c r="T22" s="33">
        <v>32.93</v>
      </c>
      <c r="U22" s="33">
        <v>31.02</v>
      </c>
      <c r="V22" s="33">
        <v>31.79</v>
      </c>
      <c r="W22" s="33">
        <v>28.61</v>
      </c>
      <c r="X22" s="33">
        <v>29.37</v>
      </c>
      <c r="Y22" s="33">
        <v>27.73</v>
      </c>
      <c r="Z22" s="33">
        <v>26.22</v>
      </c>
      <c r="AA22" s="33">
        <v>26.26</v>
      </c>
      <c r="AB22" s="33">
        <v>21.56</v>
      </c>
      <c r="AC22" s="33">
        <v>22.04</v>
      </c>
      <c r="AD22" s="33">
        <v>23.85</v>
      </c>
      <c r="AE22" s="33">
        <v>27.4</v>
      </c>
      <c r="AF22" s="33">
        <v>32.7</v>
      </c>
      <c r="AG22" s="33">
        <v>39.66</v>
      </c>
      <c r="AH22" s="33">
        <v>33.96</v>
      </c>
      <c r="AI22" s="32"/>
      <c r="AJ22" s="34">
        <f>SUM(E22:AI22)</f>
      </c>
      <c r="AK22" s="35"/>
    </row>
    <row r="23" ht="12.75" customHeight="1" spans="2:37" x14ac:dyDescent="0.25">
      <c r="B23" s="30" t="s">
        <v>41</v>
      </c>
      <c r="C23" s="31" t="s">
        <v>3</v>
      </c>
      <c r="D23" s="32" t="s">
        <v>2125</v>
      </c>
      <c r="E23" s="32"/>
      <c r="F23" s="32"/>
      <c r="G23" s="32"/>
      <c r="H23" s="32"/>
      <c r="I23" s="33">
        <v>27.95</v>
      </c>
      <c r="J23" s="33">
        <v>25.68</v>
      </c>
      <c r="K23" s="33">
        <v>22.95</v>
      </c>
      <c r="L23" s="33">
        <v>22.95</v>
      </c>
      <c r="M23" s="33">
        <v>21.04</v>
      </c>
      <c r="N23" s="33">
        <v>19.16</v>
      </c>
      <c r="O23" s="33">
        <v>19.17</v>
      </c>
      <c r="P23" s="33">
        <v>17.31</v>
      </c>
      <c r="Q23" s="33">
        <v>19.44</v>
      </c>
      <c r="R23" s="33">
        <v>18.11</v>
      </c>
      <c r="S23" s="33">
        <v>23.08</v>
      </c>
      <c r="T23" s="33">
        <v>21.36</v>
      </c>
      <c r="U23" s="33">
        <v>24.49</v>
      </c>
      <c r="V23" s="33">
        <v>22.38</v>
      </c>
      <c r="W23" s="33">
        <v>20.01</v>
      </c>
      <c r="X23" s="33">
        <v>19.58</v>
      </c>
      <c r="Y23" s="33">
        <v>19.58</v>
      </c>
      <c r="Z23" s="33">
        <v>19.66</v>
      </c>
      <c r="AA23" s="33">
        <v>18.01</v>
      </c>
      <c r="AB23" s="33">
        <v>19.92</v>
      </c>
      <c r="AC23" s="33">
        <v>23.84</v>
      </c>
      <c r="AD23" s="33">
        <v>27.4</v>
      </c>
      <c r="AE23" s="33">
        <v>30.94</v>
      </c>
      <c r="AF23" s="33">
        <v>34.5</v>
      </c>
      <c r="AG23" s="33">
        <v>36.12</v>
      </c>
      <c r="AH23" s="33">
        <v>32.21</v>
      </c>
      <c r="AI23" s="32"/>
      <c r="AJ23" s="34">
        <f>SUM(E23:AI23)</f>
      </c>
      <c r="AK23" s="35"/>
    </row>
    <row r="24" ht="12.75" customHeight="1" spans="2:37" x14ac:dyDescent="0.25">
      <c r="B24" s="30" t="s">
        <v>41</v>
      </c>
      <c r="C24" s="31" t="s">
        <v>3</v>
      </c>
      <c r="D24" s="32" t="s">
        <v>2126</v>
      </c>
      <c r="E24" s="32"/>
      <c r="F24" s="32"/>
      <c r="G24" s="32"/>
      <c r="H24" s="32"/>
      <c r="I24" s="33">
        <v>3179.76</v>
      </c>
      <c r="J24" s="33">
        <v>3300.77</v>
      </c>
      <c r="K24" s="33">
        <v>2514.44</v>
      </c>
      <c r="L24" s="33">
        <v>1962.1</v>
      </c>
      <c r="M24" s="33">
        <v>1446.81</v>
      </c>
      <c r="N24" s="33">
        <v>787.78</v>
      </c>
      <c r="O24" s="33">
        <v>217.59</v>
      </c>
      <c r="P24" s="33">
        <v>253.08</v>
      </c>
      <c r="Q24" s="33">
        <v>494.6</v>
      </c>
      <c r="R24" s="33">
        <v>526.31</v>
      </c>
      <c r="S24" s="33">
        <v>2369.58</v>
      </c>
      <c r="T24" s="33">
        <v>1645.34</v>
      </c>
      <c r="U24" s="33">
        <v>1523.9</v>
      </c>
      <c r="V24" s="33">
        <v>2109.41</v>
      </c>
      <c r="W24" s="33">
        <v>1461.77</v>
      </c>
      <c r="X24" s="33">
        <v>1344.39</v>
      </c>
      <c r="Y24" s="33">
        <v>1062</v>
      </c>
      <c r="Z24" s="33">
        <v>377.35</v>
      </c>
      <c r="AA24" s="33">
        <v>251.05</v>
      </c>
      <c r="AB24" s="33">
        <v>202.79</v>
      </c>
      <c r="AC24" s="33">
        <v>250.62</v>
      </c>
      <c r="AD24" s="33">
        <v>1036.72</v>
      </c>
      <c r="AE24" s="33">
        <v>1604.33</v>
      </c>
      <c r="AF24" s="33">
        <v>2186.49</v>
      </c>
      <c r="AG24" s="33">
        <v>2263.6</v>
      </c>
      <c r="AH24" s="33">
        <v>1605.08</v>
      </c>
      <c r="AI24" s="32"/>
      <c r="AJ24" s="34">
        <f>SUM(E24:AI24)</f>
      </c>
      <c r="AK24" s="35"/>
    </row>
    <row r="25" ht="12.75" customHeight="1" spans="2:37" x14ac:dyDescent="0.25">
      <c r="B25" s="30" t="s">
        <v>41</v>
      </c>
      <c r="C25" s="31" t="s">
        <v>3</v>
      </c>
      <c r="D25" s="32" t="s">
        <v>2127</v>
      </c>
      <c r="E25" s="32"/>
      <c r="F25" s="32"/>
      <c r="G25" s="32"/>
      <c r="H25" s="33">
        <v>46.34</v>
      </c>
      <c r="I25" s="33">
        <v>46.34</v>
      </c>
      <c r="J25" s="33">
        <v>649.28</v>
      </c>
      <c r="K25" s="33">
        <v>1181.94</v>
      </c>
      <c r="L25" s="33">
        <v>904.89</v>
      </c>
      <c r="M25" s="33">
        <v>606.71</v>
      </c>
      <c r="N25" s="33">
        <v>245.6</v>
      </c>
      <c r="O25" s="33">
        <v>46.34</v>
      </c>
      <c r="P25" s="33">
        <v>46.37</v>
      </c>
      <c r="Q25" s="33">
        <v>264.95</v>
      </c>
      <c r="R25" s="33">
        <v>407.21</v>
      </c>
      <c r="S25" s="33">
        <v>967.65</v>
      </c>
      <c r="T25" s="33">
        <v>1150.49</v>
      </c>
      <c r="U25" s="33">
        <v>1288.1</v>
      </c>
      <c r="V25" s="33">
        <v>937.22</v>
      </c>
      <c r="W25" s="33">
        <v>655.96</v>
      </c>
      <c r="X25" s="33">
        <v>340.95</v>
      </c>
      <c r="Y25" s="33">
        <v>255.77</v>
      </c>
      <c r="Z25" s="33">
        <v>48.48</v>
      </c>
      <c r="AA25" s="33">
        <v>46.36</v>
      </c>
      <c r="AB25" s="33">
        <v>46.38</v>
      </c>
      <c r="AC25" s="33">
        <v>46.38</v>
      </c>
      <c r="AD25" s="33">
        <v>59.49</v>
      </c>
      <c r="AE25" s="33">
        <v>180.07</v>
      </c>
      <c r="AF25" s="33">
        <v>310.12</v>
      </c>
      <c r="AG25" s="33">
        <v>130.42</v>
      </c>
      <c r="AH25" s="33">
        <v>161.64</v>
      </c>
      <c r="AI25" s="32"/>
      <c r="AJ25" s="34">
        <f>SUM(E25:AI25)</f>
      </c>
      <c r="AK25" s="35"/>
    </row>
    <row r="26" ht="12.75" customHeight="1" spans="2:37" x14ac:dyDescent="0.25">
      <c r="B26" s="30" t="s">
        <v>41</v>
      </c>
      <c r="C26" s="31" t="s">
        <v>3</v>
      </c>
      <c r="D26" s="32" t="s">
        <v>2128</v>
      </c>
      <c r="E26" s="32"/>
      <c r="F26" s="32"/>
      <c r="G26" s="32"/>
      <c r="H26" s="33">
        <v>11.41</v>
      </c>
      <c r="I26" s="33">
        <v>23.84</v>
      </c>
      <c r="J26" s="36">
        <f>17.53+4.20</f>
        <v>21.73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0" t="s">
        <v>41</v>
      </c>
      <c r="C27" s="31" t="s">
        <v>3</v>
      </c>
      <c r="D27" s="32" t="s">
        <v>2129</v>
      </c>
      <c r="E27" s="32"/>
      <c r="F27" s="32"/>
      <c r="G27" s="32"/>
      <c r="H27" s="33">
        <v>11.41</v>
      </c>
      <c r="I27" s="33">
        <v>11.41</v>
      </c>
      <c r="J27" s="33">
        <v>11.41</v>
      </c>
      <c r="K27" s="33">
        <v>11.41</v>
      </c>
      <c r="L27" s="33">
        <v>11.41</v>
      </c>
      <c r="M27" s="33">
        <v>11.41</v>
      </c>
      <c r="N27" s="33">
        <v>11.41</v>
      </c>
      <c r="O27" s="33">
        <v>9.01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4">
        <f>SUM(E27:AI27)</f>
      </c>
      <c r="AK27" s="35"/>
    </row>
    <row r="28" ht="12.75" customHeight="1" spans="2:37" x14ac:dyDescent="0.25">
      <c r="B28" s="30" t="s">
        <v>41</v>
      </c>
      <c r="C28" s="31" t="s">
        <v>3</v>
      </c>
      <c r="D28" s="32" t="s">
        <v>2130</v>
      </c>
      <c r="E28" s="32"/>
      <c r="F28" s="32"/>
      <c r="G28" s="32"/>
      <c r="H28" s="33">
        <v>11.41</v>
      </c>
      <c r="I28" s="33">
        <v>11.41</v>
      </c>
      <c r="J28" s="33">
        <v>11.41</v>
      </c>
      <c r="K28" s="33">
        <v>11.41</v>
      </c>
      <c r="L28" s="33">
        <v>11.41</v>
      </c>
      <c r="M28" s="33">
        <v>11.41</v>
      </c>
      <c r="N28" s="33">
        <v>11.41</v>
      </c>
      <c r="O28" s="33">
        <v>11.41</v>
      </c>
      <c r="P28" s="33">
        <v>11.42</v>
      </c>
      <c r="Q28" s="33">
        <v>11.42</v>
      </c>
      <c r="R28" s="33">
        <v>13.1</v>
      </c>
      <c r="S28" s="33">
        <v>33.07</v>
      </c>
      <c r="T28" s="33">
        <v>19.71</v>
      </c>
      <c r="U28" s="36">
        <f>11.42+6.46</f>
        <v>17.88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4">
        <f>SUM(E28:AI28)</f>
      </c>
      <c r="AK28" s="35"/>
    </row>
    <row r="29" ht="12.75" customHeight="1" spans="2:37" x14ac:dyDescent="0.25">
      <c r="B29" s="37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</row>
    <row r="30" ht="12.75" customHeight="1" spans="2:37" x14ac:dyDescent="0.25">
      <c r="B30" s="20" t="s">
        <v>64</v>
      </c>
      <c r="C30" s="21"/>
      <c r="D30" s="21"/>
      <c r="E30" s="22">
        <f>SUM(E9:E28)</f>
      </c>
      <c r="F30" s="22">
        <f>SUM(F9:F28)</f>
      </c>
      <c r="G30" s="22">
        <f>SUM(G9:G28)</f>
      </c>
      <c r="H30" s="22">
        <f>SUM(H9:H28)</f>
      </c>
      <c r="I30" s="22">
        <f>SUM(I9:I28)</f>
      </c>
      <c r="J30" s="22">
        <f>SUM(J9:J28)</f>
      </c>
      <c r="K30" s="22">
        <f>SUM(K9:K28)</f>
      </c>
      <c r="L30" s="22">
        <f>SUM(L9:L28)</f>
      </c>
      <c r="M30" s="22">
        <f>SUM(M9:M28)</f>
      </c>
      <c r="N30" s="22">
        <f>SUM(N9:N28)</f>
      </c>
      <c r="O30" s="22">
        <f>SUM(O9:O28)</f>
      </c>
      <c r="P30" s="22">
        <f>SUM(P9:P28)</f>
      </c>
      <c r="Q30" s="22">
        <f>SUM(Q9:Q28)</f>
      </c>
      <c r="R30" s="22">
        <f>SUM(R9:R28)</f>
      </c>
      <c r="S30" s="22">
        <f>SUM(S9:S28)</f>
      </c>
      <c r="T30" s="22">
        <f>SUM(T9:T28)</f>
      </c>
      <c r="U30" s="22">
        <f>SUM(U9:U28)</f>
      </c>
      <c r="V30" s="22">
        <f>SUM(V9:V28)</f>
      </c>
      <c r="W30" s="22">
        <f>SUM(W9:W28)</f>
      </c>
      <c r="X30" s="22">
        <f>SUM(X9:X28)</f>
      </c>
      <c r="Y30" s="22">
        <f>SUM(Y9:Y28)</f>
      </c>
      <c r="Z30" s="22">
        <f>SUM(Z9:Z28)</f>
      </c>
      <c r="AA30" s="22">
        <f>SUM(AA9:AA28)</f>
      </c>
      <c r="AB30" s="22">
        <f>SUM(AB9:AB28)</f>
      </c>
      <c r="AC30" s="22">
        <f>SUM(AC9:AC28)</f>
      </c>
      <c r="AD30" s="22">
        <f>SUM(AD9:AD28)</f>
      </c>
      <c r="AE30" s="22">
        <f>SUM(AE9:AE28)</f>
      </c>
      <c r="AF30" s="22">
        <f>SUM(AF9:AF28)</f>
      </c>
      <c r="AG30" s="22">
        <f>SUM(AG9:AG28)</f>
      </c>
      <c r="AH30" s="22">
        <f>SUM(AH9:AH28)</f>
      </c>
      <c r="AI30" s="22">
        <f>SUM(AI9:AI28)</f>
      </c>
      <c r="AJ30" s="22">
        <f>SUM(AJ9:AJ28)</f>
      </c>
      <c r="AK30" s="23"/>
    </row>
    <row r="32" ht="12.75" customHeight="1" spans="2:37" x14ac:dyDescent="0.25">
      <c r="B32" s="26" t="s">
        <v>42</v>
      </c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9"/>
    </row>
    <row r="33" ht="12.75" customHeight="1" spans="2:37" x14ac:dyDescent="0.25">
      <c r="B33" s="30" t="s">
        <v>42</v>
      </c>
      <c r="C33" s="31" t="s">
        <v>3</v>
      </c>
      <c r="D33" s="32" t="s">
        <v>2131</v>
      </c>
      <c r="E33" s="32"/>
      <c r="F33" s="32"/>
      <c r="G33" s="32"/>
      <c r="H33" s="33">
        <v>121.69</v>
      </c>
      <c r="I33" s="33">
        <v>116.09</v>
      </c>
      <c r="J33" s="33">
        <v>105.19</v>
      </c>
      <c r="K33" s="33">
        <v>78.64</v>
      </c>
      <c r="L33" s="33">
        <v>21.26</v>
      </c>
      <c r="M33" s="33">
        <v>21.26</v>
      </c>
      <c r="N33" s="33">
        <v>21.26</v>
      </c>
      <c r="O33" s="33">
        <v>21.26</v>
      </c>
      <c r="P33" s="33">
        <v>21.26</v>
      </c>
      <c r="Q33" s="33">
        <v>21.26</v>
      </c>
      <c r="R33" s="33">
        <v>39.37</v>
      </c>
      <c r="S33" s="33">
        <v>103.87</v>
      </c>
      <c r="T33" s="33">
        <v>118.89</v>
      </c>
      <c r="U33" s="33">
        <v>121.11</v>
      </c>
      <c r="V33" s="33">
        <v>104.52</v>
      </c>
      <c r="W33" s="33">
        <v>61.28</v>
      </c>
      <c r="X33" s="33">
        <v>21.26</v>
      </c>
      <c r="Y33" s="33">
        <v>21.26</v>
      </c>
      <c r="Z33" s="33">
        <v>21.26</v>
      </c>
      <c r="AA33" s="33">
        <v>21.26</v>
      </c>
      <c r="AB33" s="33">
        <v>21.26</v>
      </c>
      <c r="AC33" s="33">
        <v>21.26</v>
      </c>
      <c r="AD33" s="33">
        <v>43.73</v>
      </c>
      <c r="AE33" s="33">
        <v>113.85</v>
      </c>
      <c r="AF33" s="33">
        <v>112.7</v>
      </c>
      <c r="AG33" s="33">
        <v>108.16</v>
      </c>
      <c r="AH33" s="33">
        <v>104.18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2132</v>
      </c>
      <c r="E34" s="32"/>
      <c r="F34" s="32"/>
      <c r="G34" s="32"/>
      <c r="H34" s="33">
        <v>21.26</v>
      </c>
      <c r="I34" s="33">
        <v>21.26</v>
      </c>
      <c r="J34" s="33">
        <v>59.86</v>
      </c>
      <c r="K34" s="33">
        <v>63.28</v>
      </c>
      <c r="L34" s="33">
        <v>70.97</v>
      </c>
      <c r="M34" s="33">
        <v>21.26</v>
      </c>
      <c r="N34" s="33">
        <v>21.26</v>
      </c>
      <c r="O34" s="33">
        <v>21.26</v>
      </c>
      <c r="P34" s="33">
        <v>43.4</v>
      </c>
      <c r="Q34" s="33">
        <v>90.44</v>
      </c>
      <c r="R34" s="33">
        <v>30.82</v>
      </c>
      <c r="S34" s="33">
        <v>60.41</v>
      </c>
      <c r="T34" s="33">
        <v>41.28</v>
      </c>
      <c r="U34" s="33">
        <v>67.73</v>
      </c>
      <c r="V34" s="33">
        <v>47.95</v>
      </c>
      <c r="W34" s="33">
        <v>106.33</v>
      </c>
      <c r="X34" s="33">
        <v>152.83</v>
      </c>
      <c r="Y34" s="33">
        <v>48.73</v>
      </c>
      <c r="Z34" s="33">
        <v>65.28</v>
      </c>
      <c r="AA34" s="33">
        <v>21.26</v>
      </c>
      <c r="AB34" s="33">
        <v>21.26</v>
      </c>
      <c r="AC34" s="33">
        <v>21.26</v>
      </c>
      <c r="AD34" s="33">
        <v>31.89</v>
      </c>
      <c r="AE34" s="33">
        <v>32.71</v>
      </c>
      <c r="AF34" s="36">
        <f>22.32+0.00</f>
        <v>22.32</v>
      </c>
      <c r="AG34" s="32"/>
      <c r="AH34" s="32"/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2133</v>
      </c>
      <c r="E35" s="32"/>
      <c r="F35" s="32"/>
      <c r="G35" s="32"/>
      <c r="H35" s="33">
        <v>31.56</v>
      </c>
      <c r="I35" s="33">
        <v>31.56</v>
      </c>
      <c r="J35" s="33">
        <v>31.45</v>
      </c>
      <c r="K35" s="33">
        <v>31.45</v>
      </c>
      <c r="L35" s="33">
        <v>31.62</v>
      </c>
      <c r="M35" s="33">
        <v>31.76</v>
      </c>
      <c r="N35" s="33">
        <v>31.82</v>
      </c>
      <c r="O35" s="33">
        <v>31.82</v>
      </c>
      <c r="P35" s="33">
        <v>31.76</v>
      </c>
      <c r="Q35" s="33">
        <v>31.62</v>
      </c>
      <c r="R35" s="33">
        <v>31.51</v>
      </c>
      <c r="S35" s="33">
        <v>31.51</v>
      </c>
      <c r="T35" s="33">
        <v>31.62</v>
      </c>
      <c r="U35" s="33">
        <v>31.51</v>
      </c>
      <c r="V35" s="33">
        <v>31.51</v>
      </c>
      <c r="W35" s="33">
        <v>31.51</v>
      </c>
      <c r="X35" s="33">
        <v>31.78</v>
      </c>
      <c r="Y35" s="33">
        <v>31.65</v>
      </c>
      <c r="Z35" s="33">
        <v>31.84</v>
      </c>
      <c r="AA35" s="33">
        <v>31.99</v>
      </c>
      <c r="AB35" s="33">
        <v>31.65</v>
      </c>
      <c r="AC35" s="33">
        <v>31.65</v>
      </c>
      <c r="AD35" s="33">
        <v>31.53</v>
      </c>
      <c r="AE35" s="33">
        <v>31.63</v>
      </c>
      <c r="AF35" s="33">
        <v>31.53</v>
      </c>
      <c r="AG35" s="33">
        <v>31.53</v>
      </c>
      <c r="AH35" s="33">
        <v>31.53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2134</v>
      </c>
      <c r="E36" s="32"/>
      <c r="F36" s="32"/>
      <c r="G36" s="32"/>
      <c r="H36" s="33">
        <v>54.94</v>
      </c>
      <c r="I36" s="33">
        <v>59.19</v>
      </c>
      <c r="J36" s="33">
        <v>61.72</v>
      </c>
      <c r="K36" s="33">
        <v>73.23</v>
      </c>
      <c r="L36" s="33">
        <v>80.94</v>
      </c>
      <c r="M36" s="33">
        <v>56.31</v>
      </c>
      <c r="N36" s="33">
        <v>56.89</v>
      </c>
      <c r="O36" s="33">
        <v>61.4</v>
      </c>
      <c r="P36" s="33">
        <v>56.91</v>
      </c>
      <c r="Q36" s="33">
        <v>52.99</v>
      </c>
      <c r="R36" s="33">
        <v>51.95</v>
      </c>
      <c r="S36" s="33">
        <v>53.79</v>
      </c>
      <c r="T36" s="33">
        <v>62.38</v>
      </c>
      <c r="U36" s="33">
        <v>65.51</v>
      </c>
      <c r="V36" s="33">
        <v>61.72</v>
      </c>
      <c r="W36" s="33">
        <v>34.46</v>
      </c>
      <c r="X36" s="33">
        <v>52.5</v>
      </c>
      <c r="Y36" s="33">
        <v>94.37</v>
      </c>
      <c r="Z36" s="33">
        <v>218.75</v>
      </c>
      <c r="AA36" s="33">
        <v>255.05</v>
      </c>
      <c r="AB36" s="33">
        <v>240.8</v>
      </c>
      <c r="AC36" s="33">
        <v>118.73</v>
      </c>
      <c r="AD36" s="33">
        <v>65.68</v>
      </c>
      <c r="AE36" s="33">
        <v>72.45</v>
      </c>
      <c r="AF36" s="33">
        <v>66.17</v>
      </c>
      <c r="AG36" s="33">
        <v>94.43</v>
      </c>
      <c r="AH36" s="33">
        <v>66.88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2135</v>
      </c>
      <c r="E37" s="32"/>
      <c r="F37" s="32"/>
      <c r="G37" s="32"/>
      <c r="H37" s="33">
        <v>114.54</v>
      </c>
      <c r="I37" s="33">
        <v>98.04</v>
      </c>
      <c r="J37" s="33">
        <v>114.73</v>
      </c>
      <c r="K37" s="33">
        <v>115.25</v>
      </c>
      <c r="L37" s="33">
        <v>44.03</v>
      </c>
      <c r="M37" s="33">
        <v>23.01</v>
      </c>
      <c r="N37" s="33">
        <v>23.25</v>
      </c>
      <c r="O37" s="33">
        <v>22.67</v>
      </c>
      <c r="P37" s="33">
        <v>23.01</v>
      </c>
      <c r="Q37" s="33">
        <v>23.28</v>
      </c>
      <c r="R37" s="33">
        <v>23.04</v>
      </c>
      <c r="S37" s="33">
        <v>23.26</v>
      </c>
      <c r="T37" s="33">
        <v>32.83</v>
      </c>
      <c r="U37" s="33">
        <v>122.79</v>
      </c>
      <c r="V37" s="33">
        <v>121.33</v>
      </c>
      <c r="W37" s="33">
        <v>100.22</v>
      </c>
      <c r="X37" s="33">
        <v>21.26</v>
      </c>
      <c r="Y37" s="33">
        <v>21.26</v>
      </c>
      <c r="Z37" s="33">
        <v>21.26</v>
      </c>
      <c r="AA37" s="33">
        <v>21.26</v>
      </c>
      <c r="AB37" s="33">
        <v>21.26</v>
      </c>
      <c r="AC37" s="33">
        <v>21.26</v>
      </c>
      <c r="AD37" s="33">
        <v>31.89</v>
      </c>
      <c r="AE37" s="33">
        <v>31.89</v>
      </c>
      <c r="AF37" s="33">
        <v>31.89</v>
      </c>
      <c r="AG37" s="33">
        <v>31.89</v>
      </c>
      <c r="AH37" s="33">
        <v>31.89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2136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64.85</v>
      </c>
      <c r="U38" s="33">
        <v>21.58</v>
      </c>
      <c r="V38" s="33">
        <v>41.82</v>
      </c>
      <c r="W38" s="33">
        <v>27.71</v>
      </c>
      <c r="X38" s="33">
        <v>21.26</v>
      </c>
      <c r="Y38" s="33">
        <v>21.26</v>
      </c>
      <c r="Z38" s="33">
        <v>21.26</v>
      </c>
      <c r="AA38" s="33">
        <v>21.26</v>
      </c>
      <c r="AB38" s="33">
        <v>21.26</v>
      </c>
      <c r="AC38" s="33">
        <v>21.26</v>
      </c>
      <c r="AD38" s="33">
        <v>76.93</v>
      </c>
      <c r="AE38" s="33">
        <v>84.52</v>
      </c>
      <c r="AF38" s="33">
        <v>113.99</v>
      </c>
      <c r="AG38" s="33">
        <v>172.87</v>
      </c>
      <c r="AH38" s="33">
        <v>67.82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2137</v>
      </c>
      <c r="E39" s="32"/>
      <c r="F39" s="32"/>
      <c r="G39" s="32"/>
      <c r="H39" s="33">
        <v>21.26</v>
      </c>
      <c r="I39" s="33">
        <v>21.26</v>
      </c>
      <c r="J39" s="33">
        <v>21.26</v>
      </c>
      <c r="K39" s="33">
        <v>21.26</v>
      </c>
      <c r="L39" s="33">
        <v>21.26</v>
      </c>
      <c r="M39" s="33">
        <v>21.26</v>
      </c>
      <c r="N39" s="33">
        <v>21.26</v>
      </c>
      <c r="O39" s="33">
        <v>21.26</v>
      </c>
      <c r="P39" s="33">
        <v>21.26</v>
      </c>
      <c r="Q39" s="33">
        <v>71.5</v>
      </c>
      <c r="R39" s="33">
        <v>113</v>
      </c>
      <c r="S39" s="33">
        <v>116.43</v>
      </c>
      <c r="T39" s="33">
        <v>133</v>
      </c>
      <c r="U39" s="33">
        <v>120.57</v>
      </c>
      <c r="V39" s="33">
        <v>106.53</v>
      </c>
      <c r="W39" s="33">
        <v>110.76</v>
      </c>
      <c r="X39" s="33">
        <v>168.91</v>
      </c>
      <c r="Y39" s="33">
        <v>167.93</v>
      </c>
      <c r="Z39" s="33">
        <v>21.26</v>
      </c>
      <c r="AA39" s="33">
        <v>21.26</v>
      </c>
      <c r="AB39" s="33">
        <v>21.26</v>
      </c>
      <c r="AC39" s="33">
        <v>21.26</v>
      </c>
      <c r="AD39" s="33">
        <v>31.89</v>
      </c>
      <c r="AE39" s="33">
        <v>31.89</v>
      </c>
      <c r="AF39" s="33">
        <v>121.79</v>
      </c>
      <c r="AG39" s="33">
        <v>46.47</v>
      </c>
      <c r="AH39" s="33">
        <v>63.85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2138</v>
      </c>
      <c r="E40" s="32"/>
      <c r="F40" s="32"/>
      <c r="G40" s="32"/>
      <c r="H40" s="33">
        <v>95.54</v>
      </c>
      <c r="I40" s="33">
        <v>111.73</v>
      </c>
      <c r="J40" s="33">
        <v>111.41</v>
      </c>
      <c r="K40" s="33">
        <v>90.89</v>
      </c>
      <c r="L40" s="33">
        <v>21.26</v>
      </c>
      <c r="M40" s="33">
        <v>21.26</v>
      </c>
      <c r="N40" s="33">
        <v>21.26</v>
      </c>
      <c r="O40" s="33">
        <v>21.26</v>
      </c>
      <c r="P40" s="33">
        <v>21.26</v>
      </c>
      <c r="Q40" s="33">
        <v>21.26</v>
      </c>
      <c r="R40" s="33">
        <v>21.26</v>
      </c>
      <c r="S40" s="33">
        <v>21.26</v>
      </c>
      <c r="T40" s="33">
        <v>21.26</v>
      </c>
      <c r="U40" s="33">
        <v>70.84</v>
      </c>
      <c r="V40" s="33">
        <v>21.26</v>
      </c>
      <c r="W40" s="33">
        <v>21.26</v>
      </c>
      <c r="X40" s="33">
        <v>21.26</v>
      </c>
      <c r="Y40" s="33">
        <v>21.26</v>
      </c>
      <c r="Z40" s="33">
        <v>30.65</v>
      </c>
      <c r="AA40" s="33">
        <v>21.26</v>
      </c>
      <c r="AB40" s="33">
        <v>21.26</v>
      </c>
      <c r="AC40" s="33">
        <v>21.26</v>
      </c>
      <c r="AD40" s="33">
        <v>74.92</v>
      </c>
      <c r="AE40" s="33">
        <v>88.06</v>
      </c>
      <c r="AF40" s="33">
        <v>31.89</v>
      </c>
      <c r="AG40" s="33">
        <v>48.44</v>
      </c>
      <c r="AH40" s="33">
        <v>60.23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2139</v>
      </c>
      <c r="E41" s="32"/>
      <c r="F41" s="32"/>
      <c r="G41" s="32"/>
      <c r="H41" s="33">
        <v>134.45</v>
      </c>
      <c r="I41" s="33">
        <v>107.48</v>
      </c>
      <c r="J41" s="33">
        <v>84.66</v>
      </c>
      <c r="K41" s="33">
        <v>44.51</v>
      </c>
      <c r="L41" s="33">
        <v>101.11</v>
      </c>
      <c r="M41" s="33">
        <v>74.6</v>
      </c>
      <c r="N41" s="33">
        <v>21.26</v>
      </c>
      <c r="O41" s="33">
        <v>21.26</v>
      </c>
      <c r="P41" s="33">
        <v>70.56</v>
      </c>
      <c r="Q41" s="33">
        <v>154.86</v>
      </c>
      <c r="R41" s="33">
        <v>94.64</v>
      </c>
      <c r="S41" s="33">
        <v>74.63</v>
      </c>
      <c r="T41" s="33">
        <v>109.21</v>
      </c>
      <c r="U41" s="33">
        <v>100.43</v>
      </c>
      <c r="V41" s="33">
        <v>71.42</v>
      </c>
      <c r="W41" s="33">
        <v>57.97</v>
      </c>
      <c r="X41" s="33">
        <v>21.26</v>
      </c>
      <c r="Y41" s="33">
        <v>21.26</v>
      </c>
      <c r="Z41" s="36">
        <f>7.79+0.00</f>
        <v>7.79</v>
      </c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2140</v>
      </c>
      <c r="E42" s="32"/>
      <c r="F42" s="32"/>
      <c r="G42" s="32"/>
      <c r="H42" s="32"/>
      <c r="I42" s="36">
        <f>0.00+52.09</f>
        <v>52.09</v>
      </c>
      <c r="J42" s="33">
        <v>78.78</v>
      </c>
      <c r="K42" s="33">
        <v>21.58</v>
      </c>
      <c r="L42" s="33">
        <v>21.58</v>
      </c>
      <c r="M42" s="33">
        <v>21.26</v>
      </c>
      <c r="N42" s="33">
        <v>21.26</v>
      </c>
      <c r="O42" s="33">
        <v>21.26</v>
      </c>
      <c r="P42" s="33">
        <v>21.26</v>
      </c>
      <c r="Q42" s="33">
        <v>21.26</v>
      </c>
      <c r="R42" s="33">
        <v>21.26</v>
      </c>
      <c r="S42" s="33">
        <v>38.73</v>
      </c>
      <c r="T42" s="33">
        <v>86.41</v>
      </c>
      <c r="U42" s="33">
        <v>90.76</v>
      </c>
      <c r="V42" s="33">
        <v>70.96</v>
      </c>
      <c r="W42" s="33">
        <v>31.27</v>
      </c>
      <c r="X42" s="33">
        <v>21.26</v>
      </c>
      <c r="Y42" s="33">
        <v>21.26</v>
      </c>
      <c r="Z42" s="33">
        <v>21.26</v>
      </c>
      <c r="AA42" s="33">
        <v>21.26</v>
      </c>
      <c r="AB42" s="33">
        <v>21.26</v>
      </c>
      <c r="AC42" s="33">
        <v>21.26</v>
      </c>
      <c r="AD42" s="33">
        <v>45.85</v>
      </c>
      <c r="AE42" s="33">
        <v>65.53</v>
      </c>
      <c r="AF42" s="33">
        <v>68.99</v>
      </c>
      <c r="AG42" s="33">
        <v>60.23</v>
      </c>
      <c r="AH42" s="33">
        <v>71.3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2141</v>
      </c>
      <c r="E43" s="32"/>
      <c r="F43" s="32"/>
      <c r="G43" s="32"/>
      <c r="H43" s="33">
        <v>22.63</v>
      </c>
      <c r="I43" s="33">
        <v>24.48</v>
      </c>
      <c r="J43" s="33">
        <v>24.69</v>
      </c>
      <c r="K43" s="33">
        <v>24.48</v>
      </c>
      <c r="L43" s="33">
        <v>43.35</v>
      </c>
      <c r="M43" s="33">
        <v>79.18</v>
      </c>
      <c r="N43" s="33">
        <v>150.64</v>
      </c>
      <c r="O43" s="33">
        <v>167.22</v>
      </c>
      <c r="P43" s="33">
        <v>131.96</v>
      </c>
      <c r="Q43" s="33">
        <v>110.42</v>
      </c>
      <c r="R43" s="33">
        <v>51.16</v>
      </c>
      <c r="S43" s="33">
        <v>29.28</v>
      </c>
      <c r="T43" s="33">
        <v>26.16</v>
      </c>
      <c r="U43" s="36">
        <f>0.00+28.38</f>
        <v>28.38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2142</v>
      </c>
      <c r="E44" s="32"/>
      <c r="F44" s="32"/>
      <c r="G44" s="32"/>
      <c r="H44" s="33">
        <v>29.35</v>
      </c>
      <c r="I44" s="36">
        <f>21.05+0.00</f>
        <v>21.05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2143</v>
      </c>
      <c r="E45" s="32"/>
      <c r="F45" s="32"/>
      <c r="G45" s="32"/>
      <c r="H45" s="36">
        <f>0.00+93.40</f>
        <v>93.4</v>
      </c>
      <c r="I45" s="33">
        <v>123.8</v>
      </c>
      <c r="J45" s="33">
        <v>126.26</v>
      </c>
      <c r="K45" s="33">
        <v>120.33</v>
      </c>
      <c r="L45" s="33">
        <v>124.76</v>
      </c>
      <c r="M45" s="33">
        <v>21.26</v>
      </c>
      <c r="N45" s="33">
        <v>21.26</v>
      </c>
      <c r="O45" s="33">
        <v>21.26</v>
      </c>
      <c r="P45" s="33">
        <v>21.26</v>
      </c>
      <c r="Q45" s="33">
        <v>158.33</v>
      </c>
      <c r="R45" s="33">
        <v>100.95</v>
      </c>
      <c r="S45" s="33">
        <v>69.62</v>
      </c>
      <c r="T45" s="33">
        <v>62.15</v>
      </c>
      <c r="U45" s="33">
        <v>69.22</v>
      </c>
      <c r="V45" s="33">
        <v>66.8</v>
      </c>
      <c r="W45" s="33">
        <v>81.48</v>
      </c>
      <c r="X45" s="33">
        <v>165.01</v>
      </c>
      <c r="Y45" s="33">
        <v>199.95</v>
      </c>
      <c r="Z45" s="33">
        <v>275.83</v>
      </c>
      <c r="AA45" s="33">
        <v>294</v>
      </c>
      <c r="AB45" s="36">
        <f>177.87+0.00</f>
        <v>177.87</v>
      </c>
      <c r="AC45" s="32"/>
      <c r="AD45" s="32"/>
      <c r="AE45" s="32"/>
      <c r="AF45" s="32"/>
      <c r="AG45" s="32"/>
      <c r="AH45" s="32"/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2144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6">
        <f>130.58+0.00</f>
        <v>130.58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2145</v>
      </c>
      <c r="E47" s="32"/>
      <c r="F47" s="32"/>
      <c r="G47" s="32"/>
      <c r="H47" s="33">
        <v>278.46</v>
      </c>
      <c r="I47" s="33">
        <v>349.42</v>
      </c>
      <c r="J47" s="33">
        <v>265.35</v>
      </c>
      <c r="K47" s="33">
        <v>245.02</v>
      </c>
      <c r="L47" s="33">
        <v>231.93</v>
      </c>
      <c r="M47" s="33">
        <v>297.5</v>
      </c>
      <c r="N47" s="33">
        <v>503.39</v>
      </c>
      <c r="O47" s="33">
        <v>543.62</v>
      </c>
      <c r="P47" s="33">
        <v>421.37</v>
      </c>
      <c r="Q47" s="33">
        <v>419.42</v>
      </c>
      <c r="R47" s="33">
        <v>291.26</v>
      </c>
      <c r="S47" s="33">
        <v>236.34</v>
      </c>
      <c r="T47" s="33">
        <v>318.76</v>
      </c>
      <c r="U47" s="33">
        <v>494.62</v>
      </c>
      <c r="V47" s="33">
        <v>248.57</v>
      </c>
      <c r="W47" s="33">
        <v>305.3</v>
      </c>
      <c r="X47" s="33">
        <v>298.65</v>
      </c>
      <c r="Y47" s="33">
        <v>436.97</v>
      </c>
      <c r="Z47" s="33">
        <v>749.94</v>
      </c>
      <c r="AA47" s="33">
        <v>664.27</v>
      </c>
      <c r="AB47" s="33">
        <v>735.21</v>
      </c>
      <c r="AC47" s="33">
        <v>546.03</v>
      </c>
      <c r="AD47" s="33">
        <v>254.44</v>
      </c>
      <c r="AE47" s="33">
        <v>330.05</v>
      </c>
      <c r="AF47" s="33">
        <v>427.41</v>
      </c>
      <c r="AG47" s="33">
        <v>515.43</v>
      </c>
      <c r="AH47" s="33">
        <v>323.61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2146</v>
      </c>
      <c r="E48" s="32"/>
      <c r="F48" s="32"/>
      <c r="G48" s="32"/>
      <c r="H48" s="33">
        <v>28.32</v>
      </c>
      <c r="I48" s="33">
        <v>31.12</v>
      </c>
      <c r="J48" s="33">
        <v>34.43</v>
      </c>
      <c r="K48" s="36">
        <f>0.00+7.90</f>
        <v>7.9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2147</v>
      </c>
      <c r="E49" s="32"/>
      <c r="F49" s="32"/>
      <c r="G49" s="32"/>
      <c r="H49" s="33">
        <v>621.13</v>
      </c>
      <c r="I49" s="33">
        <v>861.69</v>
      </c>
      <c r="J49" s="33">
        <v>673.07</v>
      </c>
      <c r="K49" s="33">
        <v>616.39</v>
      </c>
      <c r="L49" s="33">
        <v>663.59</v>
      </c>
      <c r="M49" s="33">
        <v>875.03</v>
      </c>
      <c r="N49" s="33">
        <v>1384.73</v>
      </c>
      <c r="O49" s="33">
        <v>1586.94</v>
      </c>
      <c r="P49" s="33">
        <v>1254.62</v>
      </c>
      <c r="Q49" s="33">
        <v>1188.9</v>
      </c>
      <c r="R49" s="33">
        <v>810.56</v>
      </c>
      <c r="S49" s="33">
        <v>638.65</v>
      </c>
      <c r="T49" s="33">
        <v>748.24</v>
      </c>
      <c r="U49" s="33">
        <v>1092.6</v>
      </c>
      <c r="V49" s="33">
        <v>617.72</v>
      </c>
      <c r="W49" s="33">
        <v>770.69</v>
      </c>
      <c r="X49" s="33">
        <v>788</v>
      </c>
      <c r="Y49" s="33">
        <v>1004.13</v>
      </c>
      <c r="Z49" s="33">
        <v>1509.4</v>
      </c>
      <c r="AA49" s="33">
        <v>1489.12</v>
      </c>
      <c r="AB49" s="33">
        <v>1317.98</v>
      </c>
      <c r="AC49" s="33">
        <v>969.13</v>
      </c>
      <c r="AD49" s="33">
        <v>655.74</v>
      </c>
      <c r="AE49" s="33">
        <v>635.51</v>
      </c>
      <c r="AF49" s="33">
        <v>773</v>
      </c>
      <c r="AG49" s="33">
        <v>909.75</v>
      </c>
      <c r="AH49" s="33">
        <v>635.58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2148</v>
      </c>
      <c r="E50" s="32"/>
      <c r="F50" s="32"/>
      <c r="G50" s="32"/>
      <c r="H50" s="33">
        <v>25.31</v>
      </c>
      <c r="I50" s="33">
        <v>52.17</v>
      </c>
      <c r="J50" s="36">
        <f>0.00+26.40</f>
        <v>26.4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2149</v>
      </c>
      <c r="E51" s="32"/>
      <c r="F51" s="32"/>
      <c r="G51" s="32"/>
      <c r="H51" s="33">
        <v>155.1</v>
      </c>
      <c r="I51" s="33">
        <v>140.36</v>
      </c>
      <c r="J51" s="33">
        <v>137.55</v>
      </c>
      <c r="K51" s="33">
        <v>123.55</v>
      </c>
      <c r="L51" s="33">
        <v>142.36</v>
      </c>
      <c r="M51" s="33">
        <v>21.26</v>
      </c>
      <c r="N51" s="33">
        <v>21.26</v>
      </c>
      <c r="O51" s="33">
        <v>21.26</v>
      </c>
      <c r="P51" s="33">
        <v>21.26</v>
      </c>
      <c r="Q51" s="33">
        <v>21.26</v>
      </c>
      <c r="R51" s="33">
        <v>49.95</v>
      </c>
      <c r="S51" s="33">
        <v>131.57</v>
      </c>
      <c r="T51" s="33">
        <v>152.24</v>
      </c>
      <c r="U51" s="33">
        <v>152.13</v>
      </c>
      <c r="V51" s="33">
        <v>131.79</v>
      </c>
      <c r="W51" s="33">
        <v>124.33</v>
      </c>
      <c r="X51" s="33">
        <v>176.73</v>
      </c>
      <c r="Y51" s="33">
        <v>256.8</v>
      </c>
      <c r="Z51" s="33">
        <v>420.99</v>
      </c>
      <c r="AA51" s="33">
        <v>470.09</v>
      </c>
      <c r="AB51" s="36">
        <f>0.00+256.90</f>
        <v>256.9</v>
      </c>
      <c r="AC51" s="32"/>
      <c r="AD51" s="32"/>
      <c r="AE51" s="32"/>
      <c r="AF51" s="32"/>
      <c r="AG51" s="32"/>
      <c r="AH51" s="32"/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2150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6">
        <f>44.98+0.00</f>
        <v>44.98</v>
      </c>
      <c r="AD52" s="33">
        <v>32.46</v>
      </c>
      <c r="AE52" s="33">
        <v>32.71</v>
      </c>
      <c r="AF52" s="33">
        <v>32.71</v>
      </c>
      <c r="AG52" s="33">
        <v>33.89</v>
      </c>
      <c r="AH52" s="33">
        <v>38.87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2151</v>
      </c>
      <c r="E53" s="32"/>
      <c r="F53" s="32"/>
      <c r="G53" s="32"/>
      <c r="H53" s="33">
        <v>115.24</v>
      </c>
      <c r="I53" s="33">
        <v>135.68</v>
      </c>
      <c r="J53" s="33">
        <v>70.23</v>
      </c>
      <c r="K53" s="33">
        <v>74.88</v>
      </c>
      <c r="L53" s="33">
        <v>42.01</v>
      </c>
      <c r="M53" s="33">
        <v>37.36</v>
      </c>
      <c r="N53" s="33">
        <v>190.59</v>
      </c>
      <c r="O53" s="33">
        <v>99.68</v>
      </c>
      <c r="P53" s="33">
        <v>36.63</v>
      </c>
      <c r="Q53" s="33">
        <v>36.51</v>
      </c>
      <c r="R53" s="33">
        <v>37.06</v>
      </c>
      <c r="S53" s="33">
        <v>41.62</v>
      </c>
      <c r="T53" s="33">
        <v>41.3</v>
      </c>
      <c r="U53" s="33">
        <v>100.01</v>
      </c>
      <c r="V53" s="33">
        <v>67.05</v>
      </c>
      <c r="W53" s="33">
        <v>65.19</v>
      </c>
      <c r="X53" s="33">
        <v>59.22</v>
      </c>
      <c r="Y53" s="33">
        <v>55</v>
      </c>
      <c r="Z53" s="33">
        <v>67.3</v>
      </c>
      <c r="AA53" s="33">
        <v>77.79</v>
      </c>
      <c r="AB53" s="33">
        <v>49.99</v>
      </c>
      <c r="AC53" s="33">
        <v>75.3</v>
      </c>
      <c r="AD53" s="33">
        <v>46.89</v>
      </c>
      <c r="AE53" s="33">
        <v>77.83</v>
      </c>
      <c r="AF53" s="33">
        <v>79.12</v>
      </c>
      <c r="AG53" s="33">
        <v>91.44</v>
      </c>
      <c r="AH53" s="33">
        <v>77.64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2152</v>
      </c>
      <c r="E54" s="32"/>
      <c r="F54" s="32"/>
      <c r="G54" s="32"/>
      <c r="H54" s="33">
        <v>21.26</v>
      </c>
      <c r="I54" s="33">
        <v>21.26</v>
      </c>
      <c r="J54" s="33">
        <v>21.26</v>
      </c>
      <c r="K54" s="33">
        <v>21.26</v>
      </c>
      <c r="L54" s="33">
        <v>21.26</v>
      </c>
      <c r="M54" s="33">
        <v>21.26</v>
      </c>
      <c r="N54" s="33">
        <v>21.26</v>
      </c>
      <c r="O54" s="33">
        <v>21.26</v>
      </c>
      <c r="P54" s="33">
        <v>21.26</v>
      </c>
      <c r="Q54" s="33">
        <v>21.26</v>
      </c>
      <c r="R54" s="33">
        <v>21.26</v>
      </c>
      <c r="S54" s="33">
        <v>21.26</v>
      </c>
      <c r="T54" s="33">
        <v>21.26</v>
      </c>
      <c r="U54" s="33">
        <v>21.26</v>
      </c>
      <c r="V54" s="33">
        <v>21.26</v>
      </c>
      <c r="W54" s="33">
        <v>21.26</v>
      </c>
      <c r="X54" s="33">
        <v>21.26</v>
      </c>
      <c r="Y54" s="33">
        <v>21.26</v>
      </c>
      <c r="Z54" s="33">
        <v>21.26</v>
      </c>
      <c r="AA54" s="33">
        <v>21.26</v>
      </c>
      <c r="AB54" s="33">
        <v>21.26</v>
      </c>
      <c r="AC54" s="33">
        <v>21.26</v>
      </c>
      <c r="AD54" s="33">
        <v>31.89</v>
      </c>
      <c r="AE54" s="33">
        <v>31.89</v>
      </c>
      <c r="AF54" s="33">
        <v>31.89</v>
      </c>
      <c r="AG54" s="33">
        <v>31.89</v>
      </c>
      <c r="AH54" s="33">
        <v>31.89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2153</v>
      </c>
      <c r="E55" s="32"/>
      <c r="F55" s="32"/>
      <c r="G55" s="32"/>
      <c r="H55" s="36">
        <f>25.05+198.64+63.29</f>
        <v>286.98</v>
      </c>
      <c r="I55" s="36">
        <f>199.13+25.12+78.93</f>
        <v>303.18</v>
      </c>
      <c r="J55" s="36">
        <f>73.84+195.92+24.71</f>
        <v>294.46999999999997</v>
      </c>
      <c r="K55" s="36">
        <f>195.91+73.14+24.71</f>
        <v>293.76</v>
      </c>
      <c r="L55" s="36">
        <f>111.88+24.71+195.91</f>
        <v>332.5</v>
      </c>
      <c r="M55" s="36">
        <f>195.96+104.90+24.72</f>
        <v>325.58000000000004</v>
      </c>
      <c r="N55" s="36">
        <f>195.95+24.71+200.95</f>
        <v>421.61</v>
      </c>
      <c r="O55" s="36">
        <f>24.71+195.96+226.05</f>
        <v>446.72</v>
      </c>
      <c r="P55" s="36">
        <f>24.71+184.09+195.96</f>
        <v>404.76</v>
      </c>
      <c r="Q55" s="36">
        <f>24.71+157.63+195.96</f>
        <v>378.3</v>
      </c>
      <c r="R55" s="36">
        <f>196.02+128.91+24.73</f>
        <v>349.66</v>
      </c>
      <c r="S55" s="36">
        <f>63.24+24.80+197.22</f>
        <v>285.26</v>
      </c>
      <c r="T55" s="36">
        <f>63.66+24.80+197.22</f>
        <v>285.68</v>
      </c>
      <c r="U55" s="36">
        <f>107.55+197.22+24.80</f>
        <v>329.57</v>
      </c>
      <c r="V55" s="36">
        <f>79.93+200.47+25.21</f>
        <v>305.60999999999996</v>
      </c>
      <c r="W55" s="36">
        <f>197.22+82.33+24.80</f>
        <v>304.35</v>
      </c>
      <c r="X55" s="36">
        <f>89.99+25.25+200.68</f>
        <v>315.92</v>
      </c>
      <c r="Y55" s="36">
        <f>202.04+25.46+189.73</f>
        <v>417.23</v>
      </c>
      <c r="Z55" s="36">
        <f>25.54+202.66+232.49</f>
        <v>460.69</v>
      </c>
      <c r="AA55" s="36">
        <f>231.67+24.75+196.41</f>
        <v>452.8299999999999</v>
      </c>
      <c r="AB55" s="36">
        <f>251.64+24.75+196.41</f>
        <v>472.79999999999995</v>
      </c>
      <c r="AC55" s="36">
        <f>232.79+196.41+24.75</f>
        <v>453.95</v>
      </c>
      <c r="AD55" s="36">
        <f>197.07+24.80+166.73</f>
        <v>388.6</v>
      </c>
      <c r="AE55" s="36">
        <f>197.57+24.83+115.62</f>
        <v>338.02</v>
      </c>
      <c r="AF55" s="36">
        <f>24.83+108.65+197.57</f>
        <v>331.05</v>
      </c>
      <c r="AG55" s="36">
        <f>24.83+197.54+112.99</f>
        <v>335.36</v>
      </c>
      <c r="AH55" s="36">
        <f>113.42+197.54+24.83</f>
        <v>335.78999999999996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2154</v>
      </c>
      <c r="E56" s="32"/>
      <c r="F56" s="32"/>
      <c r="G56" s="32"/>
      <c r="H56" s="33">
        <v>275.3</v>
      </c>
      <c r="I56" s="33">
        <v>374.17</v>
      </c>
      <c r="J56" s="33">
        <v>257.84</v>
      </c>
      <c r="K56" s="33">
        <v>205.49</v>
      </c>
      <c r="L56" s="33">
        <v>220.15</v>
      </c>
      <c r="M56" s="33">
        <v>239.11</v>
      </c>
      <c r="N56" s="33">
        <v>393.12</v>
      </c>
      <c r="O56" s="33">
        <v>528.32</v>
      </c>
      <c r="P56" s="33">
        <v>394.21</v>
      </c>
      <c r="Q56" s="33">
        <v>345.48</v>
      </c>
      <c r="R56" s="33">
        <v>227.84</v>
      </c>
      <c r="S56" s="33">
        <v>232.77</v>
      </c>
      <c r="T56" s="33">
        <v>276.16</v>
      </c>
      <c r="U56" s="33">
        <v>352.2</v>
      </c>
      <c r="V56" s="33">
        <v>227.84</v>
      </c>
      <c r="W56" s="33">
        <v>257.81</v>
      </c>
      <c r="X56" s="33">
        <v>241.34</v>
      </c>
      <c r="Y56" s="33">
        <v>339.36</v>
      </c>
      <c r="Z56" s="33">
        <v>564.91</v>
      </c>
      <c r="AA56" s="33">
        <v>619.93</v>
      </c>
      <c r="AB56" s="33">
        <v>521.55</v>
      </c>
      <c r="AC56" s="33">
        <v>411.7</v>
      </c>
      <c r="AD56" s="33">
        <v>234.85</v>
      </c>
      <c r="AE56" s="33">
        <v>295.46</v>
      </c>
      <c r="AF56" s="33">
        <v>331</v>
      </c>
      <c r="AG56" s="33">
        <v>381.42</v>
      </c>
      <c r="AH56" s="33">
        <v>250.7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2155</v>
      </c>
      <c r="E57" s="32"/>
      <c r="F57" s="32"/>
      <c r="G57" s="32"/>
      <c r="H57" s="33">
        <v>21.26</v>
      </c>
      <c r="I57" s="33">
        <v>78</v>
      </c>
      <c r="J57" s="33">
        <v>78.2</v>
      </c>
      <c r="K57" s="33">
        <v>83.92</v>
      </c>
      <c r="L57" s="33">
        <v>49.95</v>
      </c>
      <c r="M57" s="33">
        <v>21.26</v>
      </c>
      <c r="N57" s="33">
        <v>21.26</v>
      </c>
      <c r="O57" s="33">
        <v>21.26</v>
      </c>
      <c r="P57" s="33">
        <v>68.81</v>
      </c>
      <c r="Q57" s="33">
        <v>160.39</v>
      </c>
      <c r="R57" s="33">
        <v>81.96</v>
      </c>
      <c r="S57" s="33">
        <v>75.62</v>
      </c>
      <c r="T57" s="33">
        <v>71.42</v>
      </c>
      <c r="U57" s="33">
        <v>53.16</v>
      </c>
      <c r="V57" s="36">
        <f>0.00+14.17</f>
        <v>14.17</v>
      </c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2156</v>
      </c>
      <c r="E58" s="32"/>
      <c r="F58" s="32"/>
      <c r="G58" s="32"/>
      <c r="H58" s="33">
        <v>53.53</v>
      </c>
      <c r="I58" s="33">
        <v>103.64</v>
      </c>
      <c r="J58" s="33">
        <v>97.83</v>
      </c>
      <c r="K58" s="33">
        <v>64.62</v>
      </c>
      <c r="L58" s="33">
        <v>21.26</v>
      </c>
      <c r="M58" s="33">
        <v>21.26</v>
      </c>
      <c r="N58" s="33">
        <v>21.26</v>
      </c>
      <c r="O58" s="33">
        <v>21.26</v>
      </c>
      <c r="P58" s="33">
        <v>21.26</v>
      </c>
      <c r="Q58" s="33">
        <v>21.26</v>
      </c>
      <c r="R58" s="33">
        <v>32.38</v>
      </c>
      <c r="S58" s="33">
        <v>26.59</v>
      </c>
      <c r="T58" s="33">
        <v>43.05</v>
      </c>
      <c r="U58" s="33">
        <v>114.21</v>
      </c>
      <c r="V58" s="33">
        <v>94.1</v>
      </c>
      <c r="W58" s="33">
        <v>74.29</v>
      </c>
      <c r="X58" s="33">
        <v>21.26</v>
      </c>
      <c r="Y58" s="33">
        <v>21.26</v>
      </c>
      <c r="Z58" s="33">
        <v>21.26</v>
      </c>
      <c r="AA58" s="33">
        <v>21.26</v>
      </c>
      <c r="AB58" s="33">
        <v>21.26</v>
      </c>
      <c r="AC58" s="33">
        <v>21.8</v>
      </c>
      <c r="AD58" s="33">
        <v>35.64</v>
      </c>
      <c r="AE58" s="33">
        <v>31.89</v>
      </c>
      <c r="AF58" s="33">
        <v>51.25</v>
      </c>
      <c r="AG58" s="33">
        <v>103.26</v>
      </c>
      <c r="AH58" s="33">
        <v>58.94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2157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6">
        <f>0.00+53.15</f>
        <v>53.15</v>
      </c>
      <c r="T59" s="33">
        <v>44.15</v>
      </c>
      <c r="U59" s="33">
        <v>139.76</v>
      </c>
      <c r="V59" s="33">
        <v>133.58</v>
      </c>
      <c r="W59" s="33">
        <v>128.22</v>
      </c>
      <c r="X59" s="33">
        <v>117.53</v>
      </c>
      <c r="Y59" s="33">
        <v>21.26</v>
      </c>
      <c r="Z59" s="33">
        <v>21.26</v>
      </c>
      <c r="AA59" s="33">
        <v>21.26</v>
      </c>
      <c r="AB59" s="33">
        <v>21.26</v>
      </c>
      <c r="AC59" s="33">
        <v>21.26</v>
      </c>
      <c r="AD59" s="33">
        <v>31.89</v>
      </c>
      <c r="AE59" s="33">
        <v>47.37</v>
      </c>
      <c r="AF59" s="33">
        <v>31.89</v>
      </c>
      <c r="AG59" s="33">
        <v>31.89</v>
      </c>
      <c r="AH59" s="33">
        <v>32.24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2158</v>
      </c>
      <c r="E60" s="32"/>
      <c r="F60" s="32"/>
      <c r="G60" s="32"/>
      <c r="H60" s="33">
        <v>21.26</v>
      </c>
      <c r="I60" s="33">
        <v>21.26</v>
      </c>
      <c r="J60" s="33">
        <v>21.26</v>
      </c>
      <c r="K60" s="33">
        <v>21.26</v>
      </c>
      <c r="L60" s="33">
        <v>21.26</v>
      </c>
      <c r="M60" s="33">
        <v>21.26</v>
      </c>
      <c r="N60" s="33">
        <v>21.26</v>
      </c>
      <c r="O60" s="33">
        <v>21.26</v>
      </c>
      <c r="P60" s="33">
        <v>21.26</v>
      </c>
      <c r="Q60" s="33">
        <v>21.26</v>
      </c>
      <c r="R60" s="33">
        <v>21.26</v>
      </c>
      <c r="S60" s="33">
        <v>21.26</v>
      </c>
      <c r="T60" s="33">
        <v>21.26</v>
      </c>
      <c r="U60" s="33">
        <v>36.5</v>
      </c>
      <c r="V60" s="33">
        <v>78.42</v>
      </c>
      <c r="W60" s="33">
        <v>31.84</v>
      </c>
      <c r="X60" s="33">
        <v>21.26</v>
      </c>
      <c r="Y60" s="33">
        <v>21.26</v>
      </c>
      <c r="Z60" s="33">
        <v>21.26</v>
      </c>
      <c r="AA60" s="33">
        <v>21.26</v>
      </c>
      <c r="AB60" s="33">
        <v>21.26</v>
      </c>
      <c r="AC60" s="33">
        <v>21.26</v>
      </c>
      <c r="AD60" s="33">
        <v>32.12</v>
      </c>
      <c r="AE60" s="33">
        <v>31.89</v>
      </c>
      <c r="AF60" s="33">
        <v>31.89</v>
      </c>
      <c r="AG60" s="33">
        <v>35.5</v>
      </c>
      <c r="AH60" s="33">
        <v>51.14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2159</v>
      </c>
      <c r="E61" s="32"/>
      <c r="F61" s="32"/>
      <c r="G61" s="32"/>
      <c r="H61" s="33">
        <v>21.26</v>
      </c>
      <c r="I61" s="33">
        <v>25.71</v>
      </c>
      <c r="J61" s="33">
        <v>34.76</v>
      </c>
      <c r="K61" s="33">
        <v>21.26</v>
      </c>
      <c r="L61" s="33">
        <v>21.26</v>
      </c>
      <c r="M61" s="33">
        <v>21.26</v>
      </c>
      <c r="N61" s="33">
        <v>21.26</v>
      </c>
      <c r="O61" s="33">
        <v>21.26</v>
      </c>
      <c r="P61" s="33">
        <v>21.26</v>
      </c>
      <c r="Q61" s="33">
        <v>21.26</v>
      </c>
      <c r="R61" s="33">
        <v>21.26</v>
      </c>
      <c r="S61" s="33">
        <v>21.26</v>
      </c>
      <c r="T61" s="33">
        <v>21.26</v>
      </c>
      <c r="U61" s="33">
        <v>21.26</v>
      </c>
      <c r="V61" s="33">
        <v>21.26</v>
      </c>
      <c r="W61" s="33">
        <v>21.26</v>
      </c>
      <c r="X61" s="33">
        <v>21.26</v>
      </c>
      <c r="Y61" s="33">
        <v>21.26</v>
      </c>
      <c r="Z61" s="33">
        <v>21.26</v>
      </c>
      <c r="AA61" s="33">
        <v>21.26</v>
      </c>
      <c r="AB61" s="33">
        <v>21.26</v>
      </c>
      <c r="AC61" s="33">
        <v>21.26</v>
      </c>
      <c r="AD61" s="33">
        <v>31.89</v>
      </c>
      <c r="AE61" s="33">
        <v>31.89</v>
      </c>
      <c r="AF61" s="33">
        <v>33.89</v>
      </c>
      <c r="AG61" s="33">
        <v>118.08</v>
      </c>
      <c r="AH61" s="33">
        <v>54.64</v>
      </c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2160</v>
      </c>
      <c r="E62" s="32"/>
      <c r="F62" s="32"/>
      <c r="G62" s="32"/>
      <c r="H62" s="33">
        <v>21.26</v>
      </c>
      <c r="I62" s="33">
        <v>21.26</v>
      </c>
      <c r="J62" s="33">
        <v>21.26</v>
      </c>
      <c r="K62" s="33">
        <v>21.26</v>
      </c>
      <c r="L62" s="33">
        <v>21.26</v>
      </c>
      <c r="M62" s="33">
        <v>21.26</v>
      </c>
      <c r="N62" s="33">
        <v>21.26</v>
      </c>
      <c r="O62" s="33">
        <v>21.26</v>
      </c>
      <c r="P62" s="33">
        <v>21.26</v>
      </c>
      <c r="Q62" s="33">
        <v>21.26</v>
      </c>
      <c r="R62" s="33">
        <v>21.26</v>
      </c>
      <c r="S62" s="33">
        <v>21.26</v>
      </c>
      <c r="T62" s="33">
        <v>21.26</v>
      </c>
      <c r="U62" s="33">
        <v>21.26</v>
      </c>
      <c r="V62" s="33">
        <v>21.26</v>
      </c>
      <c r="W62" s="33">
        <v>21.37</v>
      </c>
      <c r="X62" s="33">
        <v>21.26</v>
      </c>
      <c r="Y62" s="33">
        <v>21.26</v>
      </c>
      <c r="Z62" s="33">
        <v>21.26</v>
      </c>
      <c r="AA62" s="33">
        <v>21.26</v>
      </c>
      <c r="AB62" s="33">
        <v>21.26</v>
      </c>
      <c r="AC62" s="33">
        <v>21.26</v>
      </c>
      <c r="AD62" s="33">
        <v>31.89</v>
      </c>
      <c r="AE62" s="33">
        <v>31.89</v>
      </c>
      <c r="AF62" s="33">
        <v>51.82</v>
      </c>
      <c r="AG62" s="33">
        <v>76.42</v>
      </c>
      <c r="AH62" s="33">
        <v>70.94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2161</v>
      </c>
      <c r="E63" s="32"/>
      <c r="F63" s="32"/>
      <c r="G63" s="32"/>
      <c r="H63" s="33">
        <v>24.99</v>
      </c>
      <c r="I63" s="33">
        <v>24.58</v>
      </c>
      <c r="J63" s="33">
        <v>24.69</v>
      </c>
      <c r="K63" s="33">
        <v>24.26</v>
      </c>
      <c r="L63" s="33">
        <v>24.76</v>
      </c>
      <c r="M63" s="33">
        <v>24.5</v>
      </c>
      <c r="N63" s="33">
        <v>24.67</v>
      </c>
      <c r="O63" s="33">
        <v>24.67</v>
      </c>
      <c r="P63" s="33">
        <v>24.9</v>
      </c>
      <c r="Q63" s="33">
        <v>25.17</v>
      </c>
      <c r="R63" s="33">
        <v>24.82</v>
      </c>
      <c r="S63" s="33">
        <v>25.15</v>
      </c>
      <c r="T63" s="33">
        <v>25.26</v>
      </c>
      <c r="U63" s="33">
        <v>24.71</v>
      </c>
      <c r="V63" s="33">
        <v>24.94</v>
      </c>
      <c r="W63" s="33">
        <v>24.36</v>
      </c>
      <c r="X63" s="33">
        <v>24.96</v>
      </c>
      <c r="Y63" s="33">
        <v>24.57</v>
      </c>
      <c r="Z63" s="33">
        <v>24.74</v>
      </c>
      <c r="AA63" s="33">
        <v>24.74</v>
      </c>
      <c r="AB63" s="33">
        <v>24.96</v>
      </c>
      <c r="AC63" s="33">
        <v>25.38</v>
      </c>
      <c r="AD63" s="33">
        <v>35.53</v>
      </c>
      <c r="AE63" s="33">
        <v>35.98</v>
      </c>
      <c r="AF63" s="33">
        <v>36.1</v>
      </c>
      <c r="AG63" s="33">
        <v>35.62</v>
      </c>
      <c r="AH63" s="33">
        <v>35.62</v>
      </c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2162</v>
      </c>
      <c r="E64" s="32"/>
      <c r="F64" s="32"/>
      <c r="G64" s="32"/>
      <c r="H64" s="33">
        <v>21.26</v>
      </c>
      <c r="I64" s="33">
        <v>21.26</v>
      </c>
      <c r="J64" s="33">
        <v>33.29</v>
      </c>
      <c r="K64" s="33">
        <v>37.85</v>
      </c>
      <c r="L64" s="33">
        <v>24.1</v>
      </c>
      <c r="M64" s="33">
        <v>21.26</v>
      </c>
      <c r="N64" s="33">
        <v>21.26</v>
      </c>
      <c r="O64" s="33">
        <v>21.26</v>
      </c>
      <c r="P64" s="33">
        <v>21.26</v>
      </c>
      <c r="Q64" s="33">
        <v>21.26</v>
      </c>
      <c r="R64" s="33">
        <v>21.26</v>
      </c>
      <c r="S64" s="33">
        <v>57.83</v>
      </c>
      <c r="T64" s="33">
        <v>63.84</v>
      </c>
      <c r="U64" s="33">
        <v>66.74</v>
      </c>
      <c r="V64" s="33">
        <v>65.74</v>
      </c>
      <c r="W64" s="33">
        <v>21.26</v>
      </c>
      <c r="X64" s="33">
        <v>21.26</v>
      </c>
      <c r="Y64" s="33">
        <v>21.26</v>
      </c>
      <c r="Z64" s="33">
        <v>21.26</v>
      </c>
      <c r="AA64" s="33">
        <v>21.26</v>
      </c>
      <c r="AB64" s="33">
        <v>21.26</v>
      </c>
      <c r="AC64" s="33">
        <v>21.26</v>
      </c>
      <c r="AD64" s="33">
        <v>31.89</v>
      </c>
      <c r="AE64" s="33">
        <v>91.33</v>
      </c>
      <c r="AF64" s="33">
        <v>134.62</v>
      </c>
      <c r="AG64" s="33">
        <v>124.02</v>
      </c>
      <c r="AH64" s="33">
        <v>107.21</v>
      </c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2163</v>
      </c>
      <c r="E65" s="32"/>
      <c r="F65" s="32"/>
      <c r="G65" s="32"/>
      <c r="H65" s="33">
        <v>61.81</v>
      </c>
      <c r="I65" s="33">
        <v>188.61</v>
      </c>
      <c r="J65" s="33">
        <v>359.1</v>
      </c>
      <c r="K65" s="33">
        <v>445.39</v>
      </c>
      <c r="L65" s="33">
        <v>479.86</v>
      </c>
      <c r="M65" s="33">
        <v>149.1</v>
      </c>
      <c r="N65" s="33">
        <v>42.69</v>
      </c>
      <c r="O65" s="33">
        <v>36.74</v>
      </c>
      <c r="P65" s="33">
        <v>36.01</v>
      </c>
      <c r="Q65" s="33">
        <v>70.99</v>
      </c>
      <c r="R65" s="33">
        <v>363.13</v>
      </c>
      <c r="S65" s="33">
        <v>355.57</v>
      </c>
      <c r="T65" s="33">
        <v>437</v>
      </c>
      <c r="U65" s="33">
        <v>576.07</v>
      </c>
      <c r="V65" s="33">
        <v>575.66</v>
      </c>
      <c r="W65" s="33">
        <v>618.24</v>
      </c>
      <c r="X65" s="33">
        <v>218.68</v>
      </c>
      <c r="Y65" s="33">
        <v>36.28</v>
      </c>
      <c r="Z65" s="33">
        <v>36.84</v>
      </c>
      <c r="AA65" s="33">
        <v>36.98</v>
      </c>
      <c r="AB65" s="33">
        <v>36.13</v>
      </c>
      <c r="AC65" s="33">
        <v>208.65</v>
      </c>
      <c r="AD65" s="33">
        <v>194.23</v>
      </c>
      <c r="AE65" s="33">
        <v>176.61</v>
      </c>
      <c r="AF65" s="33">
        <v>161.13</v>
      </c>
      <c r="AG65" s="33">
        <v>392.7</v>
      </c>
      <c r="AH65" s="33">
        <v>406.91</v>
      </c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2164</v>
      </c>
      <c r="E66" s="32"/>
      <c r="F66" s="32"/>
      <c r="G66" s="32"/>
      <c r="H66" s="33">
        <v>733.14</v>
      </c>
      <c r="I66" s="33">
        <v>794.85</v>
      </c>
      <c r="J66" s="33">
        <v>725.36</v>
      </c>
      <c r="K66" s="33">
        <v>706.18</v>
      </c>
      <c r="L66" s="33">
        <v>863.85</v>
      </c>
      <c r="M66" s="33">
        <v>1027.96</v>
      </c>
      <c r="N66" s="33">
        <v>1353.2</v>
      </c>
      <c r="O66" s="33">
        <v>1507.15</v>
      </c>
      <c r="P66" s="33">
        <v>1166.63</v>
      </c>
      <c r="Q66" s="33">
        <v>996.54</v>
      </c>
      <c r="R66" s="33">
        <v>844.16</v>
      </c>
      <c r="S66" s="33">
        <v>682.71</v>
      </c>
      <c r="T66" s="33">
        <v>564.5</v>
      </c>
      <c r="U66" s="33">
        <v>634.82</v>
      </c>
      <c r="V66" s="33">
        <v>583.73</v>
      </c>
      <c r="W66" s="33">
        <v>714.69</v>
      </c>
      <c r="X66" s="33">
        <v>822.22</v>
      </c>
      <c r="Y66" s="33">
        <v>971.69</v>
      </c>
      <c r="Z66" s="33">
        <v>1308.44</v>
      </c>
      <c r="AA66" s="33">
        <v>1424.03</v>
      </c>
      <c r="AB66" s="33">
        <v>1292.62</v>
      </c>
      <c r="AC66" s="33">
        <v>1030.04</v>
      </c>
      <c r="AD66" s="33">
        <v>803.8</v>
      </c>
      <c r="AE66" s="33">
        <v>759.49</v>
      </c>
      <c r="AF66" s="33">
        <v>798.75</v>
      </c>
      <c r="AG66" s="33">
        <v>803.79</v>
      </c>
      <c r="AH66" s="33">
        <v>678.84</v>
      </c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2165</v>
      </c>
      <c r="E67" s="32"/>
      <c r="F67" s="32"/>
      <c r="G67" s="32"/>
      <c r="H67" s="33">
        <v>21.26</v>
      </c>
      <c r="I67" s="33">
        <v>36.21</v>
      </c>
      <c r="J67" s="33">
        <v>72.62</v>
      </c>
      <c r="K67" s="33">
        <v>35.07</v>
      </c>
      <c r="L67" s="33">
        <v>21.26</v>
      </c>
      <c r="M67" s="33">
        <v>21.26</v>
      </c>
      <c r="N67" s="33">
        <v>21.26</v>
      </c>
      <c r="O67" s="33">
        <v>21.26</v>
      </c>
      <c r="P67" s="33">
        <v>21.26</v>
      </c>
      <c r="Q67" s="33">
        <v>21.26</v>
      </c>
      <c r="R67" s="33">
        <v>21.26</v>
      </c>
      <c r="S67" s="33">
        <v>21.26</v>
      </c>
      <c r="T67" s="33">
        <v>21.26</v>
      </c>
      <c r="U67" s="33">
        <v>49.19</v>
      </c>
      <c r="V67" s="33">
        <v>75.75</v>
      </c>
      <c r="W67" s="33">
        <v>47.39</v>
      </c>
      <c r="X67" s="33">
        <v>21.26</v>
      </c>
      <c r="Y67" s="33">
        <v>21.26</v>
      </c>
      <c r="Z67" s="33">
        <v>21.26</v>
      </c>
      <c r="AA67" s="33">
        <v>21.26</v>
      </c>
      <c r="AB67" s="33">
        <v>21.26</v>
      </c>
      <c r="AC67" s="33">
        <v>21.26</v>
      </c>
      <c r="AD67" s="33">
        <v>31.89</v>
      </c>
      <c r="AE67" s="33">
        <v>31.89</v>
      </c>
      <c r="AF67" s="33">
        <v>31.89</v>
      </c>
      <c r="AG67" s="33">
        <v>36.68</v>
      </c>
      <c r="AH67" s="33">
        <v>88.08</v>
      </c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2166</v>
      </c>
      <c r="E68" s="32"/>
      <c r="F68" s="32"/>
      <c r="G68" s="32"/>
      <c r="H68" s="33">
        <v>28.02</v>
      </c>
      <c r="I68" s="33">
        <v>39.21</v>
      </c>
      <c r="J68" s="36">
        <f>0.00+17.62</f>
        <v>17.62</v>
      </c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2167</v>
      </c>
      <c r="E69" s="32"/>
      <c r="F69" s="32"/>
      <c r="G69" s="32"/>
      <c r="H69" s="33">
        <v>21.26</v>
      </c>
      <c r="I69" s="33">
        <v>37.14</v>
      </c>
      <c r="J69" s="33">
        <v>92.34</v>
      </c>
      <c r="K69" s="33">
        <v>64.83</v>
      </c>
      <c r="L69" s="33">
        <v>32.97</v>
      </c>
      <c r="M69" s="33">
        <v>21.26</v>
      </c>
      <c r="N69" s="33">
        <v>21.26</v>
      </c>
      <c r="O69" s="33">
        <v>21.26</v>
      </c>
      <c r="P69" s="33">
        <v>21.26</v>
      </c>
      <c r="Q69" s="33">
        <v>21.26</v>
      </c>
      <c r="R69" s="33">
        <v>21.26</v>
      </c>
      <c r="S69" s="33">
        <v>21.26</v>
      </c>
      <c r="T69" s="33">
        <v>21.26</v>
      </c>
      <c r="U69" s="33">
        <v>54.51</v>
      </c>
      <c r="V69" s="33">
        <v>107.32</v>
      </c>
      <c r="W69" s="33">
        <v>81.63</v>
      </c>
      <c r="X69" s="33">
        <v>21.26</v>
      </c>
      <c r="Y69" s="33">
        <v>21.26</v>
      </c>
      <c r="Z69" s="33">
        <v>21.26</v>
      </c>
      <c r="AA69" s="33">
        <v>21.26</v>
      </c>
      <c r="AB69" s="33">
        <v>21.26</v>
      </c>
      <c r="AC69" s="33">
        <v>21.26</v>
      </c>
      <c r="AD69" s="33">
        <v>31.89</v>
      </c>
      <c r="AE69" s="33">
        <v>31.89</v>
      </c>
      <c r="AF69" s="33">
        <v>31.89</v>
      </c>
      <c r="AG69" s="33">
        <v>50.79</v>
      </c>
      <c r="AH69" s="33">
        <v>94.16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2168</v>
      </c>
      <c r="E70" s="32"/>
      <c r="F70" s="32"/>
      <c r="G70" s="32"/>
      <c r="H70" s="33">
        <v>49.89</v>
      </c>
      <c r="I70" s="33">
        <v>100.64</v>
      </c>
      <c r="J70" s="33">
        <v>100.73</v>
      </c>
      <c r="K70" s="33">
        <v>25.71</v>
      </c>
      <c r="L70" s="33">
        <v>34.73</v>
      </c>
      <c r="M70" s="33">
        <v>109.88</v>
      </c>
      <c r="N70" s="33">
        <v>140.71</v>
      </c>
      <c r="O70" s="33">
        <v>142.12</v>
      </c>
      <c r="P70" s="33">
        <v>74.46</v>
      </c>
      <c r="Q70" s="33">
        <v>21.26</v>
      </c>
      <c r="R70" s="33">
        <v>21.26</v>
      </c>
      <c r="S70" s="33">
        <v>21.26</v>
      </c>
      <c r="T70" s="33">
        <v>21.26</v>
      </c>
      <c r="U70" s="33">
        <v>21.26</v>
      </c>
      <c r="V70" s="33">
        <v>63.96</v>
      </c>
      <c r="W70" s="33">
        <v>64.74</v>
      </c>
      <c r="X70" s="33">
        <v>21.26</v>
      </c>
      <c r="Y70" s="33">
        <v>21.26</v>
      </c>
      <c r="Z70" s="33">
        <v>21.26</v>
      </c>
      <c r="AA70" s="33">
        <v>21.26</v>
      </c>
      <c r="AB70" s="33">
        <v>21.26</v>
      </c>
      <c r="AC70" s="33">
        <v>21.26</v>
      </c>
      <c r="AD70" s="33">
        <v>31.89</v>
      </c>
      <c r="AE70" s="33">
        <v>33.75</v>
      </c>
      <c r="AF70" s="33">
        <v>64.08</v>
      </c>
      <c r="AG70" s="33">
        <v>69.8</v>
      </c>
      <c r="AH70" s="33">
        <v>31.89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2169</v>
      </c>
      <c r="E71" s="32"/>
      <c r="F71" s="32"/>
      <c r="G71" s="32"/>
      <c r="H71" s="33">
        <v>24.69</v>
      </c>
      <c r="I71" s="33">
        <v>26.13</v>
      </c>
      <c r="J71" s="33">
        <v>25.11</v>
      </c>
      <c r="K71" s="33">
        <v>24.88</v>
      </c>
      <c r="L71" s="33">
        <v>28.53</v>
      </c>
      <c r="M71" s="33">
        <v>30.01</v>
      </c>
      <c r="N71" s="33">
        <v>69.57</v>
      </c>
      <c r="O71" s="36">
        <f>37.56+0.00</f>
        <v>37.56</v>
      </c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2170</v>
      </c>
      <c r="E72" s="32"/>
      <c r="F72" s="32"/>
      <c r="G72" s="32"/>
      <c r="H72" s="33">
        <v>80.08</v>
      </c>
      <c r="I72" s="33">
        <v>79.15</v>
      </c>
      <c r="J72" s="33">
        <v>85.58</v>
      </c>
      <c r="K72" s="33">
        <v>74.19</v>
      </c>
      <c r="L72" s="33">
        <v>53.44</v>
      </c>
      <c r="M72" s="33">
        <v>21.26</v>
      </c>
      <c r="N72" s="33">
        <v>21.26</v>
      </c>
      <c r="O72" s="33">
        <v>21.26</v>
      </c>
      <c r="P72" s="33">
        <v>54.13</v>
      </c>
      <c r="Q72" s="33">
        <v>240.39</v>
      </c>
      <c r="R72" s="33">
        <v>28.25</v>
      </c>
      <c r="S72" s="33">
        <v>65.08</v>
      </c>
      <c r="T72" s="33">
        <v>106.09</v>
      </c>
      <c r="U72" s="33">
        <v>95.53</v>
      </c>
      <c r="V72" s="33">
        <v>90.54</v>
      </c>
      <c r="W72" s="33">
        <v>77.3</v>
      </c>
      <c r="X72" s="33">
        <v>44.73</v>
      </c>
      <c r="Y72" s="33">
        <v>21.26</v>
      </c>
      <c r="Z72" s="33">
        <v>21.26</v>
      </c>
      <c r="AA72" s="33">
        <v>21.26</v>
      </c>
      <c r="AB72" s="33">
        <v>21.26</v>
      </c>
      <c r="AC72" s="33">
        <v>21.26</v>
      </c>
      <c r="AD72" s="33">
        <v>31.89</v>
      </c>
      <c r="AE72" s="36">
        <f>64.44+0.00</f>
        <v>64.44</v>
      </c>
      <c r="AF72" s="32"/>
      <c r="AG72" s="32"/>
      <c r="AH72" s="32"/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2171</v>
      </c>
      <c r="E73" s="32"/>
      <c r="F73" s="32"/>
      <c r="G73" s="32"/>
      <c r="H73" s="33">
        <v>31.75</v>
      </c>
      <c r="I73" s="33">
        <v>31.96</v>
      </c>
      <c r="J73" s="33">
        <v>34.7</v>
      </c>
      <c r="K73" s="33">
        <v>33.06</v>
      </c>
      <c r="L73" s="33">
        <v>31.88</v>
      </c>
      <c r="M73" s="33">
        <v>31.5</v>
      </c>
      <c r="N73" s="33">
        <v>31.52</v>
      </c>
      <c r="O73" s="33">
        <v>31.52</v>
      </c>
      <c r="P73" s="33">
        <v>31.5</v>
      </c>
      <c r="Q73" s="33">
        <v>31.39</v>
      </c>
      <c r="R73" s="33">
        <v>31.41</v>
      </c>
      <c r="S73" s="33">
        <v>31.31</v>
      </c>
      <c r="T73" s="33">
        <v>31.62</v>
      </c>
      <c r="U73" s="33">
        <v>31.31</v>
      </c>
      <c r="V73" s="33">
        <v>31.31</v>
      </c>
      <c r="W73" s="33">
        <v>31.41</v>
      </c>
      <c r="X73" s="33">
        <v>31.41</v>
      </c>
      <c r="Y73" s="33">
        <v>31.52</v>
      </c>
      <c r="Z73" s="33">
        <v>31.54</v>
      </c>
      <c r="AA73" s="33">
        <v>31.54</v>
      </c>
      <c r="AB73" s="33">
        <v>31.52</v>
      </c>
      <c r="AC73" s="33">
        <v>31.41</v>
      </c>
      <c r="AD73" s="33">
        <v>31.4</v>
      </c>
      <c r="AE73" s="33">
        <v>31.32</v>
      </c>
      <c r="AF73" s="33">
        <v>31.4</v>
      </c>
      <c r="AG73" s="33">
        <v>31.32</v>
      </c>
      <c r="AH73" s="33">
        <v>31.32</v>
      </c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2172</v>
      </c>
      <c r="E74" s="32"/>
      <c r="F74" s="32"/>
      <c r="G74" s="32"/>
      <c r="H74" s="33">
        <v>50.93</v>
      </c>
      <c r="I74" s="33">
        <v>86.51</v>
      </c>
      <c r="J74" s="33">
        <v>90.45</v>
      </c>
      <c r="K74" s="33">
        <v>60.9</v>
      </c>
      <c r="L74" s="33">
        <v>21.26</v>
      </c>
      <c r="M74" s="33">
        <v>21.26</v>
      </c>
      <c r="N74" s="33">
        <v>21.26</v>
      </c>
      <c r="O74" s="33">
        <v>21.26</v>
      </c>
      <c r="P74" s="33">
        <v>21.26</v>
      </c>
      <c r="Q74" s="33">
        <v>21.26</v>
      </c>
      <c r="R74" s="33">
        <v>21.26</v>
      </c>
      <c r="S74" s="33">
        <v>21.26</v>
      </c>
      <c r="T74" s="33">
        <v>60.3</v>
      </c>
      <c r="U74" s="33">
        <v>116.11</v>
      </c>
      <c r="V74" s="33">
        <v>90.54</v>
      </c>
      <c r="W74" s="33">
        <v>45.72</v>
      </c>
      <c r="X74" s="33">
        <v>21.26</v>
      </c>
      <c r="Y74" s="33">
        <v>21.26</v>
      </c>
      <c r="Z74" s="33">
        <v>21.26</v>
      </c>
      <c r="AA74" s="33">
        <v>21.26</v>
      </c>
      <c r="AB74" s="33">
        <v>21.26</v>
      </c>
      <c r="AC74" s="33">
        <v>21.26</v>
      </c>
      <c r="AD74" s="33">
        <v>31.89</v>
      </c>
      <c r="AE74" s="33">
        <v>31.89</v>
      </c>
      <c r="AF74" s="33">
        <v>62.2</v>
      </c>
      <c r="AG74" s="33">
        <v>102.09</v>
      </c>
      <c r="AH74" s="33">
        <v>60.7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2173</v>
      </c>
      <c r="E75" s="32"/>
      <c r="F75" s="32"/>
      <c r="G75" s="32"/>
      <c r="H75" s="33">
        <v>21.26</v>
      </c>
      <c r="I75" s="33">
        <v>21.26</v>
      </c>
      <c r="J75" s="33">
        <v>21.26</v>
      </c>
      <c r="K75" s="33">
        <v>73.44</v>
      </c>
      <c r="L75" s="33">
        <v>27.19</v>
      </c>
      <c r="M75" s="33">
        <v>21.26</v>
      </c>
      <c r="N75" s="33">
        <v>21.26</v>
      </c>
      <c r="O75" s="33">
        <v>21.26</v>
      </c>
      <c r="P75" s="33">
        <v>21.26</v>
      </c>
      <c r="Q75" s="33">
        <v>21.26</v>
      </c>
      <c r="R75" s="33">
        <v>21.26</v>
      </c>
      <c r="S75" s="33">
        <v>21.26</v>
      </c>
      <c r="T75" s="33">
        <v>36.83</v>
      </c>
      <c r="U75" s="33">
        <v>63.41</v>
      </c>
      <c r="V75" s="33">
        <v>48.82</v>
      </c>
      <c r="W75" s="33">
        <v>60.05</v>
      </c>
      <c r="X75" s="33">
        <v>21.26</v>
      </c>
      <c r="Y75" s="33">
        <v>21.26</v>
      </c>
      <c r="Z75" s="33">
        <v>21.26</v>
      </c>
      <c r="AA75" s="33">
        <v>21.26</v>
      </c>
      <c r="AB75" s="33">
        <v>21.26</v>
      </c>
      <c r="AC75" s="33">
        <v>21.26</v>
      </c>
      <c r="AD75" s="33">
        <v>31.89</v>
      </c>
      <c r="AE75" s="33">
        <v>31.89</v>
      </c>
      <c r="AF75" s="33">
        <v>54.74</v>
      </c>
      <c r="AG75" s="33">
        <v>95.32</v>
      </c>
      <c r="AH75" s="33">
        <v>102.09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2174</v>
      </c>
      <c r="E76" s="32"/>
      <c r="F76" s="32"/>
      <c r="G76" s="32"/>
      <c r="H76" s="33">
        <v>21.26</v>
      </c>
      <c r="I76" s="33">
        <v>47.31</v>
      </c>
      <c r="J76" s="33">
        <v>46.17</v>
      </c>
      <c r="K76" s="33">
        <v>21.26</v>
      </c>
      <c r="L76" s="33">
        <v>21.26</v>
      </c>
      <c r="M76" s="33">
        <v>21.26</v>
      </c>
      <c r="N76" s="33">
        <v>21.26</v>
      </c>
      <c r="O76" s="33">
        <v>21.26</v>
      </c>
      <c r="P76" s="33">
        <v>21.26</v>
      </c>
      <c r="Q76" s="33">
        <v>21.26</v>
      </c>
      <c r="R76" s="33">
        <v>21.26</v>
      </c>
      <c r="S76" s="33">
        <v>118.23</v>
      </c>
      <c r="T76" s="33">
        <v>141.68</v>
      </c>
      <c r="U76" s="33">
        <v>151.23</v>
      </c>
      <c r="V76" s="33">
        <v>144.23</v>
      </c>
      <c r="W76" s="33">
        <v>131.91</v>
      </c>
      <c r="X76" s="33">
        <v>29.9</v>
      </c>
      <c r="Y76" s="33">
        <v>21.26</v>
      </c>
      <c r="Z76" s="33">
        <v>21.26</v>
      </c>
      <c r="AA76" s="33">
        <v>21.26</v>
      </c>
      <c r="AB76" s="33">
        <v>21.26</v>
      </c>
      <c r="AC76" s="33">
        <v>21.26</v>
      </c>
      <c r="AD76" s="33">
        <v>31.89</v>
      </c>
      <c r="AE76" s="33">
        <v>31.89</v>
      </c>
      <c r="AF76" s="33">
        <v>31.89</v>
      </c>
      <c r="AG76" s="33">
        <v>44.26</v>
      </c>
      <c r="AH76" s="33">
        <v>100.81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2175</v>
      </c>
      <c r="E77" s="32"/>
      <c r="F77" s="32"/>
      <c r="G77" s="32"/>
      <c r="H77" s="33">
        <v>59.54</v>
      </c>
      <c r="I77" s="33">
        <v>59.23</v>
      </c>
      <c r="J77" s="33">
        <v>56.33</v>
      </c>
      <c r="K77" s="33">
        <v>41.7</v>
      </c>
      <c r="L77" s="33">
        <v>21.26</v>
      </c>
      <c r="M77" s="33">
        <v>21.26</v>
      </c>
      <c r="N77" s="33">
        <v>21.26</v>
      </c>
      <c r="O77" s="33">
        <v>21.26</v>
      </c>
      <c r="P77" s="33">
        <v>21.26</v>
      </c>
      <c r="Q77" s="33">
        <v>21.26</v>
      </c>
      <c r="R77" s="33">
        <v>21.26</v>
      </c>
      <c r="S77" s="33">
        <v>36.61</v>
      </c>
      <c r="T77" s="33">
        <v>21.26</v>
      </c>
      <c r="U77" s="33">
        <v>21.26</v>
      </c>
      <c r="V77" s="33">
        <v>81.09</v>
      </c>
      <c r="W77" s="33">
        <v>76.31</v>
      </c>
      <c r="X77" s="33">
        <v>21.26</v>
      </c>
      <c r="Y77" s="33">
        <v>21.26</v>
      </c>
      <c r="Z77" s="33">
        <v>21.26</v>
      </c>
      <c r="AA77" s="33">
        <v>21.26</v>
      </c>
      <c r="AB77" s="33">
        <v>81.29</v>
      </c>
      <c r="AC77" s="33">
        <v>226.59</v>
      </c>
      <c r="AD77" s="33">
        <v>120.17</v>
      </c>
      <c r="AE77" s="33">
        <v>142.34</v>
      </c>
      <c r="AF77" s="33">
        <v>146.87</v>
      </c>
      <c r="AG77" s="33">
        <v>125.53</v>
      </c>
      <c r="AH77" s="33">
        <v>111.19</v>
      </c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2176</v>
      </c>
      <c r="E78" s="32"/>
      <c r="F78" s="32"/>
      <c r="G78" s="32"/>
      <c r="H78" s="32"/>
      <c r="I78" s="36">
        <f>80.88+0.00</f>
        <v>80.88</v>
      </c>
      <c r="J78" s="33">
        <v>82.27</v>
      </c>
      <c r="K78" s="33">
        <v>64.52</v>
      </c>
      <c r="L78" s="33">
        <v>57.89</v>
      </c>
      <c r="M78" s="33">
        <v>60.19</v>
      </c>
      <c r="N78" s="33">
        <v>49.6</v>
      </c>
      <c r="O78" s="33">
        <v>21.26</v>
      </c>
      <c r="P78" s="33">
        <v>21.26</v>
      </c>
      <c r="Q78" s="33">
        <v>21.26</v>
      </c>
      <c r="R78" s="33">
        <v>22.93</v>
      </c>
      <c r="S78" s="33">
        <v>27.82</v>
      </c>
      <c r="T78" s="33">
        <v>26.85</v>
      </c>
      <c r="U78" s="33">
        <v>25.93</v>
      </c>
      <c r="V78" s="33">
        <v>27.82</v>
      </c>
      <c r="W78" s="33">
        <v>31.93</v>
      </c>
      <c r="X78" s="33">
        <v>48.99</v>
      </c>
      <c r="Y78" s="33">
        <v>70.69</v>
      </c>
      <c r="Z78" s="33">
        <v>95.89</v>
      </c>
      <c r="AA78" s="33">
        <v>80.59</v>
      </c>
      <c r="AB78" s="33">
        <v>100.09</v>
      </c>
      <c r="AC78" s="33">
        <v>72.5</v>
      </c>
      <c r="AD78" s="33">
        <v>44.19</v>
      </c>
      <c r="AE78" s="33">
        <v>38.34</v>
      </c>
      <c r="AF78" s="33">
        <v>36.91</v>
      </c>
      <c r="AG78" s="33">
        <v>36.45</v>
      </c>
      <c r="AH78" s="33">
        <v>41.44</v>
      </c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2177</v>
      </c>
      <c r="E79" s="32"/>
      <c r="F79" s="32"/>
      <c r="G79" s="32"/>
      <c r="H79" s="33">
        <v>24.18</v>
      </c>
      <c r="I79" s="33">
        <v>41.3</v>
      </c>
      <c r="J79" s="33">
        <v>40.25</v>
      </c>
      <c r="K79" s="33">
        <v>42.64</v>
      </c>
      <c r="L79" s="33">
        <v>21.58</v>
      </c>
      <c r="M79" s="33">
        <v>21.26</v>
      </c>
      <c r="N79" s="33">
        <v>21.26</v>
      </c>
      <c r="O79" s="33">
        <v>21.26</v>
      </c>
      <c r="P79" s="33">
        <v>21.26</v>
      </c>
      <c r="Q79" s="33">
        <v>21.26</v>
      </c>
      <c r="R79" s="33">
        <v>102.98</v>
      </c>
      <c r="S79" s="33">
        <v>70.4</v>
      </c>
      <c r="T79" s="33">
        <v>82.98</v>
      </c>
      <c r="U79" s="33">
        <v>25.38</v>
      </c>
      <c r="V79" s="33">
        <v>47.84</v>
      </c>
      <c r="W79" s="33">
        <v>61.86</v>
      </c>
      <c r="X79" s="33">
        <v>21.26</v>
      </c>
      <c r="Y79" s="33">
        <v>21.26</v>
      </c>
      <c r="Z79" s="33">
        <v>21.26</v>
      </c>
      <c r="AA79" s="33">
        <v>21.26</v>
      </c>
      <c r="AB79" s="33">
        <v>75.37</v>
      </c>
      <c r="AC79" s="33">
        <v>196.38</v>
      </c>
      <c r="AD79" s="33">
        <v>107.29</v>
      </c>
      <c r="AE79" s="33">
        <v>74.45</v>
      </c>
      <c r="AF79" s="33">
        <v>95.79</v>
      </c>
      <c r="AG79" s="33">
        <v>31.89</v>
      </c>
      <c r="AH79" s="33">
        <v>31.89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2178</v>
      </c>
      <c r="E80" s="32"/>
      <c r="F80" s="32"/>
      <c r="G80" s="32"/>
      <c r="H80" s="33">
        <v>375.71</v>
      </c>
      <c r="I80" s="33">
        <v>365.39</v>
      </c>
      <c r="J80" s="33">
        <v>362.54</v>
      </c>
      <c r="K80" s="33">
        <v>238.46</v>
      </c>
      <c r="L80" s="33">
        <v>259.56</v>
      </c>
      <c r="M80" s="33">
        <v>377.34</v>
      </c>
      <c r="N80" s="33">
        <v>704.05</v>
      </c>
      <c r="O80" s="33">
        <v>758.11</v>
      </c>
      <c r="P80" s="33">
        <v>567.56</v>
      </c>
      <c r="Q80" s="33">
        <v>482.28</v>
      </c>
      <c r="R80" s="33">
        <v>253.79</v>
      </c>
      <c r="S80" s="33">
        <v>290.78</v>
      </c>
      <c r="T80" s="33">
        <v>375.55</v>
      </c>
      <c r="U80" s="33">
        <v>394.57</v>
      </c>
      <c r="V80" s="33">
        <v>284.66</v>
      </c>
      <c r="W80" s="33">
        <v>302.99</v>
      </c>
      <c r="X80" s="33">
        <v>334.48</v>
      </c>
      <c r="Y80" s="33">
        <v>446.55</v>
      </c>
      <c r="Z80" s="33">
        <v>702.3</v>
      </c>
      <c r="AA80" s="33">
        <v>757.65</v>
      </c>
      <c r="AB80" s="33">
        <v>566.22</v>
      </c>
      <c r="AC80" s="33">
        <v>481.37</v>
      </c>
      <c r="AD80" s="33">
        <v>303.15</v>
      </c>
      <c r="AE80" s="33">
        <v>377.37</v>
      </c>
      <c r="AF80" s="33">
        <v>375.58</v>
      </c>
      <c r="AG80" s="33">
        <v>406.76</v>
      </c>
      <c r="AH80" s="33">
        <v>351.96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2179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6">
        <f>0.00+45.51</f>
        <v>45.51</v>
      </c>
      <c r="AD81" s="33">
        <v>37.28</v>
      </c>
      <c r="AE81" s="33">
        <v>35.76</v>
      </c>
      <c r="AF81" s="33">
        <v>35.5</v>
      </c>
      <c r="AG81" s="33">
        <v>35.16</v>
      </c>
      <c r="AH81" s="33">
        <v>37.75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3</v>
      </c>
      <c r="D82" s="32" t="s">
        <v>2180</v>
      </c>
      <c r="E82" s="32"/>
      <c r="F82" s="32"/>
      <c r="G82" s="32"/>
      <c r="H82" s="33">
        <v>158.95</v>
      </c>
      <c r="I82" s="33">
        <v>240.39</v>
      </c>
      <c r="J82" s="33">
        <v>197.73</v>
      </c>
      <c r="K82" s="33">
        <v>162.84</v>
      </c>
      <c r="L82" s="33">
        <v>231.67</v>
      </c>
      <c r="M82" s="33">
        <v>261.06</v>
      </c>
      <c r="N82" s="33">
        <v>503.11</v>
      </c>
      <c r="O82" s="33">
        <v>510.23</v>
      </c>
      <c r="P82" s="33">
        <v>416.27</v>
      </c>
      <c r="Q82" s="33">
        <v>400.03</v>
      </c>
      <c r="R82" s="33">
        <v>252.3</v>
      </c>
      <c r="S82" s="33">
        <v>128.53</v>
      </c>
      <c r="T82" s="33">
        <v>144.33</v>
      </c>
      <c r="U82" s="33">
        <v>172.22</v>
      </c>
      <c r="V82" s="33">
        <v>114.05</v>
      </c>
      <c r="W82" s="33">
        <v>94.66</v>
      </c>
      <c r="X82" s="33">
        <v>112.15</v>
      </c>
      <c r="Y82" s="33">
        <v>186.16</v>
      </c>
      <c r="Z82" s="33">
        <v>239.45</v>
      </c>
      <c r="AA82" s="33">
        <v>444.97</v>
      </c>
      <c r="AB82" s="33">
        <v>440.19</v>
      </c>
      <c r="AC82" s="33">
        <v>388.48</v>
      </c>
      <c r="AD82" s="33">
        <v>199.1</v>
      </c>
      <c r="AE82" s="33">
        <v>144.21</v>
      </c>
      <c r="AF82" s="33">
        <v>163.79</v>
      </c>
      <c r="AG82" s="33">
        <v>175.36</v>
      </c>
      <c r="AH82" s="33">
        <v>151.39</v>
      </c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3</v>
      </c>
      <c r="D83" s="32" t="s">
        <v>2181</v>
      </c>
      <c r="E83" s="32"/>
      <c r="F83" s="32"/>
      <c r="G83" s="32"/>
      <c r="H83" s="33">
        <v>21.26</v>
      </c>
      <c r="I83" s="33">
        <v>28.73</v>
      </c>
      <c r="J83" s="33">
        <v>49.16</v>
      </c>
      <c r="K83" s="33">
        <v>24.16</v>
      </c>
      <c r="L83" s="33">
        <v>35.68</v>
      </c>
      <c r="M83" s="33">
        <v>21.26</v>
      </c>
      <c r="N83" s="33">
        <v>21.26</v>
      </c>
      <c r="O83" s="33">
        <v>21.26</v>
      </c>
      <c r="P83" s="33">
        <v>21.26</v>
      </c>
      <c r="Q83" s="33">
        <v>21.26</v>
      </c>
      <c r="R83" s="33">
        <v>21.26</v>
      </c>
      <c r="S83" s="33">
        <v>21.26</v>
      </c>
      <c r="T83" s="33">
        <v>78.85</v>
      </c>
      <c r="U83" s="33">
        <v>130.89</v>
      </c>
      <c r="V83" s="33">
        <v>123.33</v>
      </c>
      <c r="W83" s="33">
        <v>93.08</v>
      </c>
      <c r="X83" s="33">
        <v>27.16</v>
      </c>
      <c r="Y83" s="33">
        <v>21.26</v>
      </c>
      <c r="Z83" s="33">
        <v>21.54</v>
      </c>
      <c r="AA83" s="33">
        <v>21.26</v>
      </c>
      <c r="AB83" s="33">
        <v>21.26</v>
      </c>
      <c r="AC83" s="33">
        <v>21.26</v>
      </c>
      <c r="AD83" s="33">
        <v>33.18</v>
      </c>
      <c r="AE83" s="33">
        <v>132.02</v>
      </c>
      <c r="AF83" s="36">
        <f>0.00+121.56</f>
        <v>121.56</v>
      </c>
      <c r="AG83" s="32"/>
      <c r="AH83" s="32"/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3</v>
      </c>
      <c r="D84" s="32" t="s">
        <v>2182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6">
        <f>0.00+80.45</f>
        <v>80.45</v>
      </c>
      <c r="U84" s="33">
        <v>50.63</v>
      </c>
      <c r="V84" s="33">
        <v>48.16</v>
      </c>
      <c r="W84" s="33">
        <v>22.39</v>
      </c>
      <c r="X84" s="33">
        <v>21.26</v>
      </c>
      <c r="Y84" s="33">
        <v>21.26</v>
      </c>
      <c r="Z84" s="33">
        <v>21.26</v>
      </c>
      <c r="AA84" s="33">
        <v>21.26</v>
      </c>
      <c r="AB84" s="33">
        <v>21.26</v>
      </c>
      <c r="AC84" s="33">
        <v>21.26</v>
      </c>
      <c r="AD84" s="33">
        <v>31.89</v>
      </c>
      <c r="AE84" s="33">
        <v>31.89</v>
      </c>
      <c r="AF84" s="33">
        <v>31.89</v>
      </c>
      <c r="AG84" s="33">
        <v>31.89</v>
      </c>
      <c r="AH84" s="33">
        <v>56.16</v>
      </c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3</v>
      </c>
      <c r="D85" s="32" t="s">
        <v>2183</v>
      </c>
      <c r="E85" s="32"/>
      <c r="F85" s="32"/>
      <c r="G85" s="32"/>
      <c r="H85" s="33">
        <v>21.26</v>
      </c>
      <c r="I85" s="33">
        <v>21.26</v>
      </c>
      <c r="J85" s="33">
        <v>21.26</v>
      </c>
      <c r="K85" s="33">
        <v>70.74</v>
      </c>
      <c r="L85" s="33">
        <v>38.5</v>
      </c>
      <c r="M85" s="33">
        <v>21.26</v>
      </c>
      <c r="N85" s="33">
        <v>21.26</v>
      </c>
      <c r="O85" s="33">
        <v>21.26</v>
      </c>
      <c r="P85" s="33">
        <v>21.26</v>
      </c>
      <c r="Q85" s="33">
        <v>21.26</v>
      </c>
      <c r="R85" s="33">
        <v>34.05</v>
      </c>
      <c r="S85" s="33">
        <v>88.86</v>
      </c>
      <c r="T85" s="33">
        <v>83.41</v>
      </c>
      <c r="U85" s="33">
        <v>90.2</v>
      </c>
      <c r="V85" s="33">
        <v>53.38</v>
      </c>
      <c r="W85" s="33">
        <v>21.26</v>
      </c>
      <c r="X85" s="33">
        <v>29.49</v>
      </c>
      <c r="Y85" s="33">
        <v>21.26</v>
      </c>
      <c r="Z85" s="33">
        <v>21.26</v>
      </c>
      <c r="AA85" s="33">
        <v>21.26</v>
      </c>
      <c r="AB85" s="33">
        <v>21.26</v>
      </c>
      <c r="AC85" s="33">
        <v>21.26</v>
      </c>
      <c r="AD85" s="33">
        <v>31.89</v>
      </c>
      <c r="AE85" s="33">
        <v>31.89</v>
      </c>
      <c r="AF85" s="33">
        <v>31.89</v>
      </c>
      <c r="AG85" s="33">
        <v>31.89</v>
      </c>
      <c r="AH85" s="33">
        <v>40.86</v>
      </c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3</v>
      </c>
      <c r="D86" s="32" t="s">
        <v>2184</v>
      </c>
      <c r="E86" s="32"/>
      <c r="F86" s="32"/>
      <c r="G86" s="32"/>
      <c r="H86" s="32"/>
      <c r="I86" s="36">
        <f>56.34+0.00</f>
        <v>56.34</v>
      </c>
      <c r="J86" s="33">
        <v>101.27</v>
      </c>
      <c r="K86" s="33">
        <v>37.34</v>
      </c>
      <c r="L86" s="33">
        <v>21.26</v>
      </c>
      <c r="M86" s="33">
        <v>21.26</v>
      </c>
      <c r="N86" s="33">
        <v>21.26</v>
      </c>
      <c r="O86" s="33">
        <v>21.26</v>
      </c>
      <c r="P86" s="33">
        <v>21.26</v>
      </c>
      <c r="Q86" s="33">
        <v>21.26</v>
      </c>
      <c r="R86" s="33">
        <v>21.26</v>
      </c>
      <c r="S86" s="33">
        <v>21.26</v>
      </c>
      <c r="T86" s="33">
        <v>21.26</v>
      </c>
      <c r="U86" s="33">
        <v>81.63</v>
      </c>
      <c r="V86" s="33">
        <v>94.43</v>
      </c>
      <c r="W86" s="33">
        <v>39.62</v>
      </c>
      <c r="X86" s="33">
        <v>21.26</v>
      </c>
      <c r="Y86" s="33">
        <v>21.26</v>
      </c>
      <c r="Z86" s="33">
        <v>21.26</v>
      </c>
      <c r="AA86" s="33">
        <v>21.26</v>
      </c>
      <c r="AB86" s="33">
        <v>21.26</v>
      </c>
      <c r="AC86" s="33">
        <v>21.26</v>
      </c>
      <c r="AD86" s="33">
        <v>31.89</v>
      </c>
      <c r="AE86" s="33">
        <v>31.89</v>
      </c>
      <c r="AF86" s="33">
        <v>38.31</v>
      </c>
      <c r="AG86" s="33">
        <v>31.89</v>
      </c>
      <c r="AH86" s="33">
        <v>31.89</v>
      </c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3</v>
      </c>
      <c r="D87" s="32" t="s">
        <v>2185</v>
      </c>
      <c r="E87" s="32"/>
      <c r="F87" s="32"/>
      <c r="G87" s="32"/>
      <c r="H87" s="33">
        <v>203.01</v>
      </c>
      <c r="I87" s="33">
        <v>211.18</v>
      </c>
      <c r="J87" s="33">
        <v>188.52</v>
      </c>
      <c r="K87" s="33">
        <v>197.55</v>
      </c>
      <c r="L87" s="33">
        <v>224.64</v>
      </c>
      <c r="M87" s="33">
        <v>238.62</v>
      </c>
      <c r="N87" s="33">
        <v>361.52</v>
      </c>
      <c r="O87" s="33">
        <v>388.6</v>
      </c>
      <c r="P87" s="33">
        <v>340.64</v>
      </c>
      <c r="Q87" s="33">
        <v>339.27</v>
      </c>
      <c r="R87" s="33">
        <v>274.57</v>
      </c>
      <c r="S87" s="33">
        <v>216.64</v>
      </c>
      <c r="T87" s="33">
        <v>222.08</v>
      </c>
      <c r="U87" s="33">
        <v>225.79</v>
      </c>
      <c r="V87" s="33">
        <v>202.16</v>
      </c>
      <c r="W87" s="33">
        <v>229.26</v>
      </c>
      <c r="X87" s="33">
        <v>231.02</v>
      </c>
      <c r="Y87" s="33">
        <v>279.24</v>
      </c>
      <c r="Z87" s="33">
        <v>377.32</v>
      </c>
      <c r="AA87" s="33">
        <v>404.64</v>
      </c>
      <c r="AB87" s="33">
        <v>374.59</v>
      </c>
      <c r="AC87" s="33">
        <v>315.32</v>
      </c>
      <c r="AD87" s="33">
        <v>107.69</v>
      </c>
      <c r="AE87" s="33">
        <v>205.05</v>
      </c>
      <c r="AF87" s="33">
        <v>218.81</v>
      </c>
      <c r="AG87" s="33">
        <v>219.42</v>
      </c>
      <c r="AH87" s="33">
        <v>199.44</v>
      </c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3</v>
      </c>
      <c r="D88" s="32" t="s">
        <v>2186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6">
        <f>0.00+177.40</f>
        <v>177.4</v>
      </c>
      <c r="T88" s="33">
        <v>139.82</v>
      </c>
      <c r="U88" s="33">
        <v>125.44</v>
      </c>
      <c r="V88" s="33">
        <v>165.04</v>
      </c>
      <c r="W88" s="33">
        <v>134.34</v>
      </c>
      <c r="X88" s="33">
        <v>21.26</v>
      </c>
      <c r="Y88" s="33">
        <v>21.26</v>
      </c>
      <c r="Z88" s="33">
        <v>175.58</v>
      </c>
      <c r="AA88" s="33">
        <v>336.08</v>
      </c>
      <c r="AB88" s="33">
        <v>229.47</v>
      </c>
      <c r="AC88" s="33">
        <v>21.26</v>
      </c>
      <c r="AD88" s="33">
        <v>104.37</v>
      </c>
      <c r="AE88" s="33">
        <v>76.45</v>
      </c>
      <c r="AF88" s="33">
        <v>71.43</v>
      </c>
      <c r="AG88" s="36">
        <f>0.00+16.30</f>
        <v>16.3</v>
      </c>
      <c r="AH88" s="32"/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3</v>
      </c>
      <c r="D89" s="32" t="s">
        <v>2187</v>
      </c>
      <c r="E89" s="32"/>
      <c r="F89" s="32"/>
      <c r="G89" s="32"/>
      <c r="H89" s="33">
        <v>34.03</v>
      </c>
      <c r="I89" s="33">
        <v>51.14</v>
      </c>
      <c r="J89" s="33">
        <v>56.96</v>
      </c>
      <c r="K89" s="33">
        <v>56.01</v>
      </c>
      <c r="L89" s="33">
        <v>96.14</v>
      </c>
      <c r="M89" s="33">
        <v>21.26</v>
      </c>
      <c r="N89" s="33">
        <v>21.26</v>
      </c>
      <c r="O89" s="33">
        <v>21.26</v>
      </c>
      <c r="P89" s="33">
        <v>21.26</v>
      </c>
      <c r="Q89" s="33">
        <v>51.56</v>
      </c>
      <c r="R89" s="33">
        <v>94.76</v>
      </c>
      <c r="S89" s="33">
        <v>68.63</v>
      </c>
      <c r="T89" s="33">
        <v>94.76</v>
      </c>
      <c r="U89" s="33">
        <v>123.45</v>
      </c>
      <c r="V89" s="33">
        <v>107.21</v>
      </c>
      <c r="W89" s="33">
        <v>77.98</v>
      </c>
      <c r="X89" s="33">
        <v>21.39</v>
      </c>
      <c r="Y89" s="33">
        <v>21.26</v>
      </c>
      <c r="Z89" s="33">
        <v>21.26</v>
      </c>
      <c r="AA89" s="33">
        <v>21.26</v>
      </c>
      <c r="AB89" s="33">
        <v>21.26</v>
      </c>
      <c r="AC89" s="33">
        <v>21.26</v>
      </c>
      <c r="AD89" s="33">
        <v>31.89</v>
      </c>
      <c r="AE89" s="33">
        <v>31.89</v>
      </c>
      <c r="AF89" s="36">
        <f>0.00+24.45</f>
        <v>24.45</v>
      </c>
      <c r="AG89" s="32"/>
      <c r="AH89" s="32"/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3</v>
      </c>
      <c r="D90" s="32" t="s">
        <v>2188</v>
      </c>
      <c r="E90" s="32"/>
      <c r="F90" s="32"/>
      <c r="G90" s="32"/>
      <c r="H90" s="33">
        <v>21.26</v>
      </c>
      <c r="I90" s="33">
        <v>21.26</v>
      </c>
      <c r="J90" s="33">
        <v>23.76</v>
      </c>
      <c r="K90" s="33">
        <v>21.26</v>
      </c>
      <c r="L90" s="33">
        <v>21.26</v>
      </c>
      <c r="M90" s="33">
        <v>21.26</v>
      </c>
      <c r="N90" s="33">
        <v>21.26</v>
      </c>
      <c r="O90" s="33">
        <v>21.26</v>
      </c>
      <c r="P90" s="33">
        <v>21.26</v>
      </c>
      <c r="Q90" s="33">
        <v>21.26</v>
      </c>
      <c r="R90" s="33">
        <v>21.26</v>
      </c>
      <c r="S90" s="33">
        <v>21.26</v>
      </c>
      <c r="T90" s="33">
        <v>21.26</v>
      </c>
      <c r="U90" s="33">
        <v>24.61</v>
      </c>
      <c r="V90" s="33">
        <v>35.27</v>
      </c>
      <c r="W90" s="33">
        <v>24.26</v>
      </c>
      <c r="X90" s="33">
        <v>21.26</v>
      </c>
      <c r="Y90" s="33">
        <v>21.26</v>
      </c>
      <c r="Z90" s="33">
        <v>21.26</v>
      </c>
      <c r="AA90" s="33">
        <v>21.26</v>
      </c>
      <c r="AB90" s="33">
        <v>21.26</v>
      </c>
      <c r="AC90" s="33">
        <v>21.26</v>
      </c>
      <c r="AD90" s="33">
        <v>31.89</v>
      </c>
      <c r="AE90" s="33">
        <v>31.89</v>
      </c>
      <c r="AF90" s="33">
        <v>31.89</v>
      </c>
      <c r="AG90" s="33">
        <v>31.89</v>
      </c>
      <c r="AH90" s="33">
        <v>31.89</v>
      </c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3</v>
      </c>
      <c r="D91" s="32" t="s">
        <v>2189</v>
      </c>
      <c r="E91" s="32"/>
      <c r="F91" s="32"/>
      <c r="G91" s="32"/>
      <c r="H91" s="33">
        <v>21.26</v>
      </c>
      <c r="I91" s="33">
        <v>21.26</v>
      </c>
      <c r="J91" s="33">
        <v>49.28</v>
      </c>
      <c r="K91" s="33">
        <v>140.25</v>
      </c>
      <c r="L91" s="33">
        <v>156.35</v>
      </c>
      <c r="M91" s="33">
        <v>229.35</v>
      </c>
      <c r="N91" s="33">
        <v>453.75</v>
      </c>
      <c r="O91" s="33">
        <v>491.73</v>
      </c>
      <c r="P91" s="33">
        <v>301.07</v>
      </c>
      <c r="Q91" s="33">
        <v>269.89</v>
      </c>
      <c r="R91" s="33">
        <v>120.57</v>
      </c>
      <c r="S91" s="33">
        <v>140.01</v>
      </c>
      <c r="T91" s="33">
        <v>164.57</v>
      </c>
      <c r="U91" s="33">
        <v>190.83</v>
      </c>
      <c r="V91" s="33">
        <v>144.33</v>
      </c>
      <c r="W91" s="33">
        <v>130.67</v>
      </c>
      <c r="X91" s="33">
        <v>175.76</v>
      </c>
      <c r="Y91" s="33">
        <v>253.63</v>
      </c>
      <c r="Z91" s="33">
        <v>442.72</v>
      </c>
      <c r="AA91" s="33">
        <v>418.33</v>
      </c>
      <c r="AB91" s="33">
        <v>280.7</v>
      </c>
      <c r="AC91" s="33">
        <v>21.26</v>
      </c>
      <c r="AD91" s="33">
        <v>31.89</v>
      </c>
      <c r="AE91" s="33">
        <v>31.89</v>
      </c>
      <c r="AF91" s="33">
        <v>43.32</v>
      </c>
      <c r="AG91" s="33">
        <v>126.58</v>
      </c>
      <c r="AH91" s="33">
        <v>140.8</v>
      </c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3</v>
      </c>
      <c r="D92" s="32" t="s">
        <v>2190</v>
      </c>
      <c r="E92" s="32"/>
      <c r="F92" s="32"/>
      <c r="G92" s="32"/>
      <c r="H92" s="32"/>
      <c r="I92" s="32"/>
      <c r="J92" s="36">
        <f>133.21+0.00</f>
        <v>133.21</v>
      </c>
      <c r="K92" s="33">
        <v>53.33</v>
      </c>
      <c r="L92" s="33">
        <v>21.58</v>
      </c>
      <c r="M92" s="33">
        <v>21.26</v>
      </c>
      <c r="N92" s="33">
        <v>21.26</v>
      </c>
      <c r="O92" s="33">
        <v>21.26</v>
      </c>
      <c r="P92" s="33">
        <v>21.26</v>
      </c>
      <c r="Q92" s="33">
        <v>21.26</v>
      </c>
      <c r="R92" s="33">
        <v>37.7</v>
      </c>
      <c r="S92" s="33">
        <v>31.04</v>
      </c>
      <c r="T92" s="33">
        <v>37.97</v>
      </c>
      <c r="U92" s="33">
        <v>57.83</v>
      </c>
      <c r="V92" s="33">
        <v>86.32</v>
      </c>
      <c r="W92" s="33">
        <v>35.59</v>
      </c>
      <c r="X92" s="33">
        <v>33.21</v>
      </c>
      <c r="Y92" s="33">
        <v>21.26</v>
      </c>
      <c r="Z92" s="33">
        <v>21.26</v>
      </c>
      <c r="AA92" s="33">
        <v>21.26</v>
      </c>
      <c r="AB92" s="33">
        <v>21.26</v>
      </c>
      <c r="AC92" s="33">
        <v>21.26</v>
      </c>
      <c r="AD92" s="36">
        <f>0.00+14.17</f>
        <v>14.17</v>
      </c>
      <c r="AE92" s="32"/>
      <c r="AF92" s="32"/>
      <c r="AG92" s="32"/>
      <c r="AH92" s="32"/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3</v>
      </c>
      <c r="D93" s="32" t="s">
        <v>2191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6">
        <f>55.55+0.00</f>
        <v>55.55</v>
      </c>
      <c r="AH93" s="33">
        <v>157.47</v>
      </c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3</v>
      </c>
      <c r="D94" s="32" t="s">
        <v>2192</v>
      </c>
      <c r="E94" s="32"/>
      <c r="F94" s="32"/>
      <c r="G94" s="32"/>
      <c r="H94" s="36">
        <f>170.79+351.86</f>
        <v>522.65</v>
      </c>
      <c r="I94" s="36">
        <f>170.79+539.61</f>
        <v>710.4</v>
      </c>
      <c r="J94" s="36">
        <f>494.83+170.79</f>
        <v>665.62</v>
      </c>
      <c r="K94" s="36">
        <f>170.79+243.67</f>
        <v>414.46</v>
      </c>
      <c r="L94" s="36">
        <f>170.80+399.08</f>
        <v>569.88</v>
      </c>
      <c r="M94" s="36">
        <f>171.05+400.68</f>
        <v>571.73</v>
      </c>
      <c r="N94" s="36">
        <f>304.42+171.05</f>
        <v>475.47</v>
      </c>
      <c r="O94" s="36">
        <f>37.01+171.05</f>
        <v>208.06</v>
      </c>
      <c r="P94" s="36">
        <f>47.62+171.05</f>
        <v>218.67000000000002</v>
      </c>
      <c r="Q94" s="36">
        <f>171.05+42.13</f>
        <v>213.18</v>
      </c>
      <c r="R94" s="36">
        <f>171.61+167.68</f>
        <v>339.29</v>
      </c>
      <c r="S94" s="36">
        <f>179.76+212.92</f>
        <v>392.67999999999995</v>
      </c>
      <c r="T94" s="36">
        <f>179.76+186.09</f>
        <v>365.85</v>
      </c>
      <c r="U94" s="36">
        <f>205.19+179.76</f>
        <v>384.95</v>
      </c>
      <c r="V94" s="36">
        <f>226.97+179.76</f>
        <v>406.73</v>
      </c>
      <c r="W94" s="36">
        <f>179.76+208.21</f>
        <v>387.97</v>
      </c>
      <c r="X94" s="36">
        <f>94.39+179.40</f>
        <v>273.79</v>
      </c>
      <c r="Y94" s="36">
        <f>168.74+174.26</f>
        <v>343</v>
      </c>
      <c r="Z94" s="36">
        <f>174.26+327.63</f>
        <v>501.89</v>
      </c>
      <c r="AA94" s="36">
        <f>174.26+311.76</f>
        <v>486.02</v>
      </c>
      <c r="AB94" s="36">
        <f>246.78+174.26</f>
        <v>421.03999999999996</v>
      </c>
      <c r="AC94" s="36">
        <f>174.26+40.88</f>
        <v>215.14</v>
      </c>
      <c r="AD94" s="36">
        <f>180.13+132.61</f>
        <v>312.74</v>
      </c>
      <c r="AE94" s="36">
        <f>178.92+144.13</f>
        <v>323.04999999999995</v>
      </c>
      <c r="AF94" s="36">
        <f>135.38+178.91</f>
        <v>314.28999999999996</v>
      </c>
      <c r="AG94" s="36">
        <f>157.84+178.80</f>
        <v>336.64</v>
      </c>
      <c r="AH94" s="36">
        <f>186.67+178.80</f>
        <v>365.47</v>
      </c>
      <c r="AI94" s="32"/>
      <c r="AJ94" s="34">
        <f>SUM(E94:AI94)</f>
      </c>
      <c r="AK94" s="35"/>
    </row>
    <row r="95" ht="12.75" customHeight="1" spans="2:37" x14ac:dyDescent="0.25">
      <c r="B95" s="37"/>
      <c r="C95" s="38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40"/>
    </row>
    <row r="96" ht="12.75" customHeight="1" spans="2:37" x14ac:dyDescent="0.25">
      <c r="B96" s="20" t="s">
        <v>85</v>
      </c>
      <c r="C96" s="21"/>
      <c r="D96" s="21"/>
      <c r="E96" s="22">
        <f>SUM(E33:E94)</f>
      </c>
      <c r="F96" s="22">
        <f>SUM(F33:F94)</f>
      </c>
      <c r="G96" s="22">
        <f>SUM(G33:G94)</f>
      </c>
      <c r="H96" s="22">
        <f>SUM(H33:H94)</f>
      </c>
      <c r="I96" s="22">
        <f>SUM(I33:I94)</f>
      </c>
      <c r="J96" s="22">
        <f>SUM(J33:J94)</f>
      </c>
      <c r="K96" s="22">
        <f>SUM(K33:K94)</f>
      </c>
      <c r="L96" s="22">
        <f>SUM(L33:L94)</f>
      </c>
      <c r="M96" s="22">
        <f>SUM(M33:M94)</f>
      </c>
      <c r="N96" s="22">
        <f>SUM(N33:N94)</f>
      </c>
      <c r="O96" s="22">
        <f>SUM(O33:O94)</f>
      </c>
      <c r="P96" s="22">
        <f>SUM(P33:P94)</f>
      </c>
      <c r="Q96" s="22">
        <f>SUM(Q33:Q94)</f>
      </c>
      <c r="R96" s="22">
        <f>SUM(R33:R94)</f>
      </c>
      <c r="S96" s="22">
        <f>SUM(S33:S94)</f>
      </c>
      <c r="T96" s="22">
        <f>SUM(T33:T94)</f>
      </c>
      <c r="U96" s="22">
        <f>SUM(U33:U94)</f>
      </c>
      <c r="V96" s="22">
        <f>SUM(V33:V94)</f>
      </c>
      <c r="W96" s="22">
        <f>SUM(W33:W94)</f>
      </c>
      <c r="X96" s="22">
        <f>SUM(X33:X94)</f>
      </c>
      <c r="Y96" s="22">
        <f>SUM(Y33:Y94)</f>
      </c>
      <c r="Z96" s="22">
        <f>SUM(Z33:Z94)</f>
      </c>
      <c r="AA96" s="22">
        <f>SUM(AA33:AA94)</f>
      </c>
      <c r="AB96" s="22">
        <f>SUM(AB33:AB94)</f>
      </c>
      <c r="AC96" s="22">
        <f>SUM(AC33:AC94)</f>
      </c>
      <c r="AD96" s="22">
        <f>SUM(AD33:AD94)</f>
      </c>
      <c r="AE96" s="22">
        <f>SUM(AE33:AE94)</f>
      </c>
      <c r="AF96" s="22">
        <f>SUM(AF33:AF94)</f>
      </c>
      <c r="AG96" s="22">
        <f>SUM(AG33:AG94)</f>
      </c>
      <c r="AH96" s="22">
        <f>SUM(AH33:AH94)</f>
      </c>
      <c r="AI96" s="22">
        <f>SUM(AI33:AI94)</f>
      </c>
      <c r="AJ96" s="22">
        <f>SUM(AJ33:AJ94)</f>
      </c>
      <c r="AK96" s="23"/>
    </row>
    <row r="98" ht="12.75" customHeight="1" spans="2:37" x14ac:dyDescent="0.25">
      <c r="B98" s="26" t="s">
        <v>43</v>
      </c>
      <c r="C98" s="2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9"/>
    </row>
    <row r="99" ht="12.75" customHeight="1" spans="2:37" x14ac:dyDescent="0.25">
      <c r="B99" s="30" t="s">
        <v>43</v>
      </c>
      <c r="C99" s="31" t="s">
        <v>3</v>
      </c>
      <c r="D99" s="32" t="s">
        <v>2193</v>
      </c>
      <c r="E99" s="32"/>
      <c r="F99" s="32"/>
      <c r="G99" s="32"/>
      <c r="H99" s="33">
        <v>521.42</v>
      </c>
      <c r="I99" s="33">
        <v>623.95</v>
      </c>
      <c r="J99" s="33">
        <v>842.05</v>
      </c>
      <c r="K99" s="33">
        <v>670.01</v>
      </c>
      <c r="L99" s="33">
        <v>723.07</v>
      </c>
      <c r="M99" s="33">
        <v>604.04</v>
      </c>
      <c r="N99" s="33">
        <v>472.12</v>
      </c>
      <c r="O99" s="33">
        <v>622.23</v>
      </c>
      <c r="P99" s="33">
        <v>632.11</v>
      </c>
      <c r="Q99" s="33">
        <v>733.84</v>
      </c>
      <c r="R99" s="33">
        <v>901.98</v>
      </c>
      <c r="S99" s="33">
        <v>935.18</v>
      </c>
      <c r="T99" s="33">
        <v>971.21</v>
      </c>
      <c r="U99" s="33">
        <v>923.87</v>
      </c>
      <c r="V99" s="33">
        <v>999.23</v>
      </c>
      <c r="W99" s="33">
        <v>1098.73</v>
      </c>
      <c r="X99" s="33">
        <v>924.98</v>
      </c>
      <c r="Y99" s="33">
        <v>530.51</v>
      </c>
      <c r="Z99" s="33">
        <v>529.12</v>
      </c>
      <c r="AA99" s="33">
        <v>535.43</v>
      </c>
      <c r="AB99" s="33">
        <v>507.57</v>
      </c>
      <c r="AC99" s="33">
        <v>545.23</v>
      </c>
      <c r="AD99" s="33">
        <v>502.37</v>
      </c>
      <c r="AE99" s="33">
        <v>468.38</v>
      </c>
      <c r="AF99" s="33">
        <v>441.2</v>
      </c>
      <c r="AG99" s="33">
        <v>591.78</v>
      </c>
      <c r="AH99" s="33">
        <v>564.03</v>
      </c>
      <c r="AI99" s="32"/>
      <c r="AJ99" s="34">
        <f>SUM(E99:AI99)</f>
      </c>
      <c r="AK99" s="35"/>
    </row>
    <row r="100" ht="12.75" customHeight="1" spans="2:37" x14ac:dyDescent="0.25">
      <c r="B100" s="30" t="s">
        <v>43</v>
      </c>
      <c r="C100" s="31" t="s">
        <v>3</v>
      </c>
      <c r="D100" s="32" t="s">
        <v>2194</v>
      </c>
      <c r="E100" s="32"/>
      <c r="F100" s="32"/>
      <c r="G100" s="32"/>
      <c r="H100" s="33">
        <v>6869.28</v>
      </c>
      <c r="I100" s="33">
        <v>5932.44</v>
      </c>
      <c r="J100" s="33">
        <v>5944.1</v>
      </c>
      <c r="K100" s="33">
        <v>5889.7</v>
      </c>
      <c r="L100" s="33">
        <v>6816.58</v>
      </c>
      <c r="M100" s="33">
        <v>6480.65</v>
      </c>
      <c r="N100" s="33">
        <v>6297.04</v>
      </c>
      <c r="O100" s="33">
        <v>7902.3</v>
      </c>
      <c r="P100" s="33">
        <v>7379.51</v>
      </c>
      <c r="Q100" s="33">
        <v>6931.62</v>
      </c>
      <c r="R100" s="33">
        <v>6935.15</v>
      </c>
      <c r="S100" s="33">
        <v>7216.33</v>
      </c>
      <c r="T100" s="33">
        <v>6567.81</v>
      </c>
      <c r="U100" s="33">
        <v>6594.65</v>
      </c>
      <c r="V100" s="33">
        <v>6374.6</v>
      </c>
      <c r="W100" s="33">
        <v>5927.62</v>
      </c>
      <c r="X100" s="33">
        <v>6181.93</v>
      </c>
      <c r="Y100" s="33">
        <v>7276.33</v>
      </c>
      <c r="Z100" s="33">
        <v>7877.47</v>
      </c>
      <c r="AA100" s="33">
        <v>8847.84</v>
      </c>
      <c r="AB100" s="33">
        <v>8480.01</v>
      </c>
      <c r="AC100" s="33">
        <v>9556.88</v>
      </c>
      <c r="AD100" s="33">
        <v>7846.63</v>
      </c>
      <c r="AE100" s="33">
        <v>7478.81</v>
      </c>
      <c r="AF100" s="33">
        <v>6149.11</v>
      </c>
      <c r="AG100" s="33">
        <v>6561.8</v>
      </c>
      <c r="AH100" s="33">
        <v>6281.09</v>
      </c>
      <c r="AI100" s="32"/>
      <c r="AJ100" s="34">
        <f>SUM(E100:AI100)</f>
      </c>
      <c r="AK100" s="35"/>
    </row>
    <row r="101" ht="12.75" customHeight="1" spans="2:37" x14ac:dyDescent="0.25">
      <c r="B101" s="30" t="s">
        <v>43</v>
      </c>
      <c r="C101" s="31" t="s">
        <v>3</v>
      </c>
      <c r="D101" s="32" t="s">
        <v>2195</v>
      </c>
      <c r="E101" s="32"/>
      <c r="F101" s="32"/>
      <c r="G101" s="32"/>
      <c r="H101" s="33">
        <v>25.59</v>
      </c>
      <c r="I101" s="33">
        <v>25.59</v>
      </c>
      <c r="J101" s="33">
        <v>25.59</v>
      </c>
      <c r="K101" s="33">
        <v>25.59</v>
      </c>
      <c r="L101" s="33">
        <v>25.59</v>
      </c>
      <c r="M101" s="33">
        <v>25.59</v>
      </c>
      <c r="N101" s="33">
        <v>25.59</v>
      </c>
      <c r="O101" s="33">
        <v>33.71</v>
      </c>
      <c r="P101" s="33">
        <v>33.71</v>
      </c>
      <c r="Q101" s="33">
        <v>33.71</v>
      </c>
      <c r="R101" s="33">
        <v>33.71</v>
      </c>
      <c r="S101" s="33">
        <v>33.71</v>
      </c>
      <c r="T101" s="33">
        <v>33.71</v>
      </c>
      <c r="U101" s="33">
        <v>33.71</v>
      </c>
      <c r="V101" s="33">
        <v>33.71</v>
      </c>
      <c r="W101" s="33">
        <v>33.71</v>
      </c>
      <c r="X101" s="33">
        <v>33.71</v>
      </c>
      <c r="Y101" s="33">
        <v>33.71</v>
      </c>
      <c r="Z101" s="33">
        <v>33.71</v>
      </c>
      <c r="AA101" s="33">
        <v>33.71</v>
      </c>
      <c r="AB101" s="33">
        <v>33.71</v>
      </c>
      <c r="AC101" s="36">
        <f>17.58+0.00</f>
        <v>17.58</v>
      </c>
      <c r="AD101" s="32"/>
      <c r="AE101" s="32"/>
      <c r="AF101" s="32"/>
      <c r="AG101" s="32"/>
      <c r="AH101" s="32"/>
      <c r="AI101" s="32"/>
      <c r="AJ101" s="34">
        <f>SUM(E101:AI101)</f>
      </c>
      <c r="AK101" s="35"/>
    </row>
    <row r="102" ht="12.75" customHeight="1" spans="2:37" x14ac:dyDescent="0.25">
      <c r="B102" s="37"/>
      <c r="C102" s="38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</row>
    <row r="103" ht="12.75" customHeight="1" spans="2:37" x14ac:dyDescent="0.25">
      <c r="B103" s="20" t="s">
        <v>89</v>
      </c>
      <c r="C103" s="21"/>
      <c r="D103" s="21"/>
      <c r="E103" s="22">
        <f>SUM(E99:E101)</f>
      </c>
      <c r="F103" s="22">
        <f>SUM(F99:F101)</f>
      </c>
      <c r="G103" s="22">
        <f>SUM(G99:G101)</f>
      </c>
      <c r="H103" s="22">
        <f>SUM(H99:H101)</f>
      </c>
      <c r="I103" s="22">
        <f>SUM(I99:I101)</f>
      </c>
      <c r="J103" s="22">
        <f>SUM(J99:J101)</f>
      </c>
      <c r="K103" s="22">
        <f>SUM(K99:K101)</f>
      </c>
      <c r="L103" s="22">
        <f>SUM(L99:L101)</f>
      </c>
      <c r="M103" s="22">
        <f>SUM(M99:M101)</f>
      </c>
      <c r="N103" s="22">
        <f>SUM(N99:N101)</f>
      </c>
      <c r="O103" s="22">
        <f>SUM(O99:O101)</f>
      </c>
      <c r="P103" s="22">
        <f>SUM(P99:P101)</f>
      </c>
      <c r="Q103" s="22">
        <f>SUM(Q99:Q101)</f>
      </c>
      <c r="R103" s="22">
        <f>SUM(R99:R101)</f>
      </c>
      <c r="S103" s="22">
        <f>SUM(S99:S101)</f>
      </c>
      <c r="T103" s="22">
        <f>SUM(T99:T101)</f>
      </c>
      <c r="U103" s="22">
        <f>SUM(U99:U101)</f>
      </c>
      <c r="V103" s="22">
        <f>SUM(V99:V101)</f>
      </c>
      <c r="W103" s="22">
        <f>SUM(W99:W101)</f>
      </c>
      <c r="X103" s="22">
        <f>SUM(X99:X101)</f>
      </c>
      <c r="Y103" s="22">
        <f>SUM(Y99:Y101)</f>
      </c>
      <c r="Z103" s="22">
        <f>SUM(Z99:Z101)</f>
      </c>
      <c r="AA103" s="22">
        <f>SUM(AA99:AA101)</f>
      </c>
      <c r="AB103" s="22">
        <f>SUM(AB99:AB101)</f>
      </c>
      <c r="AC103" s="22">
        <f>SUM(AC99:AC101)</f>
      </c>
      <c r="AD103" s="22">
        <f>SUM(AD99:AD101)</f>
      </c>
      <c r="AE103" s="22">
        <f>SUM(AE99:AE101)</f>
      </c>
      <c r="AF103" s="22">
        <f>SUM(AF99:AF101)</f>
      </c>
      <c r="AG103" s="22">
        <f>SUM(AG99:AG101)</f>
      </c>
      <c r="AH103" s="22">
        <f>SUM(AH99:AH101)</f>
      </c>
      <c r="AI103" s="22">
        <f>SUM(AI99:AI101)</f>
      </c>
      <c r="AJ103" s="22">
        <f>SUM(AJ99:AJ101)</f>
      </c>
      <c r="AK103" s="23"/>
    </row>
    <row r="105" ht="12.75" customHeight="1" spans="2:37" x14ac:dyDescent="0.25">
      <c r="B105" s="26" t="s">
        <v>44</v>
      </c>
      <c r="C105" s="27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9"/>
    </row>
    <row r="106" ht="12.75" customHeight="1" spans="2:37" x14ac:dyDescent="0.25">
      <c r="B106" s="37"/>
      <c r="C106" s="38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40"/>
    </row>
    <row r="107" ht="12.75" customHeight="1" spans="2:37" x14ac:dyDescent="0.25">
      <c r="B107" s="20" t="s">
        <v>90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3"/>
    </row>
    <row r="110" ht="12.75" customHeight="1" spans="2:37" x14ac:dyDescent="0.25">
      <c r="B110" s="11" t="s">
        <v>40</v>
      </c>
      <c r="C110" s="12"/>
      <c r="D110" s="13"/>
      <c r="E110" s="14" t="s">
        <v>7</v>
      </c>
      <c r="F110" s="14" t="s">
        <v>8</v>
      </c>
      <c r="G110" s="14" t="s">
        <v>9</v>
      </c>
      <c r="H110" s="14" t="s">
        <v>10</v>
      </c>
      <c r="I110" s="14" t="s">
        <v>11</v>
      </c>
      <c r="J110" s="14" t="s">
        <v>12</v>
      </c>
      <c r="K110" s="14" t="s">
        <v>13</v>
      </c>
      <c r="L110" s="14" t="s">
        <v>14</v>
      </c>
      <c r="M110" s="14" t="s">
        <v>15</v>
      </c>
      <c r="N110" s="14" t="s">
        <v>16</v>
      </c>
      <c r="O110" s="14" t="s">
        <v>17</v>
      </c>
      <c r="P110" s="14" t="s">
        <v>18</v>
      </c>
      <c r="Q110" s="14" t="s">
        <v>19</v>
      </c>
      <c r="R110" s="14" t="s">
        <v>20</v>
      </c>
      <c r="S110" s="14" t="s">
        <v>21</v>
      </c>
      <c r="T110" s="14" t="s">
        <v>22</v>
      </c>
      <c r="U110" s="14" t="s">
        <v>23</v>
      </c>
      <c r="V110" s="14" t="s">
        <v>24</v>
      </c>
      <c r="W110" s="14" t="s">
        <v>25</v>
      </c>
      <c r="X110" s="14" t="s">
        <v>26</v>
      </c>
      <c r="Y110" s="14" t="s">
        <v>27</v>
      </c>
      <c r="Z110" s="14" t="s">
        <v>28</v>
      </c>
      <c r="AA110" s="14" t="s">
        <v>29</v>
      </c>
      <c r="AB110" s="14" t="s">
        <v>30</v>
      </c>
      <c r="AC110" s="14" t="s">
        <v>31</v>
      </c>
      <c r="AD110" s="14" t="s">
        <v>32</v>
      </c>
      <c r="AE110" s="14" t="s">
        <v>33</v>
      </c>
      <c r="AF110" s="14" t="s">
        <v>34</v>
      </c>
      <c r="AG110" s="14" t="s">
        <v>35</v>
      </c>
      <c r="AH110" s="14" t="s">
        <v>36</v>
      </c>
      <c r="AI110" s="14" t="s">
        <v>37</v>
      </c>
      <c r="AJ110" s="14" t="s">
        <v>38</v>
      </c>
      <c r="AK110" s="15"/>
    </row>
    <row r="111" ht="12.75" customHeight="1" spans="2:37" x14ac:dyDescent="0.25">
      <c r="B111" s="16" t="s">
        <v>41</v>
      </c>
      <c r="C111" s="17"/>
      <c r="D111" s="17"/>
      <c r="E111" s="18">
        <f>E30</f>
      </c>
      <c r="F111" s="18">
        <f>F30</f>
      </c>
      <c r="G111" s="18">
        <f>G30</f>
      </c>
      <c r="H111" s="18">
        <f>H30</f>
      </c>
      <c r="I111" s="18">
        <f>I30</f>
      </c>
      <c r="J111" s="18">
        <f>J30</f>
      </c>
      <c r="K111" s="18">
        <f>K30</f>
      </c>
      <c r="L111" s="18">
        <f>L30</f>
      </c>
      <c r="M111" s="18">
        <f>M30</f>
      </c>
      <c r="N111" s="18">
        <f>N30</f>
      </c>
      <c r="O111" s="18">
        <f>O30</f>
      </c>
      <c r="P111" s="18">
        <f>P30</f>
      </c>
      <c r="Q111" s="18">
        <f>Q30</f>
      </c>
      <c r="R111" s="18">
        <f>R30</f>
      </c>
      <c r="S111" s="18">
        <f>S30</f>
      </c>
      <c r="T111" s="18">
        <f>T30</f>
      </c>
      <c r="U111" s="18">
        <f>U30</f>
      </c>
      <c r="V111" s="18">
        <f>V30</f>
      </c>
      <c r="W111" s="18">
        <f>W30</f>
      </c>
      <c r="X111" s="18">
        <f>X30</f>
      </c>
      <c r="Y111" s="18">
        <f>Y30</f>
      </c>
      <c r="Z111" s="18">
        <f>Z30</f>
      </c>
      <c r="AA111" s="18">
        <f>AA30</f>
      </c>
      <c r="AB111" s="18">
        <f>AB30</f>
      </c>
      <c r="AC111" s="18">
        <f>AC30</f>
      </c>
      <c r="AD111" s="18">
        <f>AD30</f>
      </c>
      <c r="AE111" s="18">
        <f>AE30</f>
      </c>
      <c r="AF111" s="18">
        <f>AF30</f>
      </c>
      <c r="AG111" s="18">
        <f>AG30</f>
      </c>
      <c r="AH111" s="18">
        <f>AH30</f>
      </c>
      <c r="AI111" s="18">
        <f>AI30</f>
      </c>
      <c r="AJ111" s="18">
        <f>AJ30</f>
      </c>
      <c r="AK111" s="19"/>
    </row>
    <row r="112" ht="12.75" customHeight="1" spans="2:37" x14ac:dyDescent="0.25">
      <c r="B112" s="16" t="s">
        <v>42</v>
      </c>
      <c r="C112" s="17"/>
      <c r="D112" s="17"/>
      <c r="E112" s="18">
        <f>E96</f>
      </c>
      <c r="F112" s="18">
        <f>F96</f>
      </c>
      <c r="G112" s="18">
        <f>G96</f>
      </c>
      <c r="H112" s="18">
        <f>H96</f>
      </c>
      <c r="I112" s="18">
        <f>I96</f>
      </c>
      <c r="J112" s="18">
        <f>J96</f>
      </c>
      <c r="K112" s="18">
        <f>K96</f>
      </c>
      <c r="L112" s="18">
        <f>L96</f>
      </c>
      <c r="M112" s="18">
        <f>M96</f>
      </c>
      <c r="N112" s="18">
        <f>N96</f>
      </c>
      <c r="O112" s="18">
        <f>O96</f>
      </c>
      <c r="P112" s="18">
        <f>P96</f>
      </c>
      <c r="Q112" s="18">
        <f>Q96</f>
      </c>
      <c r="R112" s="18">
        <f>R96</f>
      </c>
      <c r="S112" s="18">
        <f>S96</f>
      </c>
      <c r="T112" s="18">
        <f>T96</f>
      </c>
      <c r="U112" s="18">
        <f>U96</f>
      </c>
      <c r="V112" s="18">
        <f>V96</f>
      </c>
      <c r="W112" s="18">
        <f>W96</f>
      </c>
      <c r="X112" s="18">
        <f>X96</f>
      </c>
      <c r="Y112" s="18">
        <f>Y96</f>
      </c>
      <c r="Z112" s="18">
        <f>Z96</f>
      </c>
      <c r="AA112" s="18">
        <f>AA96</f>
      </c>
      <c r="AB112" s="18">
        <f>AB96</f>
      </c>
      <c r="AC112" s="18">
        <f>AC96</f>
      </c>
      <c r="AD112" s="18">
        <f>AD96</f>
      </c>
      <c r="AE112" s="18">
        <f>AE96</f>
      </c>
      <c r="AF112" s="18">
        <f>AF96</f>
      </c>
      <c r="AG112" s="18">
        <f>AG96</f>
      </c>
      <c r="AH112" s="18">
        <f>AH96</f>
      </c>
      <c r="AI112" s="18">
        <f>AI96</f>
      </c>
      <c r="AJ112" s="18">
        <f>AJ96</f>
      </c>
      <c r="AK112" s="19"/>
    </row>
    <row r="113" ht="12.75" customHeight="1" spans="2:37" x14ac:dyDescent="0.25">
      <c r="B113" s="16" t="s">
        <v>43</v>
      </c>
      <c r="C113" s="17"/>
      <c r="D113" s="17"/>
      <c r="E113" s="18">
        <f>E103</f>
      </c>
      <c r="F113" s="18">
        <f>F103</f>
      </c>
      <c r="G113" s="18">
        <f>G103</f>
      </c>
      <c r="H113" s="18">
        <f>H103</f>
      </c>
      <c r="I113" s="18">
        <f>I103</f>
      </c>
      <c r="J113" s="18">
        <f>J103</f>
      </c>
      <c r="K113" s="18">
        <f>K103</f>
      </c>
      <c r="L113" s="18">
        <f>L103</f>
      </c>
      <c r="M113" s="18">
        <f>M103</f>
      </c>
      <c r="N113" s="18">
        <f>N103</f>
      </c>
      <c r="O113" s="18">
        <f>O103</f>
      </c>
      <c r="P113" s="18">
        <f>P103</f>
      </c>
      <c r="Q113" s="18">
        <f>Q103</f>
      </c>
      <c r="R113" s="18">
        <f>R103</f>
      </c>
      <c r="S113" s="18">
        <f>S103</f>
      </c>
      <c r="T113" s="18">
        <f>T103</f>
      </c>
      <c r="U113" s="18">
        <f>U103</f>
      </c>
      <c r="V113" s="18">
        <f>V103</f>
      </c>
      <c r="W113" s="18">
        <f>W103</f>
      </c>
      <c r="X113" s="18">
        <f>X103</f>
      </c>
      <c r="Y113" s="18">
        <f>Y103</f>
      </c>
      <c r="Z113" s="18">
        <f>Z103</f>
      </c>
      <c r="AA113" s="18">
        <f>AA103</f>
      </c>
      <c r="AB113" s="18">
        <f>AB103</f>
      </c>
      <c r="AC113" s="18">
        <f>AC103</f>
      </c>
      <c r="AD113" s="18">
        <f>AD103</f>
      </c>
      <c r="AE113" s="18">
        <f>AE103</f>
      </c>
      <c r="AF113" s="18">
        <f>AF103</f>
      </c>
      <c r="AG113" s="18">
        <f>AG103</f>
      </c>
      <c r="AH113" s="18">
        <f>AH103</f>
      </c>
      <c r="AI113" s="18">
        <f>AI103</f>
      </c>
      <c r="AJ113" s="18">
        <f>AJ103</f>
      </c>
      <c r="AK113" s="19"/>
    </row>
    <row r="114" ht="12.75" customHeight="1" spans="2:37" x14ac:dyDescent="0.25">
      <c r="B114" s="16" t="s">
        <v>44</v>
      </c>
      <c r="C114" s="17"/>
      <c r="D114" s="17"/>
      <c r="E114" s="18">
        <f>E107</f>
      </c>
      <c r="F114" s="18">
        <f>F107</f>
      </c>
      <c r="G114" s="18">
        <f>G107</f>
      </c>
      <c r="H114" s="18">
        <f>H107</f>
      </c>
      <c r="I114" s="18">
        <f>I107</f>
      </c>
      <c r="J114" s="18">
        <f>J107</f>
      </c>
      <c r="K114" s="18">
        <f>K107</f>
      </c>
      <c r="L114" s="18">
        <f>L107</f>
      </c>
      <c r="M114" s="18">
        <f>M107</f>
      </c>
      <c r="N114" s="18">
        <f>N107</f>
      </c>
      <c r="O114" s="18">
        <f>O107</f>
      </c>
      <c r="P114" s="18">
        <f>P107</f>
      </c>
      <c r="Q114" s="18">
        <f>Q107</f>
      </c>
      <c r="R114" s="18">
        <f>R107</f>
      </c>
      <c r="S114" s="18">
        <f>S107</f>
      </c>
      <c r="T114" s="18">
        <f>T107</f>
      </c>
      <c r="U114" s="18">
        <f>U107</f>
      </c>
      <c r="V114" s="18">
        <f>V107</f>
      </c>
      <c r="W114" s="18">
        <f>W107</f>
      </c>
      <c r="X114" s="18">
        <f>X107</f>
      </c>
      <c r="Y114" s="18">
        <f>Y107</f>
      </c>
      <c r="Z114" s="18">
        <f>Z107</f>
      </c>
      <c r="AA114" s="18">
        <f>AA107</f>
      </c>
      <c r="AB114" s="18">
        <f>AB107</f>
      </c>
      <c r="AC114" s="18">
        <f>AC107</f>
      </c>
      <c r="AD114" s="18">
        <f>AD107</f>
      </c>
      <c r="AE114" s="18">
        <f>AE107</f>
      </c>
      <c r="AF114" s="18">
        <f>AF107</f>
      </c>
      <c r="AG114" s="18">
        <f>AG107</f>
      </c>
      <c r="AH114" s="18">
        <f>AH107</f>
      </c>
      <c r="AI114" s="18">
        <f>AI107</f>
      </c>
      <c r="AJ114" s="18">
        <f>AJ107</f>
      </c>
      <c r="AK114" s="19"/>
    </row>
    <row r="115" ht="12.75" customHeight="1" spans="2:37" x14ac:dyDescent="0.25">
      <c r="B115" s="20" t="s">
        <v>45</v>
      </c>
      <c r="C115" s="21"/>
      <c r="D115" s="21"/>
      <c r="E115" s="22">
        <f>E111+E112+E113+E114</f>
      </c>
      <c r="F115" s="22">
        <f>F111+F112+F113+F114</f>
      </c>
      <c r="G115" s="22">
        <f>G111+G112+G113+G114</f>
      </c>
      <c r="H115" s="22">
        <f>H111+H112+H113+H114</f>
      </c>
      <c r="I115" s="22">
        <f>I111+I112+I113+I114</f>
      </c>
      <c r="J115" s="22">
        <f>J111+J112+J113+J114</f>
      </c>
      <c r="K115" s="22">
        <f>K111+K112+K113+K114</f>
      </c>
      <c r="L115" s="22">
        <f>L111+L112+L113+L114</f>
      </c>
      <c r="M115" s="22">
        <f>M111+M112+M113+M114</f>
      </c>
      <c r="N115" s="22">
        <f>N111+N112+N113+N114</f>
      </c>
      <c r="O115" s="22">
        <f>O111+O112+O113+O114</f>
      </c>
      <c r="P115" s="22">
        <f>P111+P112+P113+P114</f>
      </c>
      <c r="Q115" s="22">
        <f>Q111+Q112+Q113+Q114</f>
      </c>
      <c r="R115" s="22">
        <f>R111+R112+R113+R114</f>
      </c>
      <c r="S115" s="22">
        <f>S111+S112+S113+S114</f>
      </c>
      <c r="T115" s="22">
        <f>T111+T112+T113+T114</f>
      </c>
      <c r="U115" s="22">
        <f>U111+U112+U113+U114</f>
      </c>
      <c r="V115" s="22">
        <f>V111+V112+V113+V114</f>
      </c>
      <c r="W115" s="22">
        <f>W111+W112+W113+W114</f>
      </c>
      <c r="X115" s="22">
        <f>X111+X112+X113+X114</f>
      </c>
      <c r="Y115" s="22">
        <f>Y111+Y112+Y113+Y114</f>
      </c>
      <c r="Z115" s="22">
        <f>Z111+Z112+Z113+Z114</f>
      </c>
      <c r="AA115" s="22">
        <f>AA111+AA112+AA113+AA114</f>
      </c>
      <c r="AB115" s="22">
        <f>AB111+AB112+AB113+AB114</f>
      </c>
      <c r="AC115" s="22">
        <f>AC111+AC112+AC113+AC114</f>
      </c>
      <c r="AD115" s="22">
        <f>AD111+AD112+AD113+AD114</f>
      </c>
      <c r="AE115" s="22">
        <f>AE111+AE112+AE113+AE114</f>
      </c>
      <c r="AF115" s="22">
        <f>AF111+AF112+AF113+AF114</f>
      </c>
      <c r="AG115" s="22">
        <f>AG111+AG112+AG113+AG114</f>
      </c>
      <c r="AH115" s="22">
        <f>AH111+AH112+AH113+AH114</f>
      </c>
      <c r="AI115" s="22">
        <f>AI111+AI112+AI113+AI114</f>
      </c>
      <c r="AJ115" s="22">
        <f>AJ111+AJ112+AJ113+AJ114</f>
      </c>
      <c r="AK115" s="23"/>
    </row>
    <row r="117" ht="12.75" customHeight="1" spans="2:37" x14ac:dyDescent="0.25">
      <c r="B117" s="11" t="s">
        <v>46</v>
      </c>
      <c r="C117" s="12"/>
      <c r="D117" s="13"/>
      <c r="E117" s="14" t="s">
        <v>7</v>
      </c>
      <c r="F117" s="14" t="s">
        <v>8</v>
      </c>
      <c r="G117" s="14" t="s">
        <v>9</v>
      </c>
      <c r="H117" s="14" t="s">
        <v>10</v>
      </c>
      <c r="I117" s="14" t="s">
        <v>11</v>
      </c>
      <c r="J117" s="14" t="s">
        <v>12</v>
      </c>
      <c r="K117" s="14" t="s">
        <v>13</v>
      </c>
      <c r="L117" s="14" t="s">
        <v>14</v>
      </c>
      <c r="M117" s="14" t="s">
        <v>15</v>
      </c>
      <c r="N117" s="14" t="s">
        <v>16</v>
      </c>
      <c r="O117" s="14" t="s">
        <v>17</v>
      </c>
      <c r="P117" s="14" t="s">
        <v>18</v>
      </c>
      <c r="Q117" s="14" t="s">
        <v>19</v>
      </c>
      <c r="R117" s="14" t="s">
        <v>20</v>
      </c>
      <c r="S117" s="14" t="s">
        <v>21</v>
      </c>
      <c r="T117" s="14" t="s">
        <v>22</v>
      </c>
      <c r="U117" s="14" t="s">
        <v>23</v>
      </c>
      <c r="V117" s="14" t="s">
        <v>24</v>
      </c>
      <c r="W117" s="14" t="s">
        <v>25</v>
      </c>
      <c r="X117" s="14" t="s">
        <v>26</v>
      </c>
      <c r="Y117" s="14" t="s">
        <v>27</v>
      </c>
      <c r="Z117" s="14" t="s">
        <v>28</v>
      </c>
      <c r="AA117" s="14" t="s">
        <v>29</v>
      </c>
      <c r="AB117" s="14" t="s">
        <v>30</v>
      </c>
      <c r="AC117" s="14" t="s">
        <v>31</v>
      </c>
      <c r="AD117" s="14" t="s">
        <v>32</v>
      </c>
      <c r="AE117" s="14" t="s">
        <v>33</v>
      </c>
      <c r="AF117" s="14" t="s">
        <v>34</v>
      </c>
      <c r="AG117" s="14" t="s">
        <v>35</v>
      </c>
      <c r="AH117" s="14" t="s">
        <v>36</v>
      </c>
      <c r="AI117" s="14" t="s">
        <v>37</v>
      </c>
      <c r="AJ117" s="14" t="s">
        <v>38</v>
      </c>
      <c r="AK117" s="15"/>
    </row>
    <row r="118" ht="12.75" customHeight="1" spans="2:37" x14ac:dyDescent="0.25">
      <c r="B118" s="16" t="s">
        <v>41</v>
      </c>
      <c r="C118" s="17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9"/>
    </row>
    <row r="119" ht="12.75" customHeight="1" spans="2:37" x14ac:dyDescent="0.25">
      <c r="B119" s="16" t="s">
        <v>42</v>
      </c>
      <c r="C119" s="17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9"/>
    </row>
    <row r="120" ht="12.75" customHeight="1" spans="2:37" x14ac:dyDescent="0.25">
      <c r="B120" s="16" t="s">
        <v>43</v>
      </c>
      <c r="C120" s="17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9"/>
    </row>
    <row r="121" ht="12.75" customHeight="1" spans="2:37" x14ac:dyDescent="0.25">
      <c r="B121" s="16" t="s">
        <v>44</v>
      </c>
      <c r="C121" s="17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9"/>
    </row>
    <row r="122" ht="12.75" customHeight="1" spans="2:37" x14ac:dyDescent="0.25">
      <c r="B122" s="20" t="s">
        <v>45</v>
      </c>
      <c r="C122" s="21"/>
      <c r="D122" s="21"/>
      <c r="E122" s="22">
        <f>E118+E119+E120+E121</f>
      </c>
      <c r="F122" s="22">
        <f>F118+F119+F120+F121</f>
      </c>
      <c r="G122" s="22">
        <f>G118+G119+G120+G121</f>
      </c>
      <c r="H122" s="22">
        <f>H118+H119+H120+H121</f>
      </c>
      <c r="I122" s="22">
        <f>I118+I119+I120+I121</f>
      </c>
      <c r="J122" s="22">
        <f>J118+J119+J120+J121</f>
      </c>
      <c r="K122" s="22">
        <f>K118+K119+K120+K121</f>
      </c>
      <c r="L122" s="22">
        <f>L118+L119+L120+L121</f>
      </c>
      <c r="M122" s="22">
        <f>M118+M119+M120+M121</f>
      </c>
      <c r="N122" s="22">
        <f>N118+N119+N120+N121</f>
      </c>
      <c r="O122" s="22">
        <f>O118+O119+O120+O121</f>
      </c>
      <c r="P122" s="22">
        <f>P118+P119+P120+P121</f>
      </c>
      <c r="Q122" s="22">
        <f>Q118+Q119+Q120+Q121</f>
      </c>
      <c r="R122" s="22">
        <f>R118+R119+R120+R121</f>
      </c>
      <c r="S122" s="22">
        <f>S118+S119+S120+S121</f>
      </c>
      <c r="T122" s="22">
        <f>T118+T119+T120+T121</f>
      </c>
      <c r="U122" s="22">
        <f>U118+U119+U120+U121</f>
      </c>
      <c r="V122" s="22">
        <f>V118+V119+V120+V121</f>
      </c>
      <c r="W122" s="22">
        <f>W118+W119+W120+W121</f>
      </c>
      <c r="X122" s="22">
        <f>X118+X119+X120+X121</f>
      </c>
      <c r="Y122" s="22">
        <f>Y118+Y119+Y120+Y121</f>
      </c>
      <c r="Z122" s="22">
        <f>Z118+Z119+Z120+Z121</f>
      </c>
      <c r="AA122" s="22">
        <f>AA118+AA119+AA120+AA121</f>
      </c>
      <c r="AB122" s="22">
        <f>AB118+AB119+AB120+AB121</f>
      </c>
      <c r="AC122" s="22">
        <f>AC118+AC119+AC120+AC121</f>
      </c>
      <c r="AD122" s="22">
        <f>AD118+AD119+AD120+AD121</f>
      </c>
      <c r="AE122" s="22">
        <f>AE118+AE119+AE120+AE121</f>
      </c>
      <c r="AF122" s="22">
        <f>AF118+AF119+AF120+AF121</f>
      </c>
      <c r="AG122" s="22">
        <f>AG118+AG119+AG120+AG121</f>
      </c>
      <c r="AH122" s="22">
        <f>AH118+AH119+AH120+AH121</f>
      </c>
      <c r="AI122" s="22">
        <f>AI118+AI119+AI120+AI121</f>
      </c>
      <c r="AJ122" s="22">
        <f>AJ118+AJ119+AJ120+AJ121</f>
      </c>
      <c r="AK122" s="23"/>
    </row>
    <row r="124" ht="12.75" customHeight="1" spans="2:37" x14ac:dyDescent="0.25">
      <c r="B124" s="11" t="s">
        <v>47</v>
      </c>
      <c r="C124" s="12"/>
      <c r="D124" s="13"/>
      <c r="E124" s="14" t="s">
        <v>7</v>
      </c>
      <c r="F124" s="14" t="s">
        <v>8</v>
      </c>
      <c r="G124" s="14" t="s">
        <v>9</v>
      </c>
      <c r="H124" s="14" t="s">
        <v>10</v>
      </c>
      <c r="I124" s="14" t="s">
        <v>11</v>
      </c>
      <c r="J124" s="14" t="s">
        <v>12</v>
      </c>
      <c r="K124" s="14" t="s">
        <v>13</v>
      </c>
      <c r="L124" s="14" t="s">
        <v>14</v>
      </c>
      <c r="M124" s="14" t="s">
        <v>15</v>
      </c>
      <c r="N124" s="14" t="s">
        <v>16</v>
      </c>
      <c r="O124" s="14" t="s">
        <v>17</v>
      </c>
      <c r="P124" s="14" t="s">
        <v>18</v>
      </c>
      <c r="Q124" s="14" t="s">
        <v>19</v>
      </c>
      <c r="R124" s="14" t="s">
        <v>20</v>
      </c>
      <c r="S124" s="14" t="s">
        <v>21</v>
      </c>
      <c r="T124" s="14" t="s">
        <v>22</v>
      </c>
      <c r="U124" s="14" t="s">
        <v>23</v>
      </c>
      <c r="V124" s="14" t="s">
        <v>24</v>
      </c>
      <c r="W124" s="14" t="s">
        <v>25</v>
      </c>
      <c r="X124" s="14" t="s">
        <v>26</v>
      </c>
      <c r="Y124" s="14" t="s">
        <v>27</v>
      </c>
      <c r="Z124" s="14" t="s">
        <v>28</v>
      </c>
      <c r="AA124" s="14" t="s">
        <v>29</v>
      </c>
      <c r="AB124" s="14" t="s">
        <v>30</v>
      </c>
      <c r="AC124" s="14" t="s">
        <v>31</v>
      </c>
      <c r="AD124" s="14" t="s">
        <v>32</v>
      </c>
      <c r="AE124" s="14" t="s">
        <v>33</v>
      </c>
      <c r="AF124" s="14" t="s">
        <v>34</v>
      </c>
      <c r="AG124" s="14" t="s">
        <v>35</v>
      </c>
      <c r="AH124" s="14" t="s">
        <v>36</v>
      </c>
      <c r="AI124" s="14" t="s">
        <v>37</v>
      </c>
      <c r="AJ124" s="14" t="s">
        <v>38</v>
      </c>
      <c r="AK124" s="15"/>
    </row>
    <row r="125" ht="12.75" customHeight="1" spans="2:37" x14ac:dyDescent="0.25">
      <c r="B125" s="16" t="s">
        <v>41</v>
      </c>
      <c r="C125" s="17"/>
      <c r="D125" s="17"/>
      <c r="E125" s="24">
        <f>E118-E111</f>
      </c>
      <c r="F125" s="24">
        <f>F118-F111</f>
      </c>
      <c r="G125" s="24">
        <f>G118-G111</f>
      </c>
      <c r="H125" s="24">
        <f>H118-H111</f>
      </c>
      <c r="I125" s="24">
        <f>I118-I111</f>
      </c>
      <c r="J125" s="24">
        <f>J118-J111</f>
      </c>
      <c r="K125" s="24">
        <f>K118-K111</f>
      </c>
      <c r="L125" s="24">
        <f>L118-L111</f>
      </c>
      <c r="M125" s="24">
        <f>M118-M111</f>
      </c>
      <c r="N125" s="24">
        <f>N118-N111</f>
      </c>
      <c r="O125" s="24">
        <f>O118-O111</f>
      </c>
      <c r="P125" s="24">
        <f>P118-P111</f>
      </c>
      <c r="Q125" s="24">
        <f>Q118-Q111</f>
      </c>
      <c r="R125" s="24">
        <f>R118-R111</f>
      </c>
      <c r="S125" s="24">
        <f>S118-S111</f>
      </c>
      <c r="T125" s="24">
        <f>T118-T111</f>
      </c>
      <c r="U125" s="24">
        <f>U118-U111</f>
      </c>
      <c r="V125" s="24">
        <f>V118-V111</f>
      </c>
      <c r="W125" s="24">
        <f>W118-W111</f>
      </c>
      <c r="X125" s="24">
        <f>X118-X111</f>
      </c>
      <c r="Y125" s="24">
        <f>Y118-Y111</f>
      </c>
      <c r="Z125" s="24">
        <f>Z118-Z111</f>
      </c>
      <c r="AA125" s="24">
        <f>AA118-AA111</f>
      </c>
      <c r="AB125" s="24">
        <f>AB118-AB111</f>
      </c>
      <c r="AC125" s="24">
        <f>AC118-AC111</f>
      </c>
      <c r="AD125" s="24">
        <f>AD118-AD111</f>
      </c>
      <c r="AE125" s="24">
        <f>AE118-AE111</f>
      </c>
      <c r="AF125" s="24">
        <f>AF118-AF111</f>
      </c>
      <c r="AG125" s="24">
        <f>AG118-AG111</f>
      </c>
      <c r="AH125" s="24">
        <f>AH118-AH111</f>
      </c>
      <c r="AI125" s="24">
        <f>AI118-AI111</f>
      </c>
      <c r="AJ125" s="24">
        <f>AJ118-AJ111</f>
      </c>
      <c r="AK125" s="19"/>
    </row>
    <row r="126" ht="12.75" customHeight="1" spans="2:37" x14ac:dyDescent="0.25">
      <c r="B126" s="16" t="s">
        <v>42</v>
      </c>
      <c r="C126" s="17"/>
      <c r="D126" s="17"/>
      <c r="E126" s="24">
        <f>E119-E112</f>
      </c>
      <c r="F126" s="24">
        <f>F119-F112</f>
      </c>
      <c r="G126" s="24">
        <f>G119-G112</f>
      </c>
      <c r="H126" s="24">
        <f>H119-H112</f>
      </c>
      <c r="I126" s="24">
        <f>I119-I112</f>
      </c>
      <c r="J126" s="24">
        <f>J119-J112</f>
      </c>
      <c r="K126" s="24">
        <f>K119-K112</f>
      </c>
      <c r="L126" s="24">
        <f>L119-L112</f>
      </c>
      <c r="M126" s="24">
        <f>M119-M112</f>
      </c>
      <c r="N126" s="24">
        <f>N119-N112</f>
      </c>
      <c r="O126" s="24">
        <f>O119-O112</f>
      </c>
      <c r="P126" s="24">
        <f>P119-P112</f>
      </c>
      <c r="Q126" s="24">
        <f>Q119-Q112</f>
      </c>
      <c r="R126" s="24">
        <f>R119-R112</f>
      </c>
      <c r="S126" s="24">
        <f>S119-S112</f>
      </c>
      <c r="T126" s="24">
        <f>T119-T112</f>
      </c>
      <c r="U126" s="24">
        <f>U119-U112</f>
      </c>
      <c r="V126" s="24">
        <f>V119-V112</f>
      </c>
      <c r="W126" s="24">
        <f>W119-W112</f>
      </c>
      <c r="X126" s="24">
        <f>X119-X112</f>
      </c>
      <c r="Y126" s="24">
        <f>Y119-Y112</f>
      </c>
      <c r="Z126" s="24">
        <f>Z119-Z112</f>
      </c>
      <c r="AA126" s="24">
        <f>AA119-AA112</f>
      </c>
      <c r="AB126" s="24">
        <f>AB119-AB112</f>
      </c>
      <c r="AC126" s="24">
        <f>AC119-AC112</f>
      </c>
      <c r="AD126" s="24">
        <f>AD119-AD112</f>
      </c>
      <c r="AE126" s="24">
        <f>AE119-AE112</f>
      </c>
      <c r="AF126" s="24">
        <f>AF119-AF112</f>
      </c>
      <c r="AG126" s="24">
        <f>AG119-AG112</f>
      </c>
      <c r="AH126" s="24">
        <f>AH119-AH112</f>
      </c>
      <c r="AI126" s="24">
        <f>AI119-AI112</f>
      </c>
      <c r="AJ126" s="24">
        <f>AJ119-AJ112</f>
      </c>
      <c r="AK126" s="19"/>
    </row>
    <row r="127" ht="12.75" customHeight="1" spans="2:37" x14ac:dyDescent="0.25">
      <c r="B127" s="16" t="s">
        <v>43</v>
      </c>
      <c r="C127" s="17"/>
      <c r="D127" s="17"/>
      <c r="E127" s="24">
        <f>E120-E113</f>
      </c>
      <c r="F127" s="24">
        <f>F120-F113</f>
      </c>
      <c r="G127" s="24">
        <f>G120-G113</f>
      </c>
      <c r="H127" s="24">
        <f>H120-H113</f>
      </c>
      <c r="I127" s="24">
        <f>I120-I113</f>
      </c>
      <c r="J127" s="24">
        <f>J120-J113</f>
      </c>
      <c r="K127" s="24">
        <f>K120-K113</f>
      </c>
      <c r="L127" s="24">
        <f>L120-L113</f>
      </c>
      <c r="M127" s="24">
        <f>M120-M113</f>
      </c>
      <c r="N127" s="24">
        <f>N120-N113</f>
      </c>
      <c r="O127" s="24">
        <f>O120-O113</f>
      </c>
      <c r="P127" s="24">
        <f>P120-P113</f>
      </c>
      <c r="Q127" s="24">
        <f>Q120-Q113</f>
      </c>
      <c r="R127" s="24">
        <f>R120-R113</f>
      </c>
      <c r="S127" s="24">
        <f>S120-S113</f>
      </c>
      <c r="T127" s="24">
        <f>T120-T113</f>
      </c>
      <c r="U127" s="24">
        <f>U120-U113</f>
      </c>
      <c r="V127" s="24">
        <f>V120-V113</f>
      </c>
      <c r="W127" s="24">
        <f>W120-W113</f>
      </c>
      <c r="X127" s="24">
        <f>X120-X113</f>
      </c>
      <c r="Y127" s="24">
        <f>Y120-Y113</f>
      </c>
      <c r="Z127" s="24">
        <f>Z120-Z113</f>
      </c>
      <c r="AA127" s="24">
        <f>AA120-AA113</f>
      </c>
      <c r="AB127" s="24">
        <f>AB120-AB113</f>
      </c>
      <c r="AC127" s="24">
        <f>AC120-AC113</f>
      </c>
      <c r="AD127" s="24">
        <f>AD120-AD113</f>
      </c>
      <c r="AE127" s="24">
        <f>AE120-AE113</f>
      </c>
      <c r="AF127" s="24">
        <f>AF120-AF113</f>
      </c>
      <c r="AG127" s="24">
        <f>AG120-AG113</f>
      </c>
      <c r="AH127" s="24">
        <f>AH120-AH113</f>
      </c>
      <c r="AI127" s="24">
        <f>AI120-AI113</f>
      </c>
      <c r="AJ127" s="24">
        <f>AJ120-AJ113</f>
      </c>
      <c r="AK127" s="19"/>
    </row>
    <row r="128" ht="12.75" customHeight="1" spans="2:37" x14ac:dyDescent="0.25">
      <c r="B128" s="16" t="s">
        <v>44</v>
      </c>
      <c r="C128" s="17"/>
      <c r="D128" s="17"/>
      <c r="E128" s="24">
        <f>E121-E114</f>
      </c>
      <c r="F128" s="24">
        <f>F121-F114</f>
      </c>
      <c r="G128" s="24">
        <f>G121-G114</f>
      </c>
      <c r="H128" s="24">
        <f>H121-H114</f>
      </c>
      <c r="I128" s="24">
        <f>I121-I114</f>
      </c>
      <c r="J128" s="24">
        <f>J121-J114</f>
      </c>
      <c r="K128" s="24">
        <f>K121-K114</f>
      </c>
      <c r="L128" s="24">
        <f>L121-L114</f>
      </c>
      <c r="M128" s="24">
        <f>M121-M114</f>
      </c>
      <c r="N128" s="24">
        <f>N121-N114</f>
      </c>
      <c r="O128" s="24">
        <f>O121-O114</f>
      </c>
      <c r="P128" s="24">
        <f>P121-P114</f>
      </c>
      <c r="Q128" s="24">
        <f>Q121-Q114</f>
      </c>
      <c r="R128" s="24">
        <f>R121-R114</f>
      </c>
      <c r="S128" s="24">
        <f>S121-S114</f>
      </c>
      <c r="T128" s="24">
        <f>T121-T114</f>
      </c>
      <c r="U128" s="24">
        <f>U121-U114</f>
      </c>
      <c r="V128" s="24">
        <f>V121-V114</f>
      </c>
      <c r="W128" s="24">
        <f>W121-W114</f>
      </c>
      <c r="X128" s="24">
        <f>X121-X114</f>
      </c>
      <c r="Y128" s="24">
        <f>Y121-Y114</f>
      </c>
      <c r="Z128" s="24">
        <f>Z121-Z114</f>
      </c>
      <c r="AA128" s="24">
        <f>AA121-AA114</f>
      </c>
      <c r="AB128" s="24">
        <f>AB121-AB114</f>
      </c>
      <c r="AC128" s="24">
        <f>AC121-AC114</f>
      </c>
      <c r="AD128" s="24">
        <f>AD121-AD114</f>
      </c>
      <c r="AE128" s="24">
        <f>AE121-AE114</f>
      </c>
      <c r="AF128" s="24">
        <f>AF121-AF114</f>
      </c>
      <c r="AG128" s="24">
        <f>AG121-AG114</f>
      </c>
      <c r="AH128" s="24">
        <f>AH121-AH114</f>
      </c>
      <c r="AI128" s="24">
        <f>AI121-AI114</f>
      </c>
      <c r="AJ128" s="24">
        <f>AJ121-AJ114</f>
      </c>
      <c r="AK128" s="19"/>
    </row>
    <row r="129" ht="12.75" customHeight="1" spans="2:37" x14ac:dyDescent="0.25">
      <c r="B129" s="20" t="s">
        <v>45</v>
      </c>
      <c r="C129" s="21"/>
      <c r="D129" s="21"/>
      <c r="E129" s="25">
        <f>E125+E126+E127+E128</f>
      </c>
      <c r="F129" s="25">
        <f>F125+F126+F127+F128</f>
      </c>
      <c r="G129" s="25">
        <f>G125+G126+G127+G128</f>
      </c>
      <c r="H129" s="25">
        <f>H125+H126+H127+H128</f>
      </c>
      <c r="I129" s="25">
        <f>I125+I126+I127+I128</f>
      </c>
      <c r="J129" s="25">
        <f>J125+J126+J127+J128</f>
      </c>
      <c r="K129" s="25">
        <f>K125+K126+K127+K128</f>
      </c>
      <c r="L129" s="25">
        <f>L125+L126+L127+L128</f>
      </c>
      <c r="M129" s="25">
        <f>M125+M126+M127+M128</f>
      </c>
      <c r="N129" s="25">
        <f>N125+N126+N127+N128</f>
      </c>
      <c r="O129" s="25">
        <f>O125+O126+O127+O128</f>
      </c>
      <c r="P129" s="25">
        <f>P125+P126+P127+P128</f>
      </c>
      <c r="Q129" s="25">
        <f>Q125+Q126+Q127+Q128</f>
      </c>
      <c r="R129" s="25">
        <f>R125+R126+R127+R128</f>
      </c>
      <c r="S129" s="25">
        <f>S125+S126+S127+S128</f>
      </c>
      <c r="T129" s="25">
        <f>T125+T126+T127+T128</f>
      </c>
      <c r="U129" s="25">
        <f>U125+U126+U127+U128</f>
      </c>
      <c r="V129" s="25">
        <f>V125+V126+V127+V128</f>
      </c>
      <c r="W129" s="25">
        <f>W125+W126+W127+W128</f>
      </c>
      <c r="X129" s="25">
        <f>X125+X126+X127+X128</f>
      </c>
      <c r="Y129" s="25">
        <f>Y125+Y126+Y127+Y128</f>
      </c>
      <c r="Z129" s="25">
        <f>Z125+Z126+Z127+Z128</f>
      </c>
      <c r="AA129" s="25">
        <f>AA125+AA126+AA127+AA128</f>
      </c>
      <c r="AB129" s="25">
        <f>AB125+AB126+AB127+AB128</f>
      </c>
      <c r="AC129" s="25">
        <f>AC125+AC126+AC127+AC128</f>
      </c>
      <c r="AD129" s="25">
        <f>AD125+AD126+AD127+AD128</f>
      </c>
      <c r="AE129" s="25">
        <f>AE125+AE126+AE127+AE128</f>
      </c>
      <c r="AF129" s="25">
        <f>AF125+AF126+AF127+AF128</f>
      </c>
      <c r="AG129" s="25">
        <f>AG125+AG126+AG127+AG128</f>
      </c>
      <c r="AH129" s="25">
        <f>AH125+AH126+AH127+AH128</f>
      </c>
      <c r="AI129" s="25">
        <f>AI125+AI126+AI127+AI128</f>
      </c>
      <c r="AJ129" s="25">
        <f>AJ125+AJ126+AJ127+AJ128</f>
      </c>
      <c r="AK12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3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2110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2196</v>
      </c>
      <c r="K8" s="44" t="s">
        <v>2197</v>
      </c>
      <c r="L8" s="44" t="s">
        <v>2198</v>
      </c>
      <c r="M8" s="44" t="s">
        <v>2199</v>
      </c>
      <c r="N8" s="44" t="s">
        <v>2200</v>
      </c>
      <c r="O8" s="44" t="s">
        <v>2201</v>
      </c>
      <c r="P8" s="44" t="s">
        <v>2202</v>
      </c>
      <c r="Q8" s="44" t="s">
        <v>2203</v>
      </c>
      <c r="R8" s="44" t="s">
        <v>2204</v>
      </c>
      <c r="S8" s="44" t="s">
        <v>2205</v>
      </c>
      <c r="T8" s="44" t="s">
        <v>2206</v>
      </c>
      <c r="U8" s="44" t="s">
        <v>2207</v>
      </c>
      <c r="V8" s="44" t="s">
        <v>2208</v>
      </c>
      <c r="W8" s="44" t="s">
        <v>2209</v>
      </c>
      <c r="X8" s="44" t="s">
        <v>2210</v>
      </c>
      <c r="Y8" s="44" t="s">
        <v>2211</v>
      </c>
      <c r="Z8" s="44" t="s">
        <v>2212</v>
      </c>
      <c r="AA8" s="44" t="s">
        <v>2213</v>
      </c>
      <c r="AB8" s="44" t="s">
        <v>2214</v>
      </c>
      <c r="AC8" s="44" t="s">
        <v>2215</v>
      </c>
      <c r="AD8" s="44" t="s">
        <v>2216</v>
      </c>
      <c r="AE8" s="44" t="s">
        <v>2217</v>
      </c>
      <c r="AF8" s="44" t="s">
        <v>2218</v>
      </c>
      <c r="AG8" s="44" t="s">
        <v>2219</v>
      </c>
      <c r="AH8" s="44" t="s">
        <v>2220</v>
      </c>
      <c r="AI8" s="44" t="s">
        <v>2221</v>
      </c>
      <c r="AJ8" s="44" t="s">
        <v>2222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2110</v>
      </c>
      <c r="D10" s="50" t="s">
        <v>41</v>
      </c>
      <c r="E10" s="32" t="s">
        <v>3</v>
      </c>
      <c r="F10" s="32" t="s">
        <v>2111</v>
      </c>
      <c r="G10" s="32"/>
      <c r="H10" s="32"/>
      <c r="I10" s="32"/>
      <c r="J10" s="32"/>
      <c r="K10" s="33">
        <f>113.20+0.00</f>
        <v>113.2</v>
      </c>
      <c r="L10" s="33">
        <v>97.91</v>
      </c>
      <c r="M10" s="33">
        <v>83.27</v>
      </c>
      <c r="N10" s="33">
        <v>85.52</v>
      </c>
      <c r="O10" s="33">
        <v>60.78</v>
      </c>
      <c r="P10" s="33">
        <v>45.07</v>
      </c>
      <c r="Q10" s="33">
        <v>40.57</v>
      </c>
      <c r="R10" s="33">
        <v>38.38</v>
      </c>
      <c r="S10" s="33">
        <v>40.92</v>
      </c>
      <c r="T10" s="33">
        <v>37.26</v>
      </c>
      <c r="U10" s="33">
        <v>41.19</v>
      </c>
      <c r="V10" s="33">
        <v>54.89</v>
      </c>
      <c r="W10" s="33">
        <v>74.09</v>
      </c>
      <c r="X10" s="33">
        <v>68.82</v>
      </c>
      <c r="Y10" s="33">
        <v>62.47</v>
      </c>
      <c r="Z10" s="33">
        <v>62.9</v>
      </c>
      <c r="AA10" s="33">
        <v>60.92</v>
      </c>
      <c r="AB10" s="33">
        <v>65.13</v>
      </c>
      <c r="AC10" s="33">
        <v>59.22</v>
      </c>
      <c r="AD10" s="33">
        <v>57.86</v>
      </c>
      <c r="AE10" s="33">
        <v>67.41</v>
      </c>
      <c r="AF10" s="33">
        <v>67.44</v>
      </c>
      <c r="AG10" s="33">
        <v>71.69</v>
      </c>
      <c r="AH10" s="33">
        <v>92.86</v>
      </c>
      <c r="AI10" s="33">
        <v>98.92</v>
      </c>
      <c r="AJ10" s="33">
        <v>81.28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2110</v>
      </c>
      <c r="D11" s="50" t="s">
        <v>41</v>
      </c>
      <c r="E11" s="32" t="s">
        <v>3</v>
      </c>
      <c r="F11" s="32" t="s">
        <v>2112</v>
      </c>
      <c r="G11" s="32"/>
      <c r="H11" s="32"/>
      <c r="I11" s="32"/>
      <c r="J11" s="32"/>
      <c r="K11" s="33">
        <v>29.29</v>
      </c>
      <c r="L11" s="33">
        <v>29.29</v>
      </c>
      <c r="M11" s="33">
        <v>29.29</v>
      </c>
      <c r="N11" s="33">
        <v>29.29</v>
      </c>
      <c r="O11" s="33">
        <v>29.29</v>
      </c>
      <c r="P11" s="33">
        <v>29.29</v>
      </c>
      <c r="Q11" s="33">
        <v>29.29</v>
      </c>
      <c r="R11" s="33">
        <v>29.31</v>
      </c>
      <c r="S11" s="33">
        <v>29.31</v>
      </c>
      <c r="T11" s="33">
        <v>29.31</v>
      </c>
      <c r="U11" s="33">
        <v>29.31</v>
      </c>
      <c r="V11" s="33">
        <v>29.31</v>
      </c>
      <c r="W11" s="33">
        <v>29.31</v>
      </c>
      <c r="X11" s="33">
        <v>29.31</v>
      </c>
      <c r="Y11" s="33">
        <v>29.31</v>
      </c>
      <c r="Z11" s="33">
        <v>29.3</v>
      </c>
      <c r="AA11" s="33">
        <v>29.3</v>
      </c>
      <c r="AB11" s="33">
        <v>29.3</v>
      </c>
      <c r="AC11" s="33">
        <v>29.3</v>
      </c>
      <c r="AD11" s="33">
        <f>29.31+16.40</f>
        <v>45.709999999999994</v>
      </c>
      <c r="AE11" s="32"/>
      <c r="AF11" s="32"/>
      <c r="AG11" s="32"/>
      <c r="AH11" s="32"/>
      <c r="AI11" s="32"/>
      <c r="AJ11" s="32"/>
      <c r="AK11" s="32"/>
      <c r="AL11" s="34">
        <f>SUM(G11:AK11)</f>
      </c>
      <c r="AM11" s="35"/>
    </row>
    <row r="12" ht="13.5" customHeight="1" spans="2:39" x14ac:dyDescent="0.25">
      <c r="B12" s="48" t="s">
        <v>3</v>
      </c>
      <c r="C12" s="49" t="s">
        <v>2110</v>
      </c>
      <c r="D12" s="50" t="s">
        <v>41</v>
      </c>
      <c r="E12" s="32" t="s">
        <v>3</v>
      </c>
      <c r="F12" s="32" t="s">
        <v>2113</v>
      </c>
      <c r="G12" s="32"/>
      <c r="H12" s="32"/>
      <c r="I12" s="32"/>
      <c r="J12" s="33">
        <v>29.29</v>
      </c>
      <c r="K12" s="33">
        <v>34.09</v>
      </c>
      <c r="L12" s="33">
        <v>34.02</v>
      </c>
      <c r="M12" s="33">
        <v>65.3</v>
      </c>
      <c r="N12" s="33">
        <v>60.78</v>
      </c>
      <c r="O12" s="33">
        <v>31.57</v>
      </c>
      <c r="P12" s="33">
        <v>31.57</v>
      </c>
      <c r="Q12" s="33">
        <v>29.29</v>
      </c>
      <c r="R12" s="33">
        <v>29.31</v>
      </c>
      <c r="S12" s="33">
        <v>29.31</v>
      </c>
      <c r="T12" s="33">
        <v>29.31</v>
      </c>
      <c r="U12" s="33">
        <v>29.31</v>
      </c>
      <c r="V12" s="33">
        <v>31.3</v>
      </c>
      <c r="W12" s="33">
        <v>29.31</v>
      </c>
      <c r="X12" s="33">
        <v>95.19</v>
      </c>
      <c r="Y12" s="33">
        <v>154.95</v>
      </c>
      <c r="Z12" s="33">
        <v>68.84</v>
      </c>
      <c r="AA12" s="33">
        <v>56.99</v>
      </c>
      <c r="AB12" s="33">
        <v>47.22</v>
      </c>
      <c r="AC12" s="33">
        <v>45.26</v>
      </c>
      <c r="AD12" s="33">
        <v>37.54</v>
      </c>
      <c r="AE12" s="33">
        <v>39.89</v>
      </c>
      <c r="AF12" s="33">
        <v>61.09</v>
      </c>
      <c r="AG12" s="33">
        <v>78.04</v>
      </c>
      <c r="AH12" s="33">
        <v>97.12</v>
      </c>
      <c r="AI12" s="33">
        <v>130.53</v>
      </c>
      <c r="AJ12" s="33">
        <v>124.87</v>
      </c>
      <c r="AK12" s="32"/>
      <c r="AL12" s="34">
        <f>SUM(G12:AK12)</f>
      </c>
      <c r="AM12" s="35"/>
    </row>
    <row r="13" ht="13.5" customHeight="1" spans="2:39" x14ac:dyDescent="0.25">
      <c r="B13" s="48" t="s">
        <v>3</v>
      </c>
      <c r="C13" s="49" t="s">
        <v>2110</v>
      </c>
      <c r="D13" s="50" t="s">
        <v>41</v>
      </c>
      <c r="E13" s="32" t="s">
        <v>3</v>
      </c>
      <c r="F13" s="32" t="s">
        <v>2114</v>
      </c>
      <c r="G13" s="32"/>
      <c r="H13" s="32"/>
      <c r="I13" s="32"/>
      <c r="J13" s="33">
        <v>11.41</v>
      </c>
      <c r="K13" s="33">
        <v>11.41</v>
      </c>
      <c r="L13" s="33">
        <v>11.41</v>
      </c>
      <c r="M13" s="33">
        <v>11.41</v>
      </c>
      <c r="N13" s="33">
        <v>11.41</v>
      </c>
      <c r="O13" s="33">
        <v>11.41</v>
      </c>
      <c r="P13" s="33">
        <v>11.41</v>
      </c>
      <c r="Q13" s="33">
        <v>11.41</v>
      </c>
      <c r="R13" s="33">
        <v>11.42</v>
      </c>
      <c r="S13" s="33">
        <v>11.42</v>
      </c>
      <c r="T13" s="33">
        <v>11.42</v>
      </c>
      <c r="U13" s="33">
        <v>11.42</v>
      </c>
      <c r="V13" s="33">
        <v>11.42</v>
      </c>
      <c r="W13" s="33">
        <v>11.42</v>
      </c>
      <c r="X13" s="33">
        <v>11.42</v>
      </c>
      <c r="Y13" s="33">
        <v>11.42</v>
      </c>
      <c r="Z13" s="33">
        <v>11.41</v>
      </c>
      <c r="AA13" s="33">
        <v>11.41</v>
      </c>
      <c r="AB13" s="33">
        <v>11.41</v>
      </c>
      <c r="AC13" s="33">
        <v>11.41</v>
      </c>
      <c r="AD13" s="33">
        <v>11.42</v>
      </c>
      <c r="AE13" s="33">
        <v>11.42</v>
      </c>
      <c r="AF13" s="33">
        <v>11.42</v>
      </c>
      <c r="AG13" s="33">
        <v>11.42</v>
      </c>
      <c r="AH13" s="33">
        <v>11.42</v>
      </c>
      <c r="AI13" s="33">
        <v>11.42</v>
      </c>
      <c r="AJ13" s="33">
        <v>11.42</v>
      </c>
      <c r="AK13" s="32"/>
      <c r="AL13" s="34">
        <f>SUM(G13:AK13)</f>
      </c>
      <c r="AM13" s="35"/>
    </row>
    <row r="14" ht="13.5" customHeight="1" spans="2:39" x14ac:dyDescent="0.25">
      <c r="B14" s="48" t="s">
        <v>3</v>
      </c>
      <c r="C14" s="49" t="s">
        <v>2110</v>
      </c>
      <c r="D14" s="50" t="s">
        <v>41</v>
      </c>
      <c r="E14" s="32" t="s">
        <v>3</v>
      </c>
      <c r="F14" s="32" t="s">
        <v>2115</v>
      </c>
      <c r="G14" s="32"/>
      <c r="H14" s="32"/>
      <c r="I14" s="32"/>
      <c r="J14" s="32"/>
      <c r="K14" s="33">
        <v>30.05</v>
      </c>
      <c r="L14" s="33">
        <v>33.85</v>
      </c>
      <c r="M14" s="33">
        <v>24.86</v>
      </c>
      <c r="N14" s="33">
        <v>30.61</v>
      </c>
      <c r="O14" s="33">
        <v>26.78</v>
      </c>
      <c r="P14" s="33">
        <v>26.9</v>
      </c>
      <c r="Q14" s="33">
        <v>21.12</v>
      </c>
      <c r="R14" s="33">
        <v>19.25</v>
      </c>
      <c r="S14" s="33">
        <v>17.44</v>
      </c>
      <c r="T14" s="33">
        <v>16.46</v>
      </c>
      <c r="U14" s="33">
        <v>23.08</v>
      </c>
      <c r="V14" s="33">
        <v>26.32</v>
      </c>
      <c r="W14" s="33">
        <v>32.67</v>
      </c>
      <c r="X14" s="33">
        <v>30.24</v>
      </c>
      <c r="Y14" s="33">
        <v>31.47</v>
      </c>
      <c r="Z14" s="33">
        <v>32.64</v>
      </c>
      <c r="AA14" s="33">
        <v>29.37</v>
      </c>
      <c r="AB14" s="33">
        <v>27.87</v>
      </c>
      <c r="AC14" s="33">
        <v>22.95</v>
      </c>
      <c r="AD14" s="33">
        <v>16.51</v>
      </c>
      <c r="AE14" s="33">
        <v>18.49</v>
      </c>
      <c r="AF14" s="33">
        <v>23.85</v>
      </c>
      <c r="AG14" s="33">
        <v>27.4</v>
      </c>
      <c r="AH14" s="33">
        <v>39.81</v>
      </c>
      <c r="AI14" s="33">
        <v>39.66</v>
      </c>
      <c r="AJ14" s="33">
        <v>33.96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2110</v>
      </c>
      <c r="D15" s="50" t="s">
        <v>41</v>
      </c>
      <c r="E15" s="32" t="s">
        <v>3</v>
      </c>
      <c r="F15" s="32" t="s">
        <v>2116</v>
      </c>
      <c r="G15" s="32"/>
      <c r="H15" s="32"/>
      <c r="I15" s="32"/>
      <c r="J15" s="32"/>
      <c r="K15" s="33">
        <v>40.41</v>
      </c>
      <c r="L15" s="33">
        <v>35.89</v>
      </c>
      <c r="M15" s="33">
        <v>30.62</v>
      </c>
      <c r="N15" s="33">
        <v>26.78</v>
      </c>
      <c r="O15" s="33">
        <v>22.95</v>
      </c>
      <c r="P15" s="33">
        <v>21.11</v>
      </c>
      <c r="Q15" s="33">
        <v>17.23</v>
      </c>
      <c r="R15" s="33">
        <v>17.31</v>
      </c>
      <c r="S15" s="33">
        <v>19.44</v>
      </c>
      <c r="T15" s="33">
        <v>16.46</v>
      </c>
      <c r="U15" s="33">
        <v>23.08</v>
      </c>
      <c r="V15" s="33">
        <v>26.32</v>
      </c>
      <c r="W15" s="33">
        <v>31.02</v>
      </c>
      <c r="X15" s="33">
        <v>31.79</v>
      </c>
      <c r="Y15" s="33">
        <v>24.3</v>
      </c>
      <c r="Z15" s="33">
        <v>24.48</v>
      </c>
      <c r="AA15" s="33">
        <v>22.83</v>
      </c>
      <c r="AB15" s="33">
        <v>21.29</v>
      </c>
      <c r="AC15" s="33">
        <v>18.01</v>
      </c>
      <c r="AD15" s="33">
        <v>16.51</v>
      </c>
      <c r="AE15" s="33">
        <v>20.28</v>
      </c>
      <c r="AF15" s="33">
        <v>20.29</v>
      </c>
      <c r="AG15" s="33">
        <v>22.05</v>
      </c>
      <c r="AH15" s="33">
        <v>29.16</v>
      </c>
      <c r="AI15" s="33">
        <v>30.83</v>
      </c>
      <c r="AJ15" s="33">
        <v>28.75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2110</v>
      </c>
      <c r="D16" s="50" t="s">
        <v>41</v>
      </c>
      <c r="E16" s="32" t="s">
        <v>3</v>
      </c>
      <c r="F16" s="32" t="s">
        <v>2117</v>
      </c>
      <c r="G16" s="32"/>
      <c r="H16" s="32"/>
      <c r="I16" s="32"/>
      <c r="J16" s="32"/>
      <c r="K16" s="33">
        <v>50.73</v>
      </c>
      <c r="L16" s="33">
        <v>66.5</v>
      </c>
      <c r="M16" s="33">
        <v>57.53</v>
      </c>
      <c r="N16" s="33">
        <v>59.47</v>
      </c>
      <c r="O16" s="33">
        <v>55.61</v>
      </c>
      <c r="P16" s="33">
        <v>46.26</v>
      </c>
      <c r="Q16" s="33">
        <v>40.5</v>
      </c>
      <c r="R16" s="33">
        <v>40.66</v>
      </c>
      <c r="S16" s="33">
        <v>43.49</v>
      </c>
      <c r="T16" s="33">
        <v>35.85</v>
      </c>
      <c r="U16" s="33">
        <v>41.42</v>
      </c>
      <c r="V16" s="33">
        <v>59.44</v>
      </c>
      <c r="W16" s="33">
        <v>78.45</v>
      </c>
      <c r="X16" s="33">
        <v>52.23</v>
      </c>
      <c r="Y16" s="33">
        <v>47.22</v>
      </c>
      <c r="Z16" s="33">
        <v>48.96</v>
      </c>
      <c r="AA16" s="33">
        <v>47.34</v>
      </c>
      <c r="AB16" s="33">
        <v>49.28</v>
      </c>
      <c r="AC16" s="33">
        <v>41.13</v>
      </c>
      <c r="AD16" s="33">
        <v>38.43</v>
      </c>
      <c r="AE16" s="33">
        <v>46.87</v>
      </c>
      <c r="AF16" s="33">
        <v>48.67</v>
      </c>
      <c r="AG16" s="33">
        <v>57.57</v>
      </c>
      <c r="AH16" s="33">
        <v>82.4</v>
      </c>
      <c r="AI16" s="33">
        <v>83.78</v>
      </c>
      <c r="AJ16" s="33">
        <v>68.66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2110</v>
      </c>
      <c r="D17" s="50" t="s">
        <v>41</v>
      </c>
      <c r="E17" s="32" t="s">
        <v>3</v>
      </c>
      <c r="F17" s="32" t="s">
        <v>2118</v>
      </c>
      <c r="G17" s="32"/>
      <c r="H17" s="32"/>
      <c r="I17" s="32"/>
      <c r="J17" s="32"/>
      <c r="K17" s="33">
        <v>36.26</v>
      </c>
      <c r="L17" s="33">
        <v>52.18</v>
      </c>
      <c r="M17" s="33">
        <v>36.41</v>
      </c>
      <c r="N17" s="33">
        <v>17.17</v>
      </c>
      <c r="O17" s="33">
        <v>19.11</v>
      </c>
      <c r="P17" s="33">
        <v>19.16</v>
      </c>
      <c r="Q17" s="33">
        <v>17.23</v>
      </c>
      <c r="R17" s="33">
        <v>19.25</v>
      </c>
      <c r="S17" s="33">
        <v>19.44</v>
      </c>
      <c r="T17" s="33">
        <v>18.11</v>
      </c>
      <c r="U17" s="33">
        <v>16.43</v>
      </c>
      <c r="V17" s="33">
        <v>18.04</v>
      </c>
      <c r="W17" s="33">
        <v>17.97</v>
      </c>
      <c r="X17" s="33">
        <v>17.69</v>
      </c>
      <c r="Y17" s="33">
        <v>17.15</v>
      </c>
      <c r="Z17" s="33">
        <v>16.33</v>
      </c>
      <c r="AA17" s="33">
        <v>17.93</v>
      </c>
      <c r="AB17" s="33">
        <v>16.38</v>
      </c>
      <c r="AC17" s="33">
        <v>18.01</v>
      </c>
      <c r="AD17" s="33">
        <v>18.25</v>
      </c>
      <c r="AE17" s="33">
        <v>18.49</v>
      </c>
      <c r="AF17" s="33">
        <v>16.76</v>
      </c>
      <c r="AG17" s="33">
        <v>18.5</v>
      </c>
      <c r="AH17" s="33">
        <v>18.5</v>
      </c>
      <c r="AI17" s="33">
        <v>18.47</v>
      </c>
      <c r="AJ17" s="33">
        <v>18.35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2110</v>
      </c>
      <c r="D18" s="50" t="s">
        <v>41</v>
      </c>
      <c r="E18" s="32" t="s">
        <v>3</v>
      </c>
      <c r="F18" s="32" t="s">
        <v>2119</v>
      </c>
      <c r="G18" s="32"/>
      <c r="H18" s="32"/>
      <c r="I18" s="32"/>
      <c r="J18" s="32"/>
      <c r="K18" s="33">
        <v>44.55</v>
      </c>
      <c r="L18" s="33">
        <v>33.85</v>
      </c>
      <c r="M18" s="33">
        <v>28.71</v>
      </c>
      <c r="N18" s="33">
        <v>26.78</v>
      </c>
      <c r="O18" s="33">
        <v>24.86</v>
      </c>
      <c r="P18" s="33">
        <v>26.9</v>
      </c>
      <c r="Q18" s="33">
        <v>26.92</v>
      </c>
      <c r="R18" s="33">
        <v>15.37</v>
      </c>
      <c r="S18" s="33">
        <v>19.44</v>
      </c>
      <c r="T18" s="33">
        <v>18.11</v>
      </c>
      <c r="U18" s="33">
        <v>21.42</v>
      </c>
      <c r="V18" s="33">
        <v>24.66</v>
      </c>
      <c r="W18" s="33">
        <v>24.49</v>
      </c>
      <c r="X18" s="33">
        <v>25.54</v>
      </c>
      <c r="Y18" s="33">
        <v>21.44</v>
      </c>
      <c r="Z18" s="33">
        <v>22.83</v>
      </c>
      <c r="AA18" s="33">
        <v>21.21</v>
      </c>
      <c r="AB18" s="33">
        <v>21.29</v>
      </c>
      <c r="AC18" s="33">
        <v>18.01</v>
      </c>
      <c r="AD18" s="33">
        <v>18.25</v>
      </c>
      <c r="AE18" s="33">
        <v>20.28</v>
      </c>
      <c r="AF18" s="33">
        <v>20.29</v>
      </c>
      <c r="AG18" s="33">
        <v>23.86</v>
      </c>
      <c r="AH18" s="33">
        <v>30.94</v>
      </c>
      <c r="AI18" s="33">
        <v>27.31</v>
      </c>
      <c r="AJ18" s="33">
        <v>27.03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2110</v>
      </c>
      <c r="D19" s="50" t="s">
        <v>41</v>
      </c>
      <c r="E19" s="32" t="s">
        <v>3</v>
      </c>
      <c r="F19" s="32" t="s">
        <v>2120</v>
      </c>
      <c r="G19" s="32"/>
      <c r="H19" s="32"/>
      <c r="I19" s="32"/>
      <c r="J19" s="32"/>
      <c r="K19" s="33">
        <v>36.26</v>
      </c>
      <c r="L19" s="33">
        <v>35.89</v>
      </c>
      <c r="M19" s="33">
        <v>30.62</v>
      </c>
      <c r="N19" s="33">
        <v>30.61</v>
      </c>
      <c r="O19" s="33">
        <v>28.71</v>
      </c>
      <c r="P19" s="33">
        <v>30.75</v>
      </c>
      <c r="Q19" s="33">
        <v>26.92</v>
      </c>
      <c r="R19" s="33">
        <v>28.94</v>
      </c>
      <c r="S19" s="33">
        <v>29.45</v>
      </c>
      <c r="T19" s="33">
        <v>25.14</v>
      </c>
      <c r="U19" s="33">
        <v>29.76</v>
      </c>
      <c r="V19" s="33">
        <v>29.64</v>
      </c>
      <c r="W19" s="33">
        <v>32.67</v>
      </c>
      <c r="X19" s="33">
        <v>28.7</v>
      </c>
      <c r="Y19" s="33">
        <v>25.71</v>
      </c>
      <c r="Z19" s="33">
        <v>24.48</v>
      </c>
      <c r="AA19" s="33">
        <v>19.58</v>
      </c>
      <c r="AB19" s="33">
        <v>16.38</v>
      </c>
      <c r="AC19" s="33">
        <v>18.01</v>
      </c>
      <c r="AD19" s="33">
        <v>14.84</v>
      </c>
      <c r="AE19" s="33">
        <v>18.49</v>
      </c>
      <c r="AF19" s="33">
        <v>20.29</v>
      </c>
      <c r="AG19" s="33">
        <v>23.86</v>
      </c>
      <c r="AH19" s="33">
        <v>30.94</v>
      </c>
      <c r="AI19" s="33">
        <v>34.37</v>
      </c>
      <c r="AJ19" s="33">
        <v>32.21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2110</v>
      </c>
      <c r="D20" s="50" t="s">
        <v>41</v>
      </c>
      <c r="E20" s="32" t="s">
        <v>3</v>
      </c>
      <c r="F20" s="32" t="s">
        <v>2121</v>
      </c>
      <c r="G20" s="32"/>
      <c r="H20" s="32"/>
      <c r="I20" s="32"/>
      <c r="J20" s="32"/>
      <c r="K20" s="33">
        <v>52.81</v>
      </c>
      <c r="L20" s="33">
        <v>52.18</v>
      </c>
      <c r="M20" s="33">
        <v>51.78</v>
      </c>
      <c r="N20" s="33">
        <v>38.32</v>
      </c>
      <c r="O20" s="33">
        <v>26.78</v>
      </c>
      <c r="P20" s="33">
        <v>28.84</v>
      </c>
      <c r="Q20" s="33">
        <v>23.04</v>
      </c>
      <c r="R20" s="33">
        <v>23.12</v>
      </c>
      <c r="S20" s="33">
        <v>25.44</v>
      </c>
      <c r="T20" s="33">
        <v>23.47</v>
      </c>
      <c r="U20" s="33">
        <v>29.76</v>
      </c>
      <c r="V20" s="33">
        <v>37.91</v>
      </c>
      <c r="W20" s="33">
        <v>35.94</v>
      </c>
      <c r="X20" s="33">
        <v>33.38</v>
      </c>
      <c r="Y20" s="33">
        <v>30.03</v>
      </c>
      <c r="Z20" s="33">
        <v>30.99</v>
      </c>
      <c r="AA20" s="33">
        <v>26.12</v>
      </c>
      <c r="AB20" s="33">
        <v>24.57</v>
      </c>
      <c r="AC20" s="33">
        <v>22.95</v>
      </c>
      <c r="AD20" s="33">
        <v>21.56</v>
      </c>
      <c r="AE20" s="33">
        <v>23.84</v>
      </c>
      <c r="AF20" s="33">
        <v>29.16</v>
      </c>
      <c r="AG20" s="33">
        <v>32.7</v>
      </c>
      <c r="AH20" s="33">
        <v>36.26</v>
      </c>
      <c r="AI20" s="33">
        <v>41.42</v>
      </c>
      <c r="AJ20" s="33">
        <v>35.68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2110</v>
      </c>
      <c r="D21" s="50" t="s">
        <v>41</v>
      </c>
      <c r="E21" s="32" t="s">
        <v>3</v>
      </c>
      <c r="F21" s="32" t="s">
        <v>2122</v>
      </c>
      <c r="G21" s="32"/>
      <c r="H21" s="32"/>
      <c r="I21" s="32"/>
      <c r="J21" s="33">
        <v>11.41</v>
      </c>
      <c r="K21" s="33">
        <v>11.41</v>
      </c>
      <c r="L21" s="33">
        <v>11.41</v>
      </c>
      <c r="M21" s="33">
        <v>11.41</v>
      </c>
      <c r="N21" s="33">
        <v>11.41</v>
      </c>
      <c r="O21" s="33">
        <v>11.41</v>
      </c>
      <c r="P21" s="33">
        <v>11.41</v>
      </c>
      <c r="Q21" s="33">
        <v>11.41</v>
      </c>
      <c r="R21" s="33">
        <v>11.42</v>
      </c>
      <c r="S21" s="33">
        <v>11.42</v>
      </c>
      <c r="T21" s="33">
        <v>11.42</v>
      </c>
      <c r="U21" s="33">
        <v>11.42</v>
      </c>
      <c r="V21" s="33">
        <v>11.42</v>
      </c>
      <c r="W21" s="33">
        <v>11.42</v>
      </c>
      <c r="X21" s="33">
        <v>11.42</v>
      </c>
      <c r="Y21" s="33">
        <v>11.42</v>
      </c>
      <c r="Z21" s="33">
        <v>11.41</v>
      </c>
      <c r="AA21" s="33">
        <v>11.41</v>
      </c>
      <c r="AB21" s="33">
        <v>11.41</v>
      </c>
      <c r="AC21" s="33">
        <v>11.41</v>
      </c>
      <c r="AD21" s="33">
        <v>11.42</v>
      </c>
      <c r="AE21" s="33">
        <v>11.42</v>
      </c>
      <c r="AF21" s="33">
        <v>11.42</v>
      </c>
      <c r="AG21" s="33">
        <v>11.42</v>
      </c>
      <c r="AH21" s="33">
        <v>11.42</v>
      </c>
      <c r="AI21" s="33">
        <v>11.42</v>
      </c>
      <c r="AJ21" s="33">
        <v>11.42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2110</v>
      </c>
      <c r="D22" s="50" t="s">
        <v>41</v>
      </c>
      <c r="E22" s="32" t="s">
        <v>3</v>
      </c>
      <c r="F22" s="32" t="s">
        <v>2123</v>
      </c>
      <c r="G22" s="32"/>
      <c r="H22" s="32"/>
      <c r="I22" s="32"/>
      <c r="J22" s="33">
        <v>11.41</v>
      </c>
      <c r="K22" s="33">
        <v>11.41</v>
      </c>
      <c r="L22" s="33">
        <v>11.41</v>
      </c>
      <c r="M22" s="33">
        <v>11.41</v>
      </c>
      <c r="N22" s="33">
        <v>11.41</v>
      </c>
      <c r="O22" s="33">
        <v>11.41</v>
      </c>
      <c r="P22" s="33">
        <v>11.41</v>
      </c>
      <c r="Q22" s="33">
        <v>11.41</v>
      </c>
      <c r="R22" s="33">
        <v>11.42</v>
      </c>
      <c r="S22" s="33">
        <v>11.42</v>
      </c>
      <c r="T22" s="33">
        <v>11.42</v>
      </c>
      <c r="U22" s="33">
        <v>11.42</v>
      </c>
      <c r="V22" s="33">
        <v>11.42</v>
      </c>
      <c r="W22" s="33">
        <v>11.42</v>
      </c>
      <c r="X22" s="33">
        <v>11.42</v>
      </c>
      <c r="Y22" s="33">
        <v>11.42</v>
      </c>
      <c r="Z22" s="33">
        <v>11.41</v>
      </c>
      <c r="AA22" s="33">
        <v>11.41</v>
      </c>
      <c r="AB22" s="33">
        <v>13.07</v>
      </c>
      <c r="AC22" s="33">
        <v>11.41</v>
      </c>
      <c r="AD22" s="33">
        <v>11.42</v>
      </c>
      <c r="AE22" s="33">
        <v>11.42</v>
      </c>
      <c r="AF22" s="33">
        <v>11.42</v>
      </c>
      <c r="AG22" s="33">
        <v>11.42</v>
      </c>
      <c r="AH22" s="33">
        <v>11.42</v>
      </c>
      <c r="AI22" s="33">
        <v>11.42</v>
      </c>
      <c r="AJ22" s="33">
        <v>11.42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2110</v>
      </c>
      <c r="D23" s="50" t="s">
        <v>41</v>
      </c>
      <c r="E23" s="32" t="s">
        <v>3</v>
      </c>
      <c r="F23" s="32" t="s">
        <v>2124</v>
      </c>
      <c r="G23" s="32"/>
      <c r="H23" s="32"/>
      <c r="I23" s="32"/>
      <c r="J23" s="32"/>
      <c r="K23" s="33">
        <v>36.26</v>
      </c>
      <c r="L23" s="33">
        <v>37.94</v>
      </c>
      <c r="M23" s="33">
        <v>30.62</v>
      </c>
      <c r="N23" s="33">
        <v>30.61</v>
      </c>
      <c r="O23" s="33">
        <v>28.71</v>
      </c>
      <c r="P23" s="33">
        <v>28.84</v>
      </c>
      <c r="Q23" s="33">
        <v>26.92</v>
      </c>
      <c r="R23" s="33">
        <v>27</v>
      </c>
      <c r="S23" s="33">
        <v>29.45</v>
      </c>
      <c r="T23" s="33">
        <v>25.14</v>
      </c>
      <c r="U23" s="33">
        <v>29.76</v>
      </c>
      <c r="V23" s="33">
        <v>32.93</v>
      </c>
      <c r="W23" s="33">
        <v>31.02</v>
      </c>
      <c r="X23" s="33">
        <v>31.79</v>
      </c>
      <c r="Y23" s="33">
        <v>28.61</v>
      </c>
      <c r="Z23" s="33">
        <v>29.37</v>
      </c>
      <c r="AA23" s="33">
        <v>27.73</v>
      </c>
      <c r="AB23" s="33">
        <v>26.22</v>
      </c>
      <c r="AC23" s="33">
        <v>26.26</v>
      </c>
      <c r="AD23" s="33">
        <v>21.56</v>
      </c>
      <c r="AE23" s="33">
        <v>22.04</v>
      </c>
      <c r="AF23" s="33">
        <v>23.85</v>
      </c>
      <c r="AG23" s="33">
        <v>27.4</v>
      </c>
      <c r="AH23" s="33">
        <v>32.7</v>
      </c>
      <c r="AI23" s="33">
        <v>39.66</v>
      </c>
      <c r="AJ23" s="33">
        <v>33.96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2110</v>
      </c>
      <c r="D24" s="50" t="s">
        <v>41</v>
      </c>
      <c r="E24" s="32" t="s">
        <v>3</v>
      </c>
      <c r="F24" s="32" t="s">
        <v>2125</v>
      </c>
      <c r="G24" s="32"/>
      <c r="H24" s="32"/>
      <c r="I24" s="32"/>
      <c r="J24" s="32"/>
      <c r="K24" s="33">
        <v>27.95</v>
      </c>
      <c r="L24" s="33">
        <v>25.68</v>
      </c>
      <c r="M24" s="33">
        <v>22.95</v>
      </c>
      <c r="N24" s="33">
        <v>22.95</v>
      </c>
      <c r="O24" s="33">
        <v>21.04</v>
      </c>
      <c r="P24" s="33">
        <v>19.16</v>
      </c>
      <c r="Q24" s="33">
        <v>19.17</v>
      </c>
      <c r="R24" s="33">
        <v>17.31</v>
      </c>
      <c r="S24" s="33">
        <v>19.44</v>
      </c>
      <c r="T24" s="33">
        <v>18.11</v>
      </c>
      <c r="U24" s="33">
        <v>23.08</v>
      </c>
      <c r="V24" s="33">
        <v>21.36</v>
      </c>
      <c r="W24" s="33">
        <v>24.49</v>
      </c>
      <c r="X24" s="33">
        <v>22.38</v>
      </c>
      <c r="Y24" s="33">
        <v>20.01</v>
      </c>
      <c r="Z24" s="33">
        <v>19.58</v>
      </c>
      <c r="AA24" s="33">
        <v>19.58</v>
      </c>
      <c r="AB24" s="33">
        <v>19.66</v>
      </c>
      <c r="AC24" s="33">
        <v>18.01</v>
      </c>
      <c r="AD24" s="33">
        <v>19.92</v>
      </c>
      <c r="AE24" s="33">
        <v>23.84</v>
      </c>
      <c r="AF24" s="33">
        <v>27.4</v>
      </c>
      <c r="AG24" s="33">
        <v>30.94</v>
      </c>
      <c r="AH24" s="33">
        <v>34.5</v>
      </c>
      <c r="AI24" s="33">
        <v>36.12</v>
      </c>
      <c r="AJ24" s="33">
        <v>32.21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2110</v>
      </c>
      <c r="D25" s="50" t="s">
        <v>41</v>
      </c>
      <c r="E25" s="32" t="s">
        <v>3</v>
      </c>
      <c r="F25" s="32" t="s">
        <v>2126</v>
      </c>
      <c r="G25" s="32"/>
      <c r="H25" s="32"/>
      <c r="I25" s="32"/>
      <c r="J25" s="32"/>
      <c r="K25" s="33">
        <v>3179.76</v>
      </c>
      <c r="L25" s="33">
        <v>3300.77</v>
      </c>
      <c r="M25" s="33">
        <v>2514.44</v>
      </c>
      <c r="N25" s="33">
        <v>1962.1</v>
      </c>
      <c r="O25" s="33">
        <v>1446.81</v>
      </c>
      <c r="P25" s="33">
        <v>787.78</v>
      </c>
      <c r="Q25" s="33">
        <v>217.59</v>
      </c>
      <c r="R25" s="33">
        <v>253.08</v>
      </c>
      <c r="S25" s="33">
        <v>494.6</v>
      </c>
      <c r="T25" s="33">
        <v>526.31</v>
      </c>
      <c r="U25" s="33">
        <v>2369.58</v>
      </c>
      <c r="V25" s="33">
        <v>1645.34</v>
      </c>
      <c r="W25" s="33">
        <v>1523.9</v>
      </c>
      <c r="X25" s="33">
        <v>2109.41</v>
      </c>
      <c r="Y25" s="33">
        <v>1461.77</v>
      </c>
      <c r="Z25" s="33">
        <v>1344.39</v>
      </c>
      <c r="AA25" s="33">
        <v>1062</v>
      </c>
      <c r="AB25" s="33">
        <v>377.35</v>
      </c>
      <c r="AC25" s="33">
        <v>251.05</v>
      </c>
      <c r="AD25" s="33">
        <v>202.79</v>
      </c>
      <c r="AE25" s="33">
        <v>250.62</v>
      </c>
      <c r="AF25" s="33">
        <v>1036.72</v>
      </c>
      <c r="AG25" s="33">
        <v>1604.33</v>
      </c>
      <c r="AH25" s="33">
        <v>2186.49</v>
      </c>
      <c r="AI25" s="33">
        <v>2263.6</v>
      </c>
      <c r="AJ25" s="33">
        <v>1605.08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2110</v>
      </c>
      <c r="D26" s="50" t="s">
        <v>41</v>
      </c>
      <c r="E26" s="32" t="s">
        <v>3</v>
      </c>
      <c r="F26" s="32" t="s">
        <v>2127</v>
      </c>
      <c r="G26" s="32"/>
      <c r="H26" s="32"/>
      <c r="I26" s="32"/>
      <c r="J26" s="33">
        <v>46.34</v>
      </c>
      <c r="K26" s="33">
        <v>46.34</v>
      </c>
      <c r="L26" s="33">
        <v>649.28</v>
      </c>
      <c r="M26" s="33">
        <v>1181.94</v>
      </c>
      <c r="N26" s="33">
        <v>904.89</v>
      </c>
      <c r="O26" s="33">
        <v>606.71</v>
      </c>
      <c r="P26" s="33">
        <v>245.6</v>
      </c>
      <c r="Q26" s="33">
        <v>46.34</v>
      </c>
      <c r="R26" s="33">
        <v>46.37</v>
      </c>
      <c r="S26" s="33">
        <v>264.95</v>
      </c>
      <c r="T26" s="33">
        <v>407.21</v>
      </c>
      <c r="U26" s="33">
        <v>967.65</v>
      </c>
      <c r="V26" s="33">
        <v>1150.49</v>
      </c>
      <c r="W26" s="33">
        <v>1288.1</v>
      </c>
      <c r="X26" s="33">
        <v>937.22</v>
      </c>
      <c r="Y26" s="33">
        <v>655.96</v>
      </c>
      <c r="Z26" s="33">
        <v>340.95</v>
      </c>
      <c r="AA26" s="33">
        <v>255.77</v>
      </c>
      <c r="AB26" s="33">
        <v>48.48</v>
      </c>
      <c r="AC26" s="33">
        <v>46.36</v>
      </c>
      <c r="AD26" s="33">
        <v>46.38</v>
      </c>
      <c r="AE26" s="33">
        <v>46.38</v>
      </c>
      <c r="AF26" s="33">
        <v>59.49</v>
      </c>
      <c r="AG26" s="33">
        <v>180.07</v>
      </c>
      <c r="AH26" s="33">
        <v>310.12</v>
      </c>
      <c r="AI26" s="33">
        <v>130.42</v>
      </c>
      <c r="AJ26" s="33">
        <v>161.64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2110</v>
      </c>
      <c r="D27" s="50" t="s">
        <v>41</v>
      </c>
      <c r="E27" s="32" t="s">
        <v>3</v>
      </c>
      <c r="F27" s="32" t="s">
        <v>2128</v>
      </c>
      <c r="G27" s="32"/>
      <c r="H27" s="32"/>
      <c r="I27" s="32"/>
      <c r="J27" s="33">
        <v>11.41</v>
      </c>
      <c r="K27" s="33">
        <v>23.84</v>
      </c>
      <c r="L27" s="33">
        <f>17.53+4.20</f>
        <v>21.73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2110</v>
      </c>
      <c r="D28" s="50" t="s">
        <v>41</v>
      </c>
      <c r="E28" s="32" t="s">
        <v>3</v>
      </c>
      <c r="F28" s="32" t="s">
        <v>2129</v>
      </c>
      <c r="G28" s="32"/>
      <c r="H28" s="32"/>
      <c r="I28" s="32"/>
      <c r="J28" s="33">
        <v>11.41</v>
      </c>
      <c r="K28" s="33">
        <v>11.41</v>
      </c>
      <c r="L28" s="33">
        <v>11.41</v>
      </c>
      <c r="M28" s="33">
        <v>11.41</v>
      </c>
      <c r="N28" s="33">
        <v>11.41</v>
      </c>
      <c r="O28" s="33">
        <v>11.41</v>
      </c>
      <c r="P28" s="33">
        <v>11.41</v>
      </c>
      <c r="Q28" s="33">
        <v>9.01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2110</v>
      </c>
      <c r="D29" s="50" t="s">
        <v>41</v>
      </c>
      <c r="E29" s="32" t="s">
        <v>3</v>
      </c>
      <c r="F29" s="32" t="s">
        <v>2130</v>
      </c>
      <c r="G29" s="32"/>
      <c r="H29" s="32"/>
      <c r="I29" s="32"/>
      <c r="J29" s="33">
        <v>11.41</v>
      </c>
      <c r="K29" s="33">
        <v>11.41</v>
      </c>
      <c r="L29" s="33">
        <v>11.41</v>
      </c>
      <c r="M29" s="33">
        <v>11.41</v>
      </c>
      <c r="N29" s="33">
        <v>11.41</v>
      </c>
      <c r="O29" s="33">
        <v>11.41</v>
      </c>
      <c r="P29" s="33">
        <v>11.41</v>
      </c>
      <c r="Q29" s="33">
        <v>11.41</v>
      </c>
      <c r="R29" s="33">
        <v>11.42</v>
      </c>
      <c r="S29" s="33">
        <v>11.42</v>
      </c>
      <c r="T29" s="33">
        <v>13.1</v>
      </c>
      <c r="U29" s="33">
        <v>33.07</v>
      </c>
      <c r="V29" s="33">
        <v>19.71</v>
      </c>
      <c r="W29" s="33">
        <f>11.42+6.46</f>
        <v>17.88</v>
      </c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4">
        <f>SUM(G29:AK29)</f>
      </c>
      <c r="AM29" s="35"/>
    </row>
    <row r="30" ht="13.5" customHeight="1" spans="2:39" x14ac:dyDescent="0.25">
      <c r="B30" s="51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40"/>
    </row>
    <row r="31" ht="13.5" customHeight="1" spans="2:39" x14ac:dyDescent="0.25">
      <c r="B31" s="20"/>
      <c r="C31" s="21"/>
      <c r="D31" s="21" t="s">
        <v>64</v>
      </c>
      <c r="E31" s="21"/>
      <c r="F31" s="21"/>
      <c r="G31" s="22">
        <f>SUM(G10:G29)</f>
      </c>
      <c r="H31" s="22">
        <f>SUM(H10:H29)</f>
      </c>
      <c r="I31" s="22">
        <f>SUM(I10:I29)</f>
      </c>
      <c r="J31" s="22">
        <f>SUM(J10:J29)</f>
      </c>
      <c r="K31" s="22">
        <f>SUM(K10:K29)</f>
      </c>
      <c r="L31" s="22">
        <f>SUM(L10:L29)</f>
      </c>
      <c r="M31" s="22">
        <f>SUM(M10:M29)</f>
      </c>
      <c r="N31" s="22">
        <f>SUM(N10:N29)</f>
      </c>
      <c r="O31" s="22">
        <f>SUM(O10:O29)</f>
      </c>
      <c r="P31" s="22">
        <f>SUM(P10:P29)</f>
      </c>
      <c r="Q31" s="22">
        <f>SUM(Q10:Q29)</f>
      </c>
      <c r="R31" s="22">
        <f>SUM(R10:R29)</f>
      </c>
      <c r="S31" s="22">
        <f>SUM(S10:S29)</f>
      </c>
      <c r="T31" s="22">
        <f>SUM(T10:T29)</f>
      </c>
      <c r="U31" s="22">
        <f>SUM(U10:U29)</f>
      </c>
      <c r="V31" s="22">
        <f>SUM(V10:V29)</f>
      </c>
      <c r="W31" s="22">
        <f>SUM(W10:W29)</f>
      </c>
      <c r="X31" s="22">
        <f>SUM(X10:X29)</f>
      </c>
      <c r="Y31" s="22">
        <f>SUM(Y10:Y29)</f>
      </c>
      <c r="Z31" s="22">
        <f>SUM(Z10:Z29)</f>
      </c>
      <c r="AA31" s="22">
        <f>SUM(AA10:AA29)</f>
      </c>
      <c r="AB31" s="22">
        <f>SUM(AB10:AB29)</f>
      </c>
      <c r="AC31" s="22">
        <f>SUM(AC10:AC29)</f>
      </c>
      <c r="AD31" s="22">
        <f>SUM(AD10:AD29)</f>
      </c>
      <c r="AE31" s="22">
        <f>SUM(AE10:AE29)</f>
      </c>
      <c r="AF31" s="22">
        <f>SUM(AF10:AF29)</f>
      </c>
      <c r="AG31" s="22">
        <f>SUM(AG10:AG29)</f>
      </c>
      <c r="AH31" s="22">
        <f>SUM(AH10:AH29)</f>
      </c>
      <c r="AI31" s="22">
        <f>SUM(AI10:AI29)</f>
      </c>
      <c r="AJ31" s="22">
        <f>SUM(AJ10:AJ29)</f>
      </c>
      <c r="AK31" s="22">
        <f>SUM(AK10:AK29)</f>
      </c>
      <c r="AL31" s="22">
        <f>SUM(AL10:AL29)</f>
      </c>
      <c r="AM31" s="23"/>
    </row>
    <row r="33" ht="13.5" customHeight="1" spans="2:39" x14ac:dyDescent="0.25">
      <c r="B33" s="46"/>
      <c r="C33" s="28"/>
      <c r="D33" s="47" t="s">
        <v>42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9"/>
    </row>
    <row r="34" ht="13.5" customHeight="1" spans="2:39" x14ac:dyDescent="0.25">
      <c r="B34" s="48" t="s">
        <v>3</v>
      </c>
      <c r="C34" s="49" t="s">
        <v>2110</v>
      </c>
      <c r="D34" s="50" t="s">
        <v>42</v>
      </c>
      <c r="E34" s="32" t="s">
        <v>3</v>
      </c>
      <c r="F34" s="32" t="s">
        <v>2131</v>
      </c>
      <c r="G34" s="32"/>
      <c r="H34" s="32"/>
      <c r="I34" s="32"/>
      <c r="J34" s="33">
        <v>121.69</v>
      </c>
      <c r="K34" s="33">
        <v>116.09</v>
      </c>
      <c r="L34" s="33">
        <v>105.19</v>
      </c>
      <c r="M34" s="33">
        <v>78.64</v>
      </c>
      <c r="N34" s="33">
        <v>21.26</v>
      </c>
      <c r="O34" s="33">
        <v>21.26</v>
      </c>
      <c r="P34" s="33">
        <v>21.26</v>
      </c>
      <c r="Q34" s="33">
        <v>21.26</v>
      </c>
      <c r="R34" s="33">
        <v>21.26</v>
      </c>
      <c r="S34" s="33">
        <v>21.26</v>
      </c>
      <c r="T34" s="33">
        <v>39.37</v>
      </c>
      <c r="U34" s="33">
        <v>103.87</v>
      </c>
      <c r="V34" s="33">
        <v>118.89</v>
      </c>
      <c r="W34" s="33">
        <v>121.11</v>
      </c>
      <c r="X34" s="33">
        <v>104.52</v>
      </c>
      <c r="Y34" s="33">
        <v>61.28</v>
      </c>
      <c r="Z34" s="33">
        <v>21.26</v>
      </c>
      <c r="AA34" s="33">
        <v>21.26</v>
      </c>
      <c r="AB34" s="33">
        <v>21.26</v>
      </c>
      <c r="AC34" s="33">
        <v>21.26</v>
      </c>
      <c r="AD34" s="33">
        <v>21.26</v>
      </c>
      <c r="AE34" s="33">
        <v>21.26</v>
      </c>
      <c r="AF34" s="33">
        <v>43.73</v>
      </c>
      <c r="AG34" s="33">
        <v>113.85</v>
      </c>
      <c r="AH34" s="33">
        <v>112.7</v>
      </c>
      <c r="AI34" s="33">
        <v>108.16</v>
      </c>
      <c r="AJ34" s="33">
        <v>104.18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2110</v>
      </c>
      <c r="D35" s="50" t="s">
        <v>42</v>
      </c>
      <c r="E35" s="32" t="s">
        <v>3</v>
      </c>
      <c r="F35" s="32" t="s">
        <v>2132</v>
      </c>
      <c r="G35" s="32"/>
      <c r="H35" s="32"/>
      <c r="I35" s="32"/>
      <c r="J35" s="33">
        <v>21.26</v>
      </c>
      <c r="K35" s="33">
        <v>21.26</v>
      </c>
      <c r="L35" s="33">
        <v>59.86</v>
      </c>
      <c r="M35" s="33">
        <v>63.28</v>
      </c>
      <c r="N35" s="33">
        <v>70.97</v>
      </c>
      <c r="O35" s="33">
        <v>21.26</v>
      </c>
      <c r="P35" s="33">
        <v>21.26</v>
      </c>
      <c r="Q35" s="33">
        <v>21.26</v>
      </c>
      <c r="R35" s="33">
        <v>43.4</v>
      </c>
      <c r="S35" s="33">
        <v>90.44</v>
      </c>
      <c r="T35" s="33">
        <v>30.82</v>
      </c>
      <c r="U35" s="33">
        <v>60.41</v>
      </c>
      <c r="V35" s="33">
        <v>41.28</v>
      </c>
      <c r="W35" s="33">
        <v>67.73</v>
      </c>
      <c r="X35" s="33">
        <v>47.95</v>
      </c>
      <c r="Y35" s="33">
        <v>106.33</v>
      </c>
      <c r="Z35" s="33">
        <v>152.83</v>
      </c>
      <c r="AA35" s="33">
        <v>48.73</v>
      </c>
      <c r="AB35" s="33">
        <v>65.28</v>
      </c>
      <c r="AC35" s="33">
        <v>21.26</v>
      </c>
      <c r="AD35" s="33">
        <v>21.26</v>
      </c>
      <c r="AE35" s="33">
        <v>21.26</v>
      </c>
      <c r="AF35" s="33">
        <v>31.89</v>
      </c>
      <c r="AG35" s="33">
        <v>32.71</v>
      </c>
      <c r="AH35" s="33">
        <f>22.32+0.00</f>
        <v>22.32</v>
      </c>
      <c r="AI35" s="32"/>
      <c r="AJ35" s="32"/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2110</v>
      </c>
      <c r="D36" s="50" t="s">
        <v>42</v>
      </c>
      <c r="E36" s="32" t="s">
        <v>3</v>
      </c>
      <c r="F36" s="32" t="s">
        <v>2133</v>
      </c>
      <c r="G36" s="32"/>
      <c r="H36" s="32"/>
      <c r="I36" s="32"/>
      <c r="J36" s="33">
        <v>31.56</v>
      </c>
      <c r="K36" s="33">
        <v>31.56</v>
      </c>
      <c r="L36" s="33">
        <v>31.45</v>
      </c>
      <c r="M36" s="33">
        <v>31.45</v>
      </c>
      <c r="N36" s="33">
        <v>31.62</v>
      </c>
      <c r="O36" s="33">
        <v>31.76</v>
      </c>
      <c r="P36" s="33">
        <v>31.82</v>
      </c>
      <c r="Q36" s="33">
        <v>31.82</v>
      </c>
      <c r="R36" s="33">
        <v>31.76</v>
      </c>
      <c r="S36" s="33">
        <v>31.62</v>
      </c>
      <c r="T36" s="33">
        <v>31.51</v>
      </c>
      <c r="U36" s="33">
        <v>31.51</v>
      </c>
      <c r="V36" s="33">
        <v>31.62</v>
      </c>
      <c r="W36" s="33">
        <v>31.51</v>
      </c>
      <c r="X36" s="33">
        <v>31.51</v>
      </c>
      <c r="Y36" s="33">
        <v>31.51</v>
      </c>
      <c r="Z36" s="33">
        <v>31.78</v>
      </c>
      <c r="AA36" s="33">
        <v>31.65</v>
      </c>
      <c r="AB36" s="33">
        <v>31.84</v>
      </c>
      <c r="AC36" s="33">
        <v>31.99</v>
      </c>
      <c r="AD36" s="33">
        <v>31.65</v>
      </c>
      <c r="AE36" s="33">
        <v>31.65</v>
      </c>
      <c r="AF36" s="33">
        <v>31.53</v>
      </c>
      <c r="AG36" s="33">
        <v>31.63</v>
      </c>
      <c r="AH36" s="33">
        <v>31.53</v>
      </c>
      <c r="AI36" s="33">
        <v>31.53</v>
      </c>
      <c r="AJ36" s="33">
        <v>31.53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2110</v>
      </c>
      <c r="D37" s="50" t="s">
        <v>42</v>
      </c>
      <c r="E37" s="32" t="s">
        <v>3</v>
      </c>
      <c r="F37" s="32" t="s">
        <v>2134</v>
      </c>
      <c r="G37" s="32"/>
      <c r="H37" s="32"/>
      <c r="I37" s="32"/>
      <c r="J37" s="33">
        <v>54.94</v>
      </c>
      <c r="K37" s="33">
        <v>59.19</v>
      </c>
      <c r="L37" s="33">
        <v>61.72</v>
      </c>
      <c r="M37" s="33">
        <v>73.23</v>
      </c>
      <c r="N37" s="33">
        <v>80.94</v>
      </c>
      <c r="O37" s="33">
        <v>56.31</v>
      </c>
      <c r="P37" s="33">
        <v>56.89</v>
      </c>
      <c r="Q37" s="33">
        <v>61.4</v>
      </c>
      <c r="R37" s="33">
        <v>56.91</v>
      </c>
      <c r="S37" s="33">
        <v>52.99</v>
      </c>
      <c r="T37" s="33">
        <v>51.95</v>
      </c>
      <c r="U37" s="33">
        <v>53.79</v>
      </c>
      <c r="V37" s="33">
        <v>62.38</v>
      </c>
      <c r="W37" s="33">
        <v>65.51</v>
      </c>
      <c r="X37" s="33">
        <v>61.72</v>
      </c>
      <c r="Y37" s="33">
        <v>34.46</v>
      </c>
      <c r="Z37" s="33">
        <v>52.5</v>
      </c>
      <c r="AA37" s="33">
        <v>94.37</v>
      </c>
      <c r="AB37" s="33">
        <v>218.75</v>
      </c>
      <c r="AC37" s="33">
        <v>255.05</v>
      </c>
      <c r="AD37" s="33">
        <v>240.8</v>
      </c>
      <c r="AE37" s="33">
        <v>118.73</v>
      </c>
      <c r="AF37" s="33">
        <v>65.68</v>
      </c>
      <c r="AG37" s="33">
        <v>72.45</v>
      </c>
      <c r="AH37" s="33">
        <v>66.17</v>
      </c>
      <c r="AI37" s="33">
        <v>94.43</v>
      </c>
      <c r="AJ37" s="33">
        <v>66.88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2110</v>
      </c>
      <c r="D38" s="50" t="s">
        <v>42</v>
      </c>
      <c r="E38" s="32" t="s">
        <v>3</v>
      </c>
      <c r="F38" s="32" t="s">
        <v>2135</v>
      </c>
      <c r="G38" s="32"/>
      <c r="H38" s="32"/>
      <c r="I38" s="32"/>
      <c r="J38" s="33">
        <v>114.54</v>
      </c>
      <c r="K38" s="33">
        <v>98.04</v>
      </c>
      <c r="L38" s="33">
        <v>114.73</v>
      </c>
      <c r="M38" s="33">
        <v>115.25</v>
      </c>
      <c r="N38" s="33">
        <v>44.03</v>
      </c>
      <c r="O38" s="33">
        <v>23.01</v>
      </c>
      <c r="P38" s="33">
        <v>23.25</v>
      </c>
      <c r="Q38" s="33">
        <v>22.67</v>
      </c>
      <c r="R38" s="33">
        <v>23.01</v>
      </c>
      <c r="S38" s="33">
        <v>23.28</v>
      </c>
      <c r="T38" s="33">
        <v>23.04</v>
      </c>
      <c r="U38" s="33">
        <v>23.26</v>
      </c>
      <c r="V38" s="33">
        <v>32.83</v>
      </c>
      <c r="W38" s="33">
        <v>122.79</v>
      </c>
      <c r="X38" s="33">
        <v>121.33</v>
      </c>
      <c r="Y38" s="33">
        <v>100.22</v>
      </c>
      <c r="Z38" s="33">
        <v>21.26</v>
      </c>
      <c r="AA38" s="33">
        <v>21.26</v>
      </c>
      <c r="AB38" s="33">
        <v>21.26</v>
      </c>
      <c r="AC38" s="33">
        <v>21.26</v>
      </c>
      <c r="AD38" s="33">
        <v>21.26</v>
      </c>
      <c r="AE38" s="33">
        <v>21.26</v>
      </c>
      <c r="AF38" s="33">
        <v>31.89</v>
      </c>
      <c r="AG38" s="33">
        <v>31.89</v>
      </c>
      <c r="AH38" s="33">
        <v>31.89</v>
      </c>
      <c r="AI38" s="33">
        <v>31.89</v>
      </c>
      <c r="AJ38" s="33">
        <v>31.89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2110</v>
      </c>
      <c r="D39" s="50" t="s">
        <v>42</v>
      </c>
      <c r="E39" s="32" t="s">
        <v>3</v>
      </c>
      <c r="F39" s="32" t="s">
        <v>2136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64.85</v>
      </c>
      <c r="W39" s="33">
        <v>21.58</v>
      </c>
      <c r="X39" s="33">
        <v>41.82</v>
      </c>
      <c r="Y39" s="33">
        <v>27.71</v>
      </c>
      <c r="Z39" s="33">
        <v>21.26</v>
      </c>
      <c r="AA39" s="33">
        <v>21.26</v>
      </c>
      <c r="AB39" s="33">
        <v>21.26</v>
      </c>
      <c r="AC39" s="33">
        <v>21.26</v>
      </c>
      <c r="AD39" s="33">
        <v>21.26</v>
      </c>
      <c r="AE39" s="33">
        <v>21.26</v>
      </c>
      <c r="AF39" s="33">
        <v>76.93</v>
      </c>
      <c r="AG39" s="33">
        <v>84.52</v>
      </c>
      <c r="AH39" s="33">
        <v>113.99</v>
      </c>
      <c r="AI39" s="33">
        <v>172.87</v>
      </c>
      <c r="AJ39" s="33">
        <v>67.82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2110</v>
      </c>
      <c r="D40" s="50" t="s">
        <v>42</v>
      </c>
      <c r="E40" s="32" t="s">
        <v>3</v>
      </c>
      <c r="F40" s="32" t="s">
        <v>2137</v>
      </c>
      <c r="G40" s="32"/>
      <c r="H40" s="32"/>
      <c r="I40" s="32"/>
      <c r="J40" s="33">
        <v>21.26</v>
      </c>
      <c r="K40" s="33">
        <v>21.26</v>
      </c>
      <c r="L40" s="33">
        <v>21.26</v>
      </c>
      <c r="M40" s="33">
        <v>21.26</v>
      </c>
      <c r="N40" s="33">
        <v>21.26</v>
      </c>
      <c r="O40" s="33">
        <v>21.26</v>
      </c>
      <c r="P40" s="33">
        <v>21.26</v>
      </c>
      <c r="Q40" s="33">
        <v>21.26</v>
      </c>
      <c r="R40" s="33">
        <v>21.26</v>
      </c>
      <c r="S40" s="33">
        <v>71.5</v>
      </c>
      <c r="T40" s="33">
        <v>113</v>
      </c>
      <c r="U40" s="33">
        <v>116.43</v>
      </c>
      <c r="V40" s="33">
        <v>133</v>
      </c>
      <c r="W40" s="33">
        <v>120.57</v>
      </c>
      <c r="X40" s="33">
        <v>106.53</v>
      </c>
      <c r="Y40" s="33">
        <v>110.76</v>
      </c>
      <c r="Z40" s="33">
        <v>168.91</v>
      </c>
      <c r="AA40" s="33">
        <v>167.93</v>
      </c>
      <c r="AB40" s="33">
        <v>21.26</v>
      </c>
      <c r="AC40" s="33">
        <v>21.26</v>
      </c>
      <c r="AD40" s="33">
        <v>21.26</v>
      </c>
      <c r="AE40" s="33">
        <v>21.26</v>
      </c>
      <c r="AF40" s="33">
        <v>31.89</v>
      </c>
      <c r="AG40" s="33">
        <v>31.89</v>
      </c>
      <c r="AH40" s="33">
        <v>121.79</v>
      </c>
      <c r="AI40" s="33">
        <v>46.47</v>
      </c>
      <c r="AJ40" s="33">
        <v>63.85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2110</v>
      </c>
      <c r="D41" s="50" t="s">
        <v>42</v>
      </c>
      <c r="E41" s="32" t="s">
        <v>3</v>
      </c>
      <c r="F41" s="32" t="s">
        <v>2138</v>
      </c>
      <c r="G41" s="32"/>
      <c r="H41" s="32"/>
      <c r="I41" s="32"/>
      <c r="J41" s="33">
        <v>95.54</v>
      </c>
      <c r="K41" s="33">
        <v>111.73</v>
      </c>
      <c r="L41" s="33">
        <v>111.41</v>
      </c>
      <c r="M41" s="33">
        <v>90.89</v>
      </c>
      <c r="N41" s="33">
        <v>21.26</v>
      </c>
      <c r="O41" s="33">
        <v>21.26</v>
      </c>
      <c r="P41" s="33">
        <v>21.26</v>
      </c>
      <c r="Q41" s="33">
        <v>21.26</v>
      </c>
      <c r="R41" s="33">
        <v>21.26</v>
      </c>
      <c r="S41" s="33">
        <v>21.26</v>
      </c>
      <c r="T41" s="33">
        <v>21.26</v>
      </c>
      <c r="U41" s="33">
        <v>21.26</v>
      </c>
      <c r="V41" s="33">
        <v>21.26</v>
      </c>
      <c r="W41" s="33">
        <v>70.84</v>
      </c>
      <c r="X41" s="33">
        <v>21.26</v>
      </c>
      <c r="Y41" s="33">
        <v>21.26</v>
      </c>
      <c r="Z41" s="33">
        <v>21.26</v>
      </c>
      <c r="AA41" s="33">
        <v>21.26</v>
      </c>
      <c r="AB41" s="33">
        <v>30.65</v>
      </c>
      <c r="AC41" s="33">
        <v>21.26</v>
      </c>
      <c r="AD41" s="33">
        <v>21.26</v>
      </c>
      <c r="AE41" s="33">
        <v>21.26</v>
      </c>
      <c r="AF41" s="33">
        <v>74.92</v>
      </c>
      <c r="AG41" s="33">
        <v>88.06</v>
      </c>
      <c r="AH41" s="33">
        <v>31.89</v>
      </c>
      <c r="AI41" s="33">
        <v>48.44</v>
      </c>
      <c r="AJ41" s="33">
        <v>60.23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2110</v>
      </c>
      <c r="D42" s="50" t="s">
        <v>42</v>
      </c>
      <c r="E42" s="32" t="s">
        <v>3</v>
      </c>
      <c r="F42" s="32" t="s">
        <v>2139</v>
      </c>
      <c r="G42" s="32"/>
      <c r="H42" s="32"/>
      <c r="I42" s="32"/>
      <c r="J42" s="33">
        <v>134.45</v>
      </c>
      <c r="K42" s="33">
        <v>107.48</v>
      </c>
      <c r="L42" s="33">
        <v>84.66</v>
      </c>
      <c r="M42" s="33">
        <v>44.51</v>
      </c>
      <c r="N42" s="33">
        <v>101.11</v>
      </c>
      <c r="O42" s="33">
        <v>74.6</v>
      </c>
      <c r="P42" s="33">
        <v>21.26</v>
      </c>
      <c r="Q42" s="33">
        <v>21.26</v>
      </c>
      <c r="R42" s="33">
        <v>70.56</v>
      </c>
      <c r="S42" s="33">
        <v>154.86</v>
      </c>
      <c r="T42" s="33">
        <v>94.64</v>
      </c>
      <c r="U42" s="33">
        <v>74.63</v>
      </c>
      <c r="V42" s="33">
        <v>109.21</v>
      </c>
      <c r="W42" s="33">
        <v>100.43</v>
      </c>
      <c r="X42" s="33">
        <v>71.42</v>
      </c>
      <c r="Y42" s="33">
        <v>57.97</v>
      </c>
      <c r="Z42" s="33">
        <v>21.26</v>
      </c>
      <c r="AA42" s="33">
        <v>21.26</v>
      </c>
      <c r="AB42" s="33">
        <f>7.79+0.00</f>
        <v>7.79</v>
      </c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2110</v>
      </c>
      <c r="D43" s="50" t="s">
        <v>42</v>
      </c>
      <c r="E43" s="32" t="s">
        <v>3</v>
      </c>
      <c r="F43" s="32" t="s">
        <v>2140</v>
      </c>
      <c r="G43" s="32"/>
      <c r="H43" s="32"/>
      <c r="I43" s="32"/>
      <c r="J43" s="32"/>
      <c r="K43" s="33">
        <f>0.00+52.09</f>
        <v>52.09</v>
      </c>
      <c r="L43" s="33">
        <v>78.78</v>
      </c>
      <c r="M43" s="33">
        <v>21.58</v>
      </c>
      <c r="N43" s="33">
        <v>21.58</v>
      </c>
      <c r="O43" s="33">
        <v>21.26</v>
      </c>
      <c r="P43" s="33">
        <v>21.26</v>
      </c>
      <c r="Q43" s="33">
        <v>21.26</v>
      </c>
      <c r="R43" s="33">
        <v>21.26</v>
      </c>
      <c r="S43" s="33">
        <v>21.26</v>
      </c>
      <c r="T43" s="33">
        <v>21.26</v>
      </c>
      <c r="U43" s="33">
        <v>38.73</v>
      </c>
      <c r="V43" s="33">
        <v>86.41</v>
      </c>
      <c r="W43" s="33">
        <v>90.76</v>
      </c>
      <c r="X43" s="33">
        <v>70.96</v>
      </c>
      <c r="Y43" s="33">
        <v>31.27</v>
      </c>
      <c r="Z43" s="33">
        <v>21.26</v>
      </c>
      <c r="AA43" s="33">
        <v>21.26</v>
      </c>
      <c r="AB43" s="33">
        <v>21.26</v>
      </c>
      <c r="AC43" s="33">
        <v>21.26</v>
      </c>
      <c r="AD43" s="33">
        <v>21.26</v>
      </c>
      <c r="AE43" s="33">
        <v>21.26</v>
      </c>
      <c r="AF43" s="33">
        <v>45.85</v>
      </c>
      <c r="AG43" s="33">
        <v>65.53</v>
      </c>
      <c r="AH43" s="33">
        <v>68.99</v>
      </c>
      <c r="AI43" s="33">
        <v>60.23</v>
      </c>
      <c r="AJ43" s="33">
        <v>71.3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2110</v>
      </c>
      <c r="D44" s="50" t="s">
        <v>42</v>
      </c>
      <c r="E44" s="32" t="s">
        <v>3</v>
      </c>
      <c r="F44" s="32" t="s">
        <v>2141</v>
      </c>
      <c r="G44" s="32"/>
      <c r="H44" s="32"/>
      <c r="I44" s="32"/>
      <c r="J44" s="33">
        <v>22.63</v>
      </c>
      <c r="K44" s="33">
        <v>24.48</v>
      </c>
      <c r="L44" s="33">
        <v>24.69</v>
      </c>
      <c r="M44" s="33">
        <v>24.48</v>
      </c>
      <c r="N44" s="33">
        <v>43.35</v>
      </c>
      <c r="O44" s="33">
        <v>79.18</v>
      </c>
      <c r="P44" s="33">
        <v>150.64</v>
      </c>
      <c r="Q44" s="33">
        <v>167.22</v>
      </c>
      <c r="R44" s="33">
        <v>131.96</v>
      </c>
      <c r="S44" s="33">
        <v>110.42</v>
      </c>
      <c r="T44" s="33">
        <v>51.16</v>
      </c>
      <c r="U44" s="33">
        <v>29.28</v>
      </c>
      <c r="V44" s="33">
        <v>26.16</v>
      </c>
      <c r="W44" s="33">
        <f>0.00+28.38</f>
        <v>28.38</v>
      </c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2110</v>
      </c>
      <c r="D45" s="50" t="s">
        <v>42</v>
      </c>
      <c r="E45" s="32" t="s">
        <v>3</v>
      </c>
      <c r="F45" s="32" t="s">
        <v>2142</v>
      </c>
      <c r="G45" s="32"/>
      <c r="H45" s="32"/>
      <c r="I45" s="32"/>
      <c r="J45" s="33">
        <v>29.35</v>
      </c>
      <c r="K45" s="33">
        <f>21.05+0.00</f>
        <v>21.05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2110</v>
      </c>
      <c r="D46" s="50" t="s">
        <v>42</v>
      </c>
      <c r="E46" s="32" t="s">
        <v>3</v>
      </c>
      <c r="F46" s="32" t="s">
        <v>2143</v>
      </c>
      <c r="G46" s="32"/>
      <c r="H46" s="32"/>
      <c r="I46" s="32"/>
      <c r="J46" s="33">
        <f>0.00+93.40</f>
        <v>93.4</v>
      </c>
      <c r="K46" s="33">
        <v>123.8</v>
      </c>
      <c r="L46" s="33">
        <v>126.26</v>
      </c>
      <c r="M46" s="33">
        <v>120.33</v>
      </c>
      <c r="N46" s="33">
        <v>124.76</v>
      </c>
      <c r="O46" s="33">
        <v>21.26</v>
      </c>
      <c r="P46" s="33">
        <v>21.26</v>
      </c>
      <c r="Q46" s="33">
        <v>21.26</v>
      </c>
      <c r="R46" s="33">
        <v>21.26</v>
      </c>
      <c r="S46" s="33">
        <v>158.33</v>
      </c>
      <c r="T46" s="33">
        <v>100.95</v>
      </c>
      <c r="U46" s="33">
        <v>69.62</v>
      </c>
      <c r="V46" s="33">
        <v>62.15</v>
      </c>
      <c r="W46" s="33">
        <v>69.22</v>
      </c>
      <c r="X46" s="33">
        <v>66.8</v>
      </c>
      <c r="Y46" s="33">
        <v>81.48</v>
      </c>
      <c r="Z46" s="33">
        <v>165.01</v>
      </c>
      <c r="AA46" s="33">
        <v>199.95</v>
      </c>
      <c r="AB46" s="33">
        <v>275.83</v>
      </c>
      <c r="AC46" s="33">
        <v>294</v>
      </c>
      <c r="AD46" s="33">
        <f>177.87+0.00</f>
        <v>177.87</v>
      </c>
      <c r="AE46" s="32"/>
      <c r="AF46" s="32"/>
      <c r="AG46" s="32"/>
      <c r="AH46" s="32"/>
      <c r="AI46" s="32"/>
      <c r="AJ46" s="32"/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2110</v>
      </c>
      <c r="D47" s="50" t="s">
        <v>42</v>
      </c>
      <c r="E47" s="32" t="s">
        <v>3</v>
      </c>
      <c r="F47" s="32" t="s">
        <v>2144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3">
        <f>130.58+0.00</f>
        <v>130.58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2110</v>
      </c>
      <c r="D48" s="50" t="s">
        <v>42</v>
      </c>
      <c r="E48" s="32" t="s">
        <v>3</v>
      </c>
      <c r="F48" s="32" t="s">
        <v>2145</v>
      </c>
      <c r="G48" s="32"/>
      <c r="H48" s="32"/>
      <c r="I48" s="32"/>
      <c r="J48" s="33">
        <v>278.46</v>
      </c>
      <c r="K48" s="33">
        <v>349.42</v>
      </c>
      <c r="L48" s="33">
        <v>265.35</v>
      </c>
      <c r="M48" s="33">
        <v>245.02</v>
      </c>
      <c r="N48" s="33">
        <v>231.93</v>
      </c>
      <c r="O48" s="33">
        <v>297.5</v>
      </c>
      <c r="P48" s="33">
        <v>503.39</v>
      </c>
      <c r="Q48" s="33">
        <v>543.62</v>
      </c>
      <c r="R48" s="33">
        <v>421.37</v>
      </c>
      <c r="S48" s="33">
        <v>419.42</v>
      </c>
      <c r="T48" s="33">
        <v>291.26</v>
      </c>
      <c r="U48" s="33">
        <v>236.34</v>
      </c>
      <c r="V48" s="33">
        <v>318.76</v>
      </c>
      <c r="W48" s="33">
        <v>494.62</v>
      </c>
      <c r="X48" s="33">
        <v>248.57</v>
      </c>
      <c r="Y48" s="33">
        <v>305.3</v>
      </c>
      <c r="Z48" s="33">
        <v>298.65</v>
      </c>
      <c r="AA48" s="33">
        <v>436.97</v>
      </c>
      <c r="AB48" s="33">
        <v>749.94</v>
      </c>
      <c r="AC48" s="33">
        <v>664.27</v>
      </c>
      <c r="AD48" s="33">
        <v>735.21</v>
      </c>
      <c r="AE48" s="33">
        <v>546.03</v>
      </c>
      <c r="AF48" s="33">
        <v>254.44</v>
      </c>
      <c r="AG48" s="33">
        <v>330.05</v>
      </c>
      <c r="AH48" s="33">
        <v>427.41</v>
      </c>
      <c r="AI48" s="33">
        <v>515.43</v>
      </c>
      <c r="AJ48" s="33">
        <v>323.61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2110</v>
      </c>
      <c r="D49" s="50" t="s">
        <v>42</v>
      </c>
      <c r="E49" s="32" t="s">
        <v>3</v>
      </c>
      <c r="F49" s="32" t="s">
        <v>2146</v>
      </c>
      <c r="G49" s="32"/>
      <c r="H49" s="32"/>
      <c r="I49" s="32"/>
      <c r="J49" s="33">
        <v>28.32</v>
      </c>
      <c r="K49" s="33">
        <v>31.12</v>
      </c>
      <c r="L49" s="33">
        <v>34.43</v>
      </c>
      <c r="M49" s="33">
        <f>0.00+7.90</f>
        <v>7.9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2110</v>
      </c>
      <c r="D50" s="50" t="s">
        <v>42</v>
      </c>
      <c r="E50" s="32" t="s">
        <v>3</v>
      </c>
      <c r="F50" s="32" t="s">
        <v>2147</v>
      </c>
      <c r="G50" s="32"/>
      <c r="H50" s="32"/>
      <c r="I50" s="32"/>
      <c r="J50" s="33">
        <v>621.13</v>
      </c>
      <c r="K50" s="33">
        <v>861.69</v>
      </c>
      <c r="L50" s="33">
        <v>673.07</v>
      </c>
      <c r="M50" s="33">
        <v>616.39</v>
      </c>
      <c r="N50" s="33">
        <v>663.59</v>
      </c>
      <c r="O50" s="33">
        <v>875.03</v>
      </c>
      <c r="P50" s="33">
        <v>1384.73</v>
      </c>
      <c r="Q50" s="33">
        <v>1586.94</v>
      </c>
      <c r="R50" s="33">
        <v>1254.62</v>
      </c>
      <c r="S50" s="33">
        <v>1188.9</v>
      </c>
      <c r="T50" s="33">
        <v>810.56</v>
      </c>
      <c r="U50" s="33">
        <v>638.65</v>
      </c>
      <c r="V50" s="33">
        <v>748.24</v>
      </c>
      <c r="W50" s="33">
        <v>1092.6</v>
      </c>
      <c r="X50" s="33">
        <v>617.72</v>
      </c>
      <c r="Y50" s="33">
        <v>770.69</v>
      </c>
      <c r="Z50" s="33">
        <v>788</v>
      </c>
      <c r="AA50" s="33">
        <v>1004.13</v>
      </c>
      <c r="AB50" s="33">
        <v>1509.4</v>
      </c>
      <c r="AC50" s="33">
        <v>1489.12</v>
      </c>
      <c r="AD50" s="33">
        <v>1317.98</v>
      </c>
      <c r="AE50" s="33">
        <v>969.13</v>
      </c>
      <c r="AF50" s="33">
        <v>655.74</v>
      </c>
      <c r="AG50" s="33">
        <v>635.51</v>
      </c>
      <c r="AH50" s="33">
        <v>773</v>
      </c>
      <c r="AI50" s="33">
        <v>909.75</v>
      </c>
      <c r="AJ50" s="33">
        <v>635.58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2110</v>
      </c>
      <c r="D51" s="50" t="s">
        <v>42</v>
      </c>
      <c r="E51" s="32" t="s">
        <v>3</v>
      </c>
      <c r="F51" s="32" t="s">
        <v>2148</v>
      </c>
      <c r="G51" s="32"/>
      <c r="H51" s="32"/>
      <c r="I51" s="32"/>
      <c r="J51" s="33">
        <v>25.31</v>
      </c>
      <c r="K51" s="33">
        <v>52.17</v>
      </c>
      <c r="L51" s="33">
        <f>0.00+26.40</f>
        <v>26.4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2110</v>
      </c>
      <c r="D52" s="50" t="s">
        <v>42</v>
      </c>
      <c r="E52" s="32" t="s">
        <v>3</v>
      </c>
      <c r="F52" s="32" t="s">
        <v>2149</v>
      </c>
      <c r="G52" s="32"/>
      <c r="H52" s="32"/>
      <c r="I52" s="32"/>
      <c r="J52" s="33">
        <v>155.1</v>
      </c>
      <c r="K52" s="33">
        <v>140.36</v>
      </c>
      <c r="L52" s="33">
        <v>137.55</v>
      </c>
      <c r="M52" s="33">
        <v>123.55</v>
      </c>
      <c r="N52" s="33">
        <v>142.36</v>
      </c>
      <c r="O52" s="33">
        <v>21.26</v>
      </c>
      <c r="P52" s="33">
        <v>21.26</v>
      </c>
      <c r="Q52" s="33">
        <v>21.26</v>
      </c>
      <c r="R52" s="33">
        <v>21.26</v>
      </c>
      <c r="S52" s="33">
        <v>21.26</v>
      </c>
      <c r="T52" s="33">
        <v>49.95</v>
      </c>
      <c r="U52" s="33">
        <v>131.57</v>
      </c>
      <c r="V52" s="33">
        <v>152.24</v>
      </c>
      <c r="W52" s="33">
        <v>152.13</v>
      </c>
      <c r="X52" s="33">
        <v>131.79</v>
      </c>
      <c r="Y52" s="33">
        <v>124.33</v>
      </c>
      <c r="Z52" s="33">
        <v>176.73</v>
      </c>
      <c r="AA52" s="33">
        <v>256.8</v>
      </c>
      <c r="AB52" s="33">
        <v>420.99</v>
      </c>
      <c r="AC52" s="33">
        <v>470.09</v>
      </c>
      <c r="AD52" s="33">
        <f>0.00+256.90</f>
        <v>256.9</v>
      </c>
      <c r="AE52" s="32"/>
      <c r="AF52" s="32"/>
      <c r="AG52" s="32"/>
      <c r="AH52" s="32"/>
      <c r="AI52" s="32"/>
      <c r="AJ52" s="32"/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2110</v>
      </c>
      <c r="D53" s="50" t="s">
        <v>42</v>
      </c>
      <c r="E53" s="32" t="s">
        <v>3</v>
      </c>
      <c r="F53" s="32" t="s">
        <v>2150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3">
        <f>44.98+0.00</f>
        <v>44.98</v>
      </c>
      <c r="AF53" s="33">
        <v>32.46</v>
      </c>
      <c r="AG53" s="33">
        <v>32.71</v>
      </c>
      <c r="AH53" s="33">
        <v>32.71</v>
      </c>
      <c r="AI53" s="33">
        <v>33.89</v>
      </c>
      <c r="AJ53" s="33">
        <v>38.87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2110</v>
      </c>
      <c r="D54" s="50" t="s">
        <v>42</v>
      </c>
      <c r="E54" s="32" t="s">
        <v>3</v>
      </c>
      <c r="F54" s="32" t="s">
        <v>2151</v>
      </c>
      <c r="G54" s="32"/>
      <c r="H54" s="32"/>
      <c r="I54" s="32"/>
      <c r="J54" s="33">
        <v>115.24</v>
      </c>
      <c r="K54" s="33">
        <v>135.68</v>
      </c>
      <c r="L54" s="33">
        <v>70.23</v>
      </c>
      <c r="M54" s="33">
        <v>74.88</v>
      </c>
      <c r="N54" s="33">
        <v>42.01</v>
      </c>
      <c r="O54" s="33">
        <v>37.36</v>
      </c>
      <c r="P54" s="33">
        <v>190.59</v>
      </c>
      <c r="Q54" s="33">
        <v>99.68</v>
      </c>
      <c r="R54" s="33">
        <v>36.63</v>
      </c>
      <c r="S54" s="33">
        <v>36.51</v>
      </c>
      <c r="T54" s="33">
        <v>37.06</v>
      </c>
      <c r="U54" s="33">
        <v>41.62</v>
      </c>
      <c r="V54" s="33">
        <v>41.3</v>
      </c>
      <c r="W54" s="33">
        <v>100.01</v>
      </c>
      <c r="X54" s="33">
        <v>67.05</v>
      </c>
      <c r="Y54" s="33">
        <v>65.19</v>
      </c>
      <c r="Z54" s="33">
        <v>59.22</v>
      </c>
      <c r="AA54" s="33">
        <v>55</v>
      </c>
      <c r="AB54" s="33">
        <v>67.3</v>
      </c>
      <c r="AC54" s="33">
        <v>77.79</v>
      </c>
      <c r="AD54" s="33">
        <v>49.99</v>
      </c>
      <c r="AE54" s="33">
        <v>75.3</v>
      </c>
      <c r="AF54" s="33">
        <v>46.89</v>
      </c>
      <c r="AG54" s="33">
        <v>77.83</v>
      </c>
      <c r="AH54" s="33">
        <v>79.12</v>
      </c>
      <c r="AI54" s="33">
        <v>91.44</v>
      </c>
      <c r="AJ54" s="33">
        <v>77.64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2110</v>
      </c>
      <c r="D55" s="50" t="s">
        <v>42</v>
      </c>
      <c r="E55" s="32" t="s">
        <v>3</v>
      </c>
      <c r="F55" s="32" t="s">
        <v>2152</v>
      </c>
      <c r="G55" s="32"/>
      <c r="H55" s="32"/>
      <c r="I55" s="32"/>
      <c r="J55" s="33">
        <v>21.26</v>
      </c>
      <c r="K55" s="33">
        <v>21.26</v>
      </c>
      <c r="L55" s="33">
        <v>21.26</v>
      </c>
      <c r="M55" s="33">
        <v>21.26</v>
      </c>
      <c r="N55" s="33">
        <v>21.26</v>
      </c>
      <c r="O55" s="33">
        <v>21.26</v>
      </c>
      <c r="P55" s="33">
        <v>21.26</v>
      </c>
      <c r="Q55" s="33">
        <v>21.26</v>
      </c>
      <c r="R55" s="33">
        <v>21.26</v>
      </c>
      <c r="S55" s="33">
        <v>21.26</v>
      </c>
      <c r="T55" s="33">
        <v>21.26</v>
      </c>
      <c r="U55" s="33">
        <v>21.26</v>
      </c>
      <c r="V55" s="33">
        <v>21.26</v>
      </c>
      <c r="W55" s="33">
        <v>21.26</v>
      </c>
      <c r="X55" s="33">
        <v>21.26</v>
      </c>
      <c r="Y55" s="33">
        <v>21.26</v>
      </c>
      <c r="Z55" s="33">
        <v>21.26</v>
      </c>
      <c r="AA55" s="33">
        <v>21.26</v>
      </c>
      <c r="AB55" s="33">
        <v>21.26</v>
      </c>
      <c r="AC55" s="33">
        <v>21.26</v>
      </c>
      <c r="AD55" s="33">
        <v>21.26</v>
      </c>
      <c r="AE55" s="33">
        <v>21.26</v>
      </c>
      <c r="AF55" s="33">
        <v>31.89</v>
      </c>
      <c r="AG55" s="33">
        <v>31.89</v>
      </c>
      <c r="AH55" s="33">
        <v>31.89</v>
      </c>
      <c r="AI55" s="33">
        <v>31.89</v>
      </c>
      <c r="AJ55" s="33">
        <v>31.89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2110</v>
      </c>
      <c r="D56" s="50" t="s">
        <v>42</v>
      </c>
      <c r="E56" s="32" t="s">
        <v>3</v>
      </c>
      <c r="F56" s="32" t="s">
        <v>2153</v>
      </c>
      <c r="G56" s="32"/>
      <c r="H56" s="32"/>
      <c r="I56" s="32"/>
      <c r="J56" s="33">
        <f>25.05+198.64+63.29</f>
        <v>286.98</v>
      </c>
      <c r="K56" s="33">
        <f>199.13+25.12+78.93</f>
        <v>303.18</v>
      </c>
      <c r="L56" s="33">
        <f>73.84+195.92+24.71</f>
        <v>294.46999999999997</v>
      </c>
      <c r="M56" s="33">
        <f>195.91+73.14+24.71</f>
        <v>293.76</v>
      </c>
      <c r="N56" s="33">
        <f>111.88+24.71+195.91</f>
        <v>332.5</v>
      </c>
      <c r="O56" s="33">
        <f>195.96+104.90+24.72</f>
        <v>325.58000000000004</v>
      </c>
      <c r="P56" s="33">
        <f>195.95+24.71+200.95</f>
        <v>421.61</v>
      </c>
      <c r="Q56" s="33">
        <f>24.71+195.96+226.05</f>
        <v>446.72</v>
      </c>
      <c r="R56" s="33">
        <f>24.71+184.09+195.96</f>
        <v>404.76</v>
      </c>
      <c r="S56" s="33">
        <f>24.71+157.63+195.96</f>
        <v>378.3</v>
      </c>
      <c r="T56" s="33">
        <f>196.02+128.91+24.73</f>
        <v>349.66</v>
      </c>
      <c r="U56" s="33">
        <f>63.24+24.80+197.22</f>
        <v>285.26</v>
      </c>
      <c r="V56" s="33">
        <f>63.66+24.80+197.22</f>
        <v>285.68</v>
      </c>
      <c r="W56" s="33">
        <f>107.55+197.22+24.80</f>
        <v>329.57</v>
      </c>
      <c r="X56" s="33">
        <f>79.93+200.47+25.21</f>
        <v>305.60999999999996</v>
      </c>
      <c r="Y56" s="33">
        <f>197.22+82.33+24.80</f>
        <v>304.35</v>
      </c>
      <c r="Z56" s="33">
        <f>89.99+25.25+200.68</f>
        <v>315.92</v>
      </c>
      <c r="AA56" s="33">
        <f>202.04+25.46+189.73</f>
        <v>417.23</v>
      </c>
      <c r="AB56" s="33">
        <f>25.54+202.66+232.49</f>
        <v>460.69</v>
      </c>
      <c r="AC56" s="33">
        <f>231.67+24.75+196.41</f>
        <v>452.8299999999999</v>
      </c>
      <c r="AD56" s="33">
        <f>251.64+24.75+196.41</f>
        <v>472.79999999999995</v>
      </c>
      <c r="AE56" s="33">
        <f>232.79+196.41+24.75</f>
        <v>453.95</v>
      </c>
      <c r="AF56" s="33">
        <f>197.07+24.80+166.73</f>
        <v>388.6</v>
      </c>
      <c r="AG56" s="33">
        <f>197.57+24.83+115.62</f>
        <v>338.02</v>
      </c>
      <c r="AH56" s="33">
        <f>24.83+108.65+197.57</f>
        <v>331.05</v>
      </c>
      <c r="AI56" s="33">
        <f>24.83+197.54+112.99</f>
        <v>335.36</v>
      </c>
      <c r="AJ56" s="33">
        <f>113.42+197.54+24.83</f>
        <v>335.78999999999996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2110</v>
      </c>
      <c r="D57" s="50" t="s">
        <v>42</v>
      </c>
      <c r="E57" s="32" t="s">
        <v>3</v>
      </c>
      <c r="F57" s="32" t="s">
        <v>2154</v>
      </c>
      <c r="G57" s="32"/>
      <c r="H57" s="32"/>
      <c r="I57" s="32"/>
      <c r="J57" s="33">
        <v>275.3</v>
      </c>
      <c r="K57" s="33">
        <v>374.17</v>
      </c>
      <c r="L57" s="33">
        <v>257.84</v>
      </c>
      <c r="M57" s="33">
        <v>205.49</v>
      </c>
      <c r="N57" s="33">
        <v>220.15</v>
      </c>
      <c r="O57" s="33">
        <v>239.11</v>
      </c>
      <c r="P57" s="33">
        <v>393.12</v>
      </c>
      <c r="Q57" s="33">
        <v>528.32</v>
      </c>
      <c r="R57" s="33">
        <v>394.21</v>
      </c>
      <c r="S57" s="33">
        <v>345.48</v>
      </c>
      <c r="T57" s="33">
        <v>227.84</v>
      </c>
      <c r="U57" s="33">
        <v>232.77</v>
      </c>
      <c r="V57" s="33">
        <v>276.16</v>
      </c>
      <c r="W57" s="33">
        <v>352.2</v>
      </c>
      <c r="X57" s="33">
        <v>227.84</v>
      </c>
      <c r="Y57" s="33">
        <v>257.81</v>
      </c>
      <c r="Z57" s="33">
        <v>241.34</v>
      </c>
      <c r="AA57" s="33">
        <v>339.36</v>
      </c>
      <c r="AB57" s="33">
        <v>564.91</v>
      </c>
      <c r="AC57" s="33">
        <v>619.93</v>
      </c>
      <c r="AD57" s="33">
        <v>521.55</v>
      </c>
      <c r="AE57" s="33">
        <v>411.7</v>
      </c>
      <c r="AF57" s="33">
        <v>234.85</v>
      </c>
      <c r="AG57" s="33">
        <v>295.46</v>
      </c>
      <c r="AH57" s="33">
        <v>331</v>
      </c>
      <c r="AI57" s="33">
        <v>381.42</v>
      </c>
      <c r="AJ57" s="33">
        <v>250.7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2110</v>
      </c>
      <c r="D58" s="50" t="s">
        <v>42</v>
      </c>
      <c r="E58" s="32" t="s">
        <v>3</v>
      </c>
      <c r="F58" s="32" t="s">
        <v>2155</v>
      </c>
      <c r="G58" s="32"/>
      <c r="H58" s="32"/>
      <c r="I58" s="32"/>
      <c r="J58" s="33">
        <v>21.26</v>
      </c>
      <c r="K58" s="33">
        <v>78</v>
      </c>
      <c r="L58" s="33">
        <v>78.2</v>
      </c>
      <c r="M58" s="33">
        <v>83.92</v>
      </c>
      <c r="N58" s="33">
        <v>49.95</v>
      </c>
      <c r="O58" s="33">
        <v>21.26</v>
      </c>
      <c r="P58" s="33">
        <v>21.26</v>
      </c>
      <c r="Q58" s="33">
        <v>21.26</v>
      </c>
      <c r="R58" s="33">
        <v>68.81</v>
      </c>
      <c r="S58" s="33">
        <v>160.39</v>
      </c>
      <c r="T58" s="33">
        <v>81.96</v>
      </c>
      <c r="U58" s="33">
        <v>75.62</v>
      </c>
      <c r="V58" s="33">
        <v>71.42</v>
      </c>
      <c r="W58" s="33">
        <v>53.16</v>
      </c>
      <c r="X58" s="33">
        <f>0.00+14.17</f>
        <v>14.17</v>
      </c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2110</v>
      </c>
      <c r="D59" s="50" t="s">
        <v>42</v>
      </c>
      <c r="E59" s="32" t="s">
        <v>3</v>
      </c>
      <c r="F59" s="32" t="s">
        <v>2156</v>
      </c>
      <c r="G59" s="32"/>
      <c r="H59" s="32"/>
      <c r="I59" s="32"/>
      <c r="J59" s="33">
        <v>53.53</v>
      </c>
      <c r="K59" s="33">
        <v>103.64</v>
      </c>
      <c r="L59" s="33">
        <v>97.83</v>
      </c>
      <c r="M59" s="33">
        <v>64.62</v>
      </c>
      <c r="N59" s="33">
        <v>21.26</v>
      </c>
      <c r="O59" s="33">
        <v>21.26</v>
      </c>
      <c r="P59" s="33">
        <v>21.26</v>
      </c>
      <c r="Q59" s="33">
        <v>21.26</v>
      </c>
      <c r="R59" s="33">
        <v>21.26</v>
      </c>
      <c r="S59" s="33">
        <v>21.26</v>
      </c>
      <c r="T59" s="33">
        <v>32.38</v>
      </c>
      <c r="U59" s="33">
        <v>26.59</v>
      </c>
      <c r="V59" s="33">
        <v>43.05</v>
      </c>
      <c r="W59" s="33">
        <v>114.21</v>
      </c>
      <c r="X59" s="33">
        <v>94.1</v>
      </c>
      <c r="Y59" s="33">
        <v>74.29</v>
      </c>
      <c r="Z59" s="33">
        <v>21.26</v>
      </c>
      <c r="AA59" s="33">
        <v>21.26</v>
      </c>
      <c r="AB59" s="33">
        <v>21.26</v>
      </c>
      <c r="AC59" s="33">
        <v>21.26</v>
      </c>
      <c r="AD59" s="33">
        <v>21.26</v>
      </c>
      <c r="AE59" s="33">
        <v>21.8</v>
      </c>
      <c r="AF59" s="33">
        <v>35.64</v>
      </c>
      <c r="AG59" s="33">
        <v>31.89</v>
      </c>
      <c r="AH59" s="33">
        <v>51.25</v>
      </c>
      <c r="AI59" s="33">
        <v>103.26</v>
      </c>
      <c r="AJ59" s="33">
        <v>58.94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2110</v>
      </c>
      <c r="D60" s="50" t="s">
        <v>42</v>
      </c>
      <c r="E60" s="32" t="s">
        <v>3</v>
      </c>
      <c r="F60" s="32" t="s">
        <v>2157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>
        <f>0.00+53.15</f>
        <v>53.15</v>
      </c>
      <c r="V60" s="33">
        <v>44.15</v>
      </c>
      <c r="W60" s="33">
        <v>139.76</v>
      </c>
      <c r="X60" s="33">
        <v>133.58</v>
      </c>
      <c r="Y60" s="33">
        <v>128.22</v>
      </c>
      <c r="Z60" s="33">
        <v>117.53</v>
      </c>
      <c r="AA60" s="33">
        <v>21.26</v>
      </c>
      <c r="AB60" s="33">
        <v>21.26</v>
      </c>
      <c r="AC60" s="33">
        <v>21.26</v>
      </c>
      <c r="AD60" s="33">
        <v>21.26</v>
      </c>
      <c r="AE60" s="33">
        <v>21.26</v>
      </c>
      <c r="AF60" s="33">
        <v>31.89</v>
      </c>
      <c r="AG60" s="33">
        <v>47.37</v>
      </c>
      <c r="AH60" s="33">
        <v>31.89</v>
      </c>
      <c r="AI60" s="33">
        <v>31.89</v>
      </c>
      <c r="AJ60" s="33">
        <v>32.24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2110</v>
      </c>
      <c r="D61" s="50" t="s">
        <v>42</v>
      </c>
      <c r="E61" s="32" t="s">
        <v>3</v>
      </c>
      <c r="F61" s="32" t="s">
        <v>2158</v>
      </c>
      <c r="G61" s="32"/>
      <c r="H61" s="32"/>
      <c r="I61" s="32"/>
      <c r="J61" s="33">
        <v>21.26</v>
      </c>
      <c r="K61" s="33">
        <v>21.26</v>
      </c>
      <c r="L61" s="33">
        <v>21.26</v>
      </c>
      <c r="M61" s="33">
        <v>21.26</v>
      </c>
      <c r="N61" s="33">
        <v>21.26</v>
      </c>
      <c r="O61" s="33">
        <v>21.26</v>
      </c>
      <c r="P61" s="33">
        <v>21.26</v>
      </c>
      <c r="Q61" s="33">
        <v>21.26</v>
      </c>
      <c r="R61" s="33">
        <v>21.26</v>
      </c>
      <c r="S61" s="33">
        <v>21.26</v>
      </c>
      <c r="T61" s="33">
        <v>21.26</v>
      </c>
      <c r="U61" s="33">
        <v>21.26</v>
      </c>
      <c r="V61" s="33">
        <v>21.26</v>
      </c>
      <c r="W61" s="33">
        <v>36.5</v>
      </c>
      <c r="X61" s="33">
        <v>78.42</v>
      </c>
      <c r="Y61" s="33">
        <v>31.84</v>
      </c>
      <c r="Z61" s="33">
        <v>21.26</v>
      </c>
      <c r="AA61" s="33">
        <v>21.26</v>
      </c>
      <c r="AB61" s="33">
        <v>21.26</v>
      </c>
      <c r="AC61" s="33">
        <v>21.26</v>
      </c>
      <c r="AD61" s="33">
        <v>21.26</v>
      </c>
      <c r="AE61" s="33">
        <v>21.26</v>
      </c>
      <c r="AF61" s="33">
        <v>32.12</v>
      </c>
      <c r="AG61" s="33">
        <v>31.89</v>
      </c>
      <c r="AH61" s="33">
        <v>31.89</v>
      </c>
      <c r="AI61" s="33">
        <v>35.5</v>
      </c>
      <c r="AJ61" s="33">
        <v>51.14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2110</v>
      </c>
      <c r="D62" s="50" t="s">
        <v>42</v>
      </c>
      <c r="E62" s="32" t="s">
        <v>3</v>
      </c>
      <c r="F62" s="32" t="s">
        <v>2159</v>
      </c>
      <c r="G62" s="32"/>
      <c r="H62" s="32"/>
      <c r="I62" s="32"/>
      <c r="J62" s="33">
        <v>21.26</v>
      </c>
      <c r="K62" s="33">
        <v>25.71</v>
      </c>
      <c r="L62" s="33">
        <v>34.76</v>
      </c>
      <c r="M62" s="33">
        <v>21.26</v>
      </c>
      <c r="N62" s="33">
        <v>21.26</v>
      </c>
      <c r="O62" s="33">
        <v>21.26</v>
      </c>
      <c r="P62" s="33">
        <v>21.26</v>
      </c>
      <c r="Q62" s="33">
        <v>21.26</v>
      </c>
      <c r="R62" s="33">
        <v>21.26</v>
      </c>
      <c r="S62" s="33">
        <v>21.26</v>
      </c>
      <c r="T62" s="33">
        <v>21.26</v>
      </c>
      <c r="U62" s="33">
        <v>21.26</v>
      </c>
      <c r="V62" s="33">
        <v>21.26</v>
      </c>
      <c r="W62" s="33">
        <v>21.26</v>
      </c>
      <c r="X62" s="33">
        <v>21.26</v>
      </c>
      <c r="Y62" s="33">
        <v>21.26</v>
      </c>
      <c r="Z62" s="33">
        <v>21.26</v>
      </c>
      <c r="AA62" s="33">
        <v>21.26</v>
      </c>
      <c r="AB62" s="33">
        <v>21.26</v>
      </c>
      <c r="AC62" s="33">
        <v>21.26</v>
      </c>
      <c r="AD62" s="33">
        <v>21.26</v>
      </c>
      <c r="AE62" s="33">
        <v>21.26</v>
      </c>
      <c r="AF62" s="33">
        <v>31.89</v>
      </c>
      <c r="AG62" s="33">
        <v>31.89</v>
      </c>
      <c r="AH62" s="33">
        <v>33.89</v>
      </c>
      <c r="AI62" s="33">
        <v>118.08</v>
      </c>
      <c r="AJ62" s="33">
        <v>54.64</v>
      </c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2110</v>
      </c>
      <c r="D63" s="50" t="s">
        <v>42</v>
      </c>
      <c r="E63" s="32" t="s">
        <v>3</v>
      </c>
      <c r="F63" s="32" t="s">
        <v>2160</v>
      </c>
      <c r="G63" s="32"/>
      <c r="H63" s="32"/>
      <c r="I63" s="32"/>
      <c r="J63" s="33">
        <v>21.26</v>
      </c>
      <c r="K63" s="33">
        <v>21.26</v>
      </c>
      <c r="L63" s="33">
        <v>21.26</v>
      </c>
      <c r="M63" s="33">
        <v>21.26</v>
      </c>
      <c r="N63" s="33">
        <v>21.26</v>
      </c>
      <c r="O63" s="33">
        <v>21.26</v>
      </c>
      <c r="P63" s="33">
        <v>21.26</v>
      </c>
      <c r="Q63" s="33">
        <v>21.26</v>
      </c>
      <c r="R63" s="33">
        <v>21.26</v>
      </c>
      <c r="S63" s="33">
        <v>21.26</v>
      </c>
      <c r="T63" s="33">
        <v>21.26</v>
      </c>
      <c r="U63" s="33">
        <v>21.26</v>
      </c>
      <c r="V63" s="33">
        <v>21.26</v>
      </c>
      <c r="W63" s="33">
        <v>21.26</v>
      </c>
      <c r="X63" s="33">
        <v>21.26</v>
      </c>
      <c r="Y63" s="33">
        <v>21.37</v>
      </c>
      <c r="Z63" s="33">
        <v>21.26</v>
      </c>
      <c r="AA63" s="33">
        <v>21.26</v>
      </c>
      <c r="AB63" s="33">
        <v>21.26</v>
      </c>
      <c r="AC63" s="33">
        <v>21.26</v>
      </c>
      <c r="AD63" s="33">
        <v>21.26</v>
      </c>
      <c r="AE63" s="33">
        <v>21.26</v>
      </c>
      <c r="AF63" s="33">
        <v>31.89</v>
      </c>
      <c r="AG63" s="33">
        <v>31.89</v>
      </c>
      <c r="AH63" s="33">
        <v>51.82</v>
      </c>
      <c r="AI63" s="33">
        <v>76.42</v>
      </c>
      <c r="AJ63" s="33">
        <v>70.94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2110</v>
      </c>
      <c r="D64" s="50" t="s">
        <v>42</v>
      </c>
      <c r="E64" s="32" t="s">
        <v>3</v>
      </c>
      <c r="F64" s="32" t="s">
        <v>2161</v>
      </c>
      <c r="G64" s="32"/>
      <c r="H64" s="32"/>
      <c r="I64" s="32"/>
      <c r="J64" s="33">
        <v>24.99</v>
      </c>
      <c r="K64" s="33">
        <v>24.58</v>
      </c>
      <c r="L64" s="33">
        <v>24.69</v>
      </c>
      <c r="M64" s="33">
        <v>24.26</v>
      </c>
      <c r="N64" s="33">
        <v>24.76</v>
      </c>
      <c r="O64" s="33">
        <v>24.5</v>
      </c>
      <c r="P64" s="33">
        <v>24.67</v>
      </c>
      <c r="Q64" s="33">
        <v>24.67</v>
      </c>
      <c r="R64" s="33">
        <v>24.9</v>
      </c>
      <c r="S64" s="33">
        <v>25.17</v>
      </c>
      <c r="T64" s="33">
        <v>24.82</v>
      </c>
      <c r="U64" s="33">
        <v>25.15</v>
      </c>
      <c r="V64" s="33">
        <v>25.26</v>
      </c>
      <c r="W64" s="33">
        <v>24.71</v>
      </c>
      <c r="X64" s="33">
        <v>24.94</v>
      </c>
      <c r="Y64" s="33">
        <v>24.36</v>
      </c>
      <c r="Z64" s="33">
        <v>24.96</v>
      </c>
      <c r="AA64" s="33">
        <v>24.57</v>
      </c>
      <c r="AB64" s="33">
        <v>24.74</v>
      </c>
      <c r="AC64" s="33">
        <v>24.74</v>
      </c>
      <c r="AD64" s="33">
        <v>24.96</v>
      </c>
      <c r="AE64" s="33">
        <v>25.38</v>
      </c>
      <c r="AF64" s="33">
        <v>35.53</v>
      </c>
      <c r="AG64" s="33">
        <v>35.98</v>
      </c>
      <c r="AH64" s="33">
        <v>36.1</v>
      </c>
      <c r="AI64" s="33">
        <v>35.62</v>
      </c>
      <c r="AJ64" s="33">
        <v>35.62</v>
      </c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2110</v>
      </c>
      <c r="D65" s="50" t="s">
        <v>42</v>
      </c>
      <c r="E65" s="32" t="s">
        <v>3</v>
      </c>
      <c r="F65" s="32" t="s">
        <v>2162</v>
      </c>
      <c r="G65" s="32"/>
      <c r="H65" s="32"/>
      <c r="I65" s="32"/>
      <c r="J65" s="33">
        <v>21.26</v>
      </c>
      <c r="K65" s="33">
        <v>21.26</v>
      </c>
      <c r="L65" s="33">
        <v>33.29</v>
      </c>
      <c r="M65" s="33">
        <v>37.85</v>
      </c>
      <c r="N65" s="33">
        <v>24.1</v>
      </c>
      <c r="O65" s="33">
        <v>21.26</v>
      </c>
      <c r="P65" s="33">
        <v>21.26</v>
      </c>
      <c r="Q65" s="33">
        <v>21.26</v>
      </c>
      <c r="R65" s="33">
        <v>21.26</v>
      </c>
      <c r="S65" s="33">
        <v>21.26</v>
      </c>
      <c r="T65" s="33">
        <v>21.26</v>
      </c>
      <c r="U65" s="33">
        <v>57.83</v>
      </c>
      <c r="V65" s="33">
        <v>63.84</v>
      </c>
      <c r="W65" s="33">
        <v>66.74</v>
      </c>
      <c r="X65" s="33">
        <v>65.74</v>
      </c>
      <c r="Y65" s="33">
        <v>21.26</v>
      </c>
      <c r="Z65" s="33">
        <v>21.26</v>
      </c>
      <c r="AA65" s="33">
        <v>21.26</v>
      </c>
      <c r="AB65" s="33">
        <v>21.26</v>
      </c>
      <c r="AC65" s="33">
        <v>21.26</v>
      </c>
      <c r="AD65" s="33">
        <v>21.26</v>
      </c>
      <c r="AE65" s="33">
        <v>21.26</v>
      </c>
      <c r="AF65" s="33">
        <v>31.89</v>
      </c>
      <c r="AG65" s="33">
        <v>91.33</v>
      </c>
      <c r="AH65" s="33">
        <v>134.62</v>
      </c>
      <c r="AI65" s="33">
        <v>124.02</v>
      </c>
      <c r="AJ65" s="33">
        <v>107.21</v>
      </c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2110</v>
      </c>
      <c r="D66" s="50" t="s">
        <v>42</v>
      </c>
      <c r="E66" s="32" t="s">
        <v>3</v>
      </c>
      <c r="F66" s="32" t="s">
        <v>2163</v>
      </c>
      <c r="G66" s="32"/>
      <c r="H66" s="32"/>
      <c r="I66" s="32"/>
      <c r="J66" s="33">
        <v>61.81</v>
      </c>
      <c r="K66" s="33">
        <v>188.61</v>
      </c>
      <c r="L66" s="33">
        <v>359.1</v>
      </c>
      <c r="M66" s="33">
        <v>445.39</v>
      </c>
      <c r="N66" s="33">
        <v>479.86</v>
      </c>
      <c r="O66" s="33">
        <v>149.1</v>
      </c>
      <c r="P66" s="33">
        <v>42.69</v>
      </c>
      <c r="Q66" s="33">
        <v>36.74</v>
      </c>
      <c r="R66" s="33">
        <v>36.01</v>
      </c>
      <c r="S66" s="33">
        <v>70.99</v>
      </c>
      <c r="T66" s="33">
        <v>363.13</v>
      </c>
      <c r="U66" s="33">
        <v>355.57</v>
      </c>
      <c r="V66" s="33">
        <v>437</v>
      </c>
      <c r="W66" s="33">
        <v>576.07</v>
      </c>
      <c r="X66" s="33">
        <v>575.66</v>
      </c>
      <c r="Y66" s="33">
        <v>618.24</v>
      </c>
      <c r="Z66" s="33">
        <v>218.68</v>
      </c>
      <c r="AA66" s="33">
        <v>36.28</v>
      </c>
      <c r="AB66" s="33">
        <v>36.84</v>
      </c>
      <c r="AC66" s="33">
        <v>36.98</v>
      </c>
      <c r="AD66" s="33">
        <v>36.13</v>
      </c>
      <c r="AE66" s="33">
        <v>208.65</v>
      </c>
      <c r="AF66" s="33">
        <v>194.23</v>
      </c>
      <c r="AG66" s="33">
        <v>176.61</v>
      </c>
      <c r="AH66" s="33">
        <v>161.13</v>
      </c>
      <c r="AI66" s="33">
        <v>392.7</v>
      </c>
      <c r="AJ66" s="33">
        <v>406.91</v>
      </c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2110</v>
      </c>
      <c r="D67" s="50" t="s">
        <v>42</v>
      </c>
      <c r="E67" s="32" t="s">
        <v>3</v>
      </c>
      <c r="F67" s="32" t="s">
        <v>2164</v>
      </c>
      <c r="G67" s="32"/>
      <c r="H67" s="32"/>
      <c r="I67" s="32"/>
      <c r="J67" s="33">
        <v>733.14</v>
      </c>
      <c r="K67" s="33">
        <v>794.85</v>
      </c>
      <c r="L67" s="33">
        <v>725.36</v>
      </c>
      <c r="M67" s="33">
        <v>706.18</v>
      </c>
      <c r="N67" s="33">
        <v>863.85</v>
      </c>
      <c r="O67" s="33">
        <v>1027.96</v>
      </c>
      <c r="P67" s="33">
        <v>1353.2</v>
      </c>
      <c r="Q67" s="33">
        <v>1507.15</v>
      </c>
      <c r="R67" s="33">
        <v>1166.63</v>
      </c>
      <c r="S67" s="33">
        <v>996.54</v>
      </c>
      <c r="T67" s="33">
        <v>844.16</v>
      </c>
      <c r="U67" s="33">
        <v>682.71</v>
      </c>
      <c r="V67" s="33">
        <v>564.5</v>
      </c>
      <c r="W67" s="33">
        <v>634.82</v>
      </c>
      <c r="X67" s="33">
        <v>583.73</v>
      </c>
      <c r="Y67" s="33">
        <v>714.69</v>
      </c>
      <c r="Z67" s="33">
        <v>822.22</v>
      </c>
      <c r="AA67" s="33">
        <v>971.69</v>
      </c>
      <c r="AB67" s="33">
        <v>1308.44</v>
      </c>
      <c r="AC67" s="33">
        <v>1424.03</v>
      </c>
      <c r="AD67" s="33">
        <v>1292.62</v>
      </c>
      <c r="AE67" s="33">
        <v>1030.04</v>
      </c>
      <c r="AF67" s="33">
        <v>803.8</v>
      </c>
      <c r="AG67" s="33">
        <v>759.49</v>
      </c>
      <c r="AH67" s="33">
        <v>798.75</v>
      </c>
      <c r="AI67" s="33">
        <v>803.79</v>
      </c>
      <c r="AJ67" s="33">
        <v>678.84</v>
      </c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2110</v>
      </c>
      <c r="D68" s="50" t="s">
        <v>42</v>
      </c>
      <c r="E68" s="32" t="s">
        <v>3</v>
      </c>
      <c r="F68" s="32" t="s">
        <v>2165</v>
      </c>
      <c r="G68" s="32"/>
      <c r="H68" s="32"/>
      <c r="I68" s="32"/>
      <c r="J68" s="33">
        <v>21.26</v>
      </c>
      <c r="K68" s="33">
        <v>36.21</v>
      </c>
      <c r="L68" s="33">
        <v>72.62</v>
      </c>
      <c r="M68" s="33">
        <v>35.07</v>
      </c>
      <c r="N68" s="33">
        <v>21.26</v>
      </c>
      <c r="O68" s="33">
        <v>21.26</v>
      </c>
      <c r="P68" s="33">
        <v>21.26</v>
      </c>
      <c r="Q68" s="33">
        <v>21.26</v>
      </c>
      <c r="R68" s="33">
        <v>21.26</v>
      </c>
      <c r="S68" s="33">
        <v>21.26</v>
      </c>
      <c r="T68" s="33">
        <v>21.26</v>
      </c>
      <c r="U68" s="33">
        <v>21.26</v>
      </c>
      <c r="V68" s="33">
        <v>21.26</v>
      </c>
      <c r="W68" s="33">
        <v>49.19</v>
      </c>
      <c r="X68" s="33">
        <v>75.75</v>
      </c>
      <c r="Y68" s="33">
        <v>47.39</v>
      </c>
      <c r="Z68" s="33">
        <v>21.26</v>
      </c>
      <c r="AA68" s="33">
        <v>21.26</v>
      </c>
      <c r="AB68" s="33">
        <v>21.26</v>
      </c>
      <c r="AC68" s="33">
        <v>21.26</v>
      </c>
      <c r="AD68" s="33">
        <v>21.26</v>
      </c>
      <c r="AE68" s="33">
        <v>21.26</v>
      </c>
      <c r="AF68" s="33">
        <v>31.89</v>
      </c>
      <c r="AG68" s="33">
        <v>31.89</v>
      </c>
      <c r="AH68" s="33">
        <v>31.89</v>
      </c>
      <c r="AI68" s="33">
        <v>36.68</v>
      </c>
      <c r="AJ68" s="33">
        <v>88.08</v>
      </c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2110</v>
      </c>
      <c r="D69" s="50" t="s">
        <v>42</v>
      </c>
      <c r="E69" s="32" t="s">
        <v>3</v>
      </c>
      <c r="F69" s="32" t="s">
        <v>2166</v>
      </c>
      <c r="G69" s="32"/>
      <c r="H69" s="32"/>
      <c r="I69" s="32"/>
      <c r="J69" s="33">
        <v>28.02</v>
      </c>
      <c r="K69" s="33">
        <v>39.21</v>
      </c>
      <c r="L69" s="33">
        <f>0.00+17.62</f>
        <v>17.62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2110</v>
      </c>
      <c r="D70" s="50" t="s">
        <v>42</v>
      </c>
      <c r="E70" s="32" t="s">
        <v>3</v>
      </c>
      <c r="F70" s="32" t="s">
        <v>2167</v>
      </c>
      <c r="G70" s="32"/>
      <c r="H70" s="32"/>
      <c r="I70" s="32"/>
      <c r="J70" s="33">
        <v>21.26</v>
      </c>
      <c r="K70" s="33">
        <v>37.14</v>
      </c>
      <c r="L70" s="33">
        <v>92.34</v>
      </c>
      <c r="M70" s="33">
        <v>64.83</v>
      </c>
      <c r="N70" s="33">
        <v>32.97</v>
      </c>
      <c r="O70" s="33">
        <v>21.26</v>
      </c>
      <c r="P70" s="33">
        <v>21.26</v>
      </c>
      <c r="Q70" s="33">
        <v>21.26</v>
      </c>
      <c r="R70" s="33">
        <v>21.26</v>
      </c>
      <c r="S70" s="33">
        <v>21.26</v>
      </c>
      <c r="T70" s="33">
        <v>21.26</v>
      </c>
      <c r="U70" s="33">
        <v>21.26</v>
      </c>
      <c r="V70" s="33">
        <v>21.26</v>
      </c>
      <c r="W70" s="33">
        <v>54.51</v>
      </c>
      <c r="X70" s="33">
        <v>107.32</v>
      </c>
      <c r="Y70" s="33">
        <v>81.63</v>
      </c>
      <c r="Z70" s="33">
        <v>21.26</v>
      </c>
      <c r="AA70" s="33">
        <v>21.26</v>
      </c>
      <c r="AB70" s="33">
        <v>21.26</v>
      </c>
      <c r="AC70" s="33">
        <v>21.26</v>
      </c>
      <c r="AD70" s="33">
        <v>21.26</v>
      </c>
      <c r="AE70" s="33">
        <v>21.26</v>
      </c>
      <c r="AF70" s="33">
        <v>31.89</v>
      </c>
      <c r="AG70" s="33">
        <v>31.89</v>
      </c>
      <c r="AH70" s="33">
        <v>31.89</v>
      </c>
      <c r="AI70" s="33">
        <v>50.79</v>
      </c>
      <c r="AJ70" s="33">
        <v>94.16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2110</v>
      </c>
      <c r="D71" s="50" t="s">
        <v>42</v>
      </c>
      <c r="E71" s="32" t="s">
        <v>3</v>
      </c>
      <c r="F71" s="32" t="s">
        <v>2168</v>
      </c>
      <c r="G71" s="32"/>
      <c r="H71" s="32"/>
      <c r="I71" s="32"/>
      <c r="J71" s="33">
        <v>49.89</v>
      </c>
      <c r="K71" s="33">
        <v>100.64</v>
      </c>
      <c r="L71" s="33">
        <v>100.73</v>
      </c>
      <c r="M71" s="33">
        <v>25.71</v>
      </c>
      <c r="N71" s="33">
        <v>34.73</v>
      </c>
      <c r="O71" s="33">
        <v>109.88</v>
      </c>
      <c r="P71" s="33">
        <v>140.71</v>
      </c>
      <c r="Q71" s="33">
        <v>142.12</v>
      </c>
      <c r="R71" s="33">
        <v>74.46</v>
      </c>
      <c r="S71" s="33">
        <v>21.26</v>
      </c>
      <c r="T71" s="33">
        <v>21.26</v>
      </c>
      <c r="U71" s="33">
        <v>21.26</v>
      </c>
      <c r="V71" s="33">
        <v>21.26</v>
      </c>
      <c r="W71" s="33">
        <v>21.26</v>
      </c>
      <c r="X71" s="33">
        <v>63.96</v>
      </c>
      <c r="Y71" s="33">
        <v>64.74</v>
      </c>
      <c r="Z71" s="33">
        <v>21.26</v>
      </c>
      <c r="AA71" s="33">
        <v>21.26</v>
      </c>
      <c r="AB71" s="33">
        <v>21.26</v>
      </c>
      <c r="AC71" s="33">
        <v>21.26</v>
      </c>
      <c r="AD71" s="33">
        <v>21.26</v>
      </c>
      <c r="AE71" s="33">
        <v>21.26</v>
      </c>
      <c r="AF71" s="33">
        <v>31.89</v>
      </c>
      <c r="AG71" s="33">
        <v>33.75</v>
      </c>
      <c r="AH71" s="33">
        <v>64.08</v>
      </c>
      <c r="AI71" s="33">
        <v>69.8</v>
      </c>
      <c r="AJ71" s="33">
        <v>31.89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2110</v>
      </c>
      <c r="D72" s="50" t="s">
        <v>42</v>
      </c>
      <c r="E72" s="32" t="s">
        <v>3</v>
      </c>
      <c r="F72" s="32" t="s">
        <v>2169</v>
      </c>
      <c r="G72" s="32"/>
      <c r="H72" s="32"/>
      <c r="I72" s="32"/>
      <c r="J72" s="33">
        <v>24.69</v>
      </c>
      <c r="K72" s="33">
        <v>26.13</v>
      </c>
      <c r="L72" s="33">
        <v>25.11</v>
      </c>
      <c r="M72" s="33">
        <v>24.88</v>
      </c>
      <c r="N72" s="33">
        <v>28.53</v>
      </c>
      <c r="O72" s="33">
        <v>30.01</v>
      </c>
      <c r="P72" s="33">
        <v>69.57</v>
      </c>
      <c r="Q72" s="33">
        <f>37.56+0.00</f>
        <v>37.56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2110</v>
      </c>
      <c r="D73" s="50" t="s">
        <v>42</v>
      </c>
      <c r="E73" s="32" t="s">
        <v>3</v>
      </c>
      <c r="F73" s="32" t="s">
        <v>2170</v>
      </c>
      <c r="G73" s="32"/>
      <c r="H73" s="32"/>
      <c r="I73" s="32"/>
      <c r="J73" s="33">
        <v>80.08</v>
      </c>
      <c r="K73" s="33">
        <v>79.15</v>
      </c>
      <c r="L73" s="33">
        <v>85.58</v>
      </c>
      <c r="M73" s="33">
        <v>74.19</v>
      </c>
      <c r="N73" s="33">
        <v>53.44</v>
      </c>
      <c r="O73" s="33">
        <v>21.26</v>
      </c>
      <c r="P73" s="33">
        <v>21.26</v>
      </c>
      <c r="Q73" s="33">
        <v>21.26</v>
      </c>
      <c r="R73" s="33">
        <v>54.13</v>
      </c>
      <c r="S73" s="33">
        <v>240.39</v>
      </c>
      <c r="T73" s="33">
        <v>28.25</v>
      </c>
      <c r="U73" s="33">
        <v>65.08</v>
      </c>
      <c r="V73" s="33">
        <v>106.09</v>
      </c>
      <c r="W73" s="33">
        <v>95.53</v>
      </c>
      <c r="X73" s="33">
        <v>90.54</v>
      </c>
      <c r="Y73" s="33">
        <v>77.3</v>
      </c>
      <c r="Z73" s="33">
        <v>44.73</v>
      </c>
      <c r="AA73" s="33">
        <v>21.26</v>
      </c>
      <c r="AB73" s="33">
        <v>21.26</v>
      </c>
      <c r="AC73" s="33">
        <v>21.26</v>
      </c>
      <c r="AD73" s="33">
        <v>21.26</v>
      </c>
      <c r="AE73" s="33">
        <v>21.26</v>
      </c>
      <c r="AF73" s="33">
        <v>31.89</v>
      </c>
      <c r="AG73" s="33">
        <f>64.44+0.00</f>
        <v>64.44</v>
      </c>
      <c r="AH73" s="32"/>
      <c r="AI73" s="32"/>
      <c r="AJ73" s="32"/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2110</v>
      </c>
      <c r="D74" s="50" t="s">
        <v>42</v>
      </c>
      <c r="E74" s="32" t="s">
        <v>3</v>
      </c>
      <c r="F74" s="32" t="s">
        <v>2171</v>
      </c>
      <c r="G74" s="32"/>
      <c r="H74" s="32"/>
      <c r="I74" s="32"/>
      <c r="J74" s="33">
        <v>31.75</v>
      </c>
      <c r="K74" s="33">
        <v>31.96</v>
      </c>
      <c r="L74" s="33">
        <v>34.7</v>
      </c>
      <c r="M74" s="33">
        <v>33.06</v>
      </c>
      <c r="N74" s="33">
        <v>31.88</v>
      </c>
      <c r="O74" s="33">
        <v>31.5</v>
      </c>
      <c r="P74" s="33">
        <v>31.52</v>
      </c>
      <c r="Q74" s="33">
        <v>31.52</v>
      </c>
      <c r="R74" s="33">
        <v>31.5</v>
      </c>
      <c r="S74" s="33">
        <v>31.39</v>
      </c>
      <c r="T74" s="33">
        <v>31.41</v>
      </c>
      <c r="U74" s="33">
        <v>31.31</v>
      </c>
      <c r="V74" s="33">
        <v>31.62</v>
      </c>
      <c r="W74" s="33">
        <v>31.31</v>
      </c>
      <c r="X74" s="33">
        <v>31.31</v>
      </c>
      <c r="Y74" s="33">
        <v>31.41</v>
      </c>
      <c r="Z74" s="33">
        <v>31.41</v>
      </c>
      <c r="AA74" s="33">
        <v>31.52</v>
      </c>
      <c r="AB74" s="33">
        <v>31.54</v>
      </c>
      <c r="AC74" s="33">
        <v>31.54</v>
      </c>
      <c r="AD74" s="33">
        <v>31.52</v>
      </c>
      <c r="AE74" s="33">
        <v>31.41</v>
      </c>
      <c r="AF74" s="33">
        <v>31.4</v>
      </c>
      <c r="AG74" s="33">
        <v>31.32</v>
      </c>
      <c r="AH74" s="33">
        <v>31.4</v>
      </c>
      <c r="AI74" s="33">
        <v>31.32</v>
      </c>
      <c r="AJ74" s="33">
        <v>31.32</v>
      </c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2110</v>
      </c>
      <c r="D75" s="50" t="s">
        <v>42</v>
      </c>
      <c r="E75" s="32" t="s">
        <v>3</v>
      </c>
      <c r="F75" s="32" t="s">
        <v>2172</v>
      </c>
      <c r="G75" s="32"/>
      <c r="H75" s="32"/>
      <c r="I75" s="32"/>
      <c r="J75" s="33">
        <v>50.93</v>
      </c>
      <c r="K75" s="33">
        <v>86.51</v>
      </c>
      <c r="L75" s="33">
        <v>90.45</v>
      </c>
      <c r="M75" s="33">
        <v>60.9</v>
      </c>
      <c r="N75" s="33">
        <v>21.26</v>
      </c>
      <c r="O75" s="33">
        <v>21.26</v>
      </c>
      <c r="P75" s="33">
        <v>21.26</v>
      </c>
      <c r="Q75" s="33">
        <v>21.26</v>
      </c>
      <c r="R75" s="33">
        <v>21.26</v>
      </c>
      <c r="S75" s="33">
        <v>21.26</v>
      </c>
      <c r="T75" s="33">
        <v>21.26</v>
      </c>
      <c r="U75" s="33">
        <v>21.26</v>
      </c>
      <c r="V75" s="33">
        <v>60.3</v>
      </c>
      <c r="W75" s="33">
        <v>116.11</v>
      </c>
      <c r="X75" s="33">
        <v>90.54</v>
      </c>
      <c r="Y75" s="33">
        <v>45.72</v>
      </c>
      <c r="Z75" s="33">
        <v>21.26</v>
      </c>
      <c r="AA75" s="33">
        <v>21.26</v>
      </c>
      <c r="AB75" s="33">
        <v>21.26</v>
      </c>
      <c r="AC75" s="33">
        <v>21.26</v>
      </c>
      <c r="AD75" s="33">
        <v>21.26</v>
      </c>
      <c r="AE75" s="33">
        <v>21.26</v>
      </c>
      <c r="AF75" s="33">
        <v>31.89</v>
      </c>
      <c r="AG75" s="33">
        <v>31.89</v>
      </c>
      <c r="AH75" s="33">
        <v>62.2</v>
      </c>
      <c r="AI75" s="33">
        <v>102.09</v>
      </c>
      <c r="AJ75" s="33">
        <v>60.7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2110</v>
      </c>
      <c r="D76" s="50" t="s">
        <v>42</v>
      </c>
      <c r="E76" s="32" t="s">
        <v>3</v>
      </c>
      <c r="F76" s="32" t="s">
        <v>2173</v>
      </c>
      <c r="G76" s="32"/>
      <c r="H76" s="32"/>
      <c r="I76" s="32"/>
      <c r="J76" s="33">
        <v>21.26</v>
      </c>
      <c r="K76" s="33">
        <v>21.26</v>
      </c>
      <c r="L76" s="33">
        <v>21.26</v>
      </c>
      <c r="M76" s="33">
        <v>73.44</v>
      </c>
      <c r="N76" s="33">
        <v>27.19</v>
      </c>
      <c r="O76" s="33">
        <v>21.26</v>
      </c>
      <c r="P76" s="33">
        <v>21.26</v>
      </c>
      <c r="Q76" s="33">
        <v>21.26</v>
      </c>
      <c r="R76" s="33">
        <v>21.26</v>
      </c>
      <c r="S76" s="33">
        <v>21.26</v>
      </c>
      <c r="T76" s="33">
        <v>21.26</v>
      </c>
      <c r="U76" s="33">
        <v>21.26</v>
      </c>
      <c r="V76" s="33">
        <v>36.83</v>
      </c>
      <c r="W76" s="33">
        <v>63.41</v>
      </c>
      <c r="X76" s="33">
        <v>48.82</v>
      </c>
      <c r="Y76" s="33">
        <v>60.05</v>
      </c>
      <c r="Z76" s="33">
        <v>21.26</v>
      </c>
      <c r="AA76" s="33">
        <v>21.26</v>
      </c>
      <c r="AB76" s="33">
        <v>21.26</v>
      </c>
      <c r="AC76" s="33">
        <v>21.26</v>
      </c>
      <c r="AD76" s="33">
        <v>21.26</v>
      </c>
      <c r="AE76" s="33">
        <v>21.26</v>
      </c>
      <c r="AF76" s="33">
        <v>31.89</v>
      </c>
      <c r="AG76" s="33">
        <v>31.89</v>
      </c>
      <c r="AH76" s="33">
        <v>54.74</v>
      </c>
      <c r="AI76" s="33">
        <v>95.32</v>
      </c>
      <c r="AJ76" s="33">
        <v>102.09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2110</v>
      </c>
      <c r="D77" s="50" t="s">
        <v>42</v>
      </c>
      <c r="E77" s="32" t="s">
        <v>3</v>
      </c>
      <c r="F77" s="32" t="s">
        <v>2174</v>
      </c>
      <c r="G77" s="32"/>
      <c r="H77" s="32"/>
      <c r="I77" s="32"/>
      <c r="J77" s="33">
        <v>21.26</v>
      </c>
      <c r="K77" s="33">
        <v>47.31</v>
      </c>
      <c r="L77" s="33">
        <v>46.17</v>
      </c>
      <c r="M77" s="33">
        <v>21.26</v>
      </c>
      <c r="N77" s="33">
        <v>21.26</v>
      </c>
      <c r="O77" s="33">
        <v>21.26</v>
      </c>
      <c r="P77" s="33">
        <v>21.26</v>
      </c>
      <c r="Q77" s="33">
        <v>21.26</v>
      </c>
      <c r="R77" s="33">
        <v>21.26</v>
      </c>
      <c r="S77" s="33">
        <v>21.26</v>
      </c>
      <c r="T77" s="33">
        <v>21.26</v>
      </c>
      <c r="U77" s="33">
        <v>118.23</v>
      </c>
      <c r="V77" s="33">
        <v>141.68</v>
      </c>
      <c r="W77" s="33">
        <v>151.23</v>
      </c>
      <c r="X77" s="33">
        <v>144.23</v>
      </c>
      <c r="Y77" s="33">
        <v>131.91</v>
      </c>
      <c r="Z77" s="33">
        <v>29.9</v>
      </c>
      <c r="AA77" s="33">
        <v>21.26</v>
      </c>
      <c r="AB77" s="33">
        <v>21.26</v>
      </c>
      <c r="AC77" s="33">
        <v>21.26</v>
      </c>
      <c r="AD77" s="33">
        <v>21.26</v>
      </c>
      <c r="AE77" s="33">
        <v>21.26</v>
      </c>
      <c r="AF77" s="33">
        <v>31.89</v>
      </c>
      <c r="AG77" s="33">
        <v>31.89</v>
      </c>
      <c r="AH77" s="33">
        <v>31.89</v>
      </c>
      <c r="AI77" s="33">
        <v>44.26</v>
      </c>
      <c r="AJ77" s="33">
        <v>100.81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2110</v>
      </c>
      <c r="D78" s="50" t="s">
        <v>42</v>
      </c>
      <c r="E78" s="32" t="s">
        <v>3</v>
      </c>
      <c r="F78" s="32" t="s">
        <v>2175</v>
      </c>
      <c r="G78" s="32"/>
      <c r="H78" s="32"/>
      <c r="I78" s="32"/>
      <c r="J78" s="33">
        <v>59.54</v>
      </c>
      <c r="K78" s="33">
        <v>59.23</v>
      </c>
      <c r="L78" s="33">
        <v>56.33</v>
      </c>
      <c r="M78" s="33">
        <v>41.7</v>
      </c>
      <c r="N78" s="33">
        <v>21.26</v>
      </c>
      <c r="O78" s="33">
        <v>21.26</v>
      </c>
      <c r="P78" s="33">
        <v>21.26</v>
      </c>
      <c r="Q78" s="33">
        <v>21.26</v>
      </c>
      <c r="R78" s="33">
        <v>21.26</v>
      </c>
      <c r="S78" s="33">
        <v>21.26</v>
      </c>
      <c r="T78" s="33">
        <v>21.26</v>
      </c>
      <c r="U78" s="33">
        <v>36.61</v>
      </c>
      <c r="V78" s="33">
        <v>21.26</v>
      </c>
      <c r="W78" s="33">
        <v>21.26</v>
      </c>
      <c r="X78" s="33">
        <v>81.09</v>
      </c>
      <c r="Y78" s="33">
        <v>76.31</v>
      </c>
      <c r="Z78" s="33">
        <v>21.26</v>
      </c>
      <c r="AA78" s="33">
        <v>21.26</v>
      </c>
      <c r="AB78" s="33">
        <v>21.26</v>
      </c>
      <c r="AC78" s="33">
        <v>21.26</v>
      </c>
      <c r="AD78" s="33">
        <v>81.29</v>
      </c>
      <c r="AE78" s="33">
        <v>226.59</v>
      </c>
      <c r="AF78" s="33">
        <v>120.17</v>
      </c>
      <c r="AG78" s="33">
        <v>142.34</v>
      </c>
      <c r="AH78" s="33">
        <v>146.87</v>
      </c>
      <c r="AI78" s="33">
        <v>125.53</v>
      </c>
      <c r="AJ78" s="33">
        <v>111.19</v>
      </c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2110</v>
      </c>
      <c r="D79" s="50" t="s">
        <v>42</v>
      </c>
      <c r="E79" s="32" t="s">
        <v>3</v>
      </c>
      <c r="F79" s="32" t="s">
        <v>2176</v>
      </c>
      <c r="G79" s="32"/>
      <c r="H79" s="32"/>
      <c r="I79" s="32"/>
      <c r="J79" s="32"/>
      <c r="K79" s="33">
        <f>80.88+0.00</f>
        <v>80.88</v>
      </c>
      <c r="L79" s="33">
        <v>82.27</v>
      </c>
      <c r="M79" s="33">
        <v>64.52</v>
      </c>
      <c r="N79" s="33">
        <v>57.89</v>
      </c>
      <c r="O79" s="33">
        <v>60.19</v>
      </c>
      <c r="P79" s="33">
        <v>49.6</v>
      </c>
      <c r="Q79" s="33">
        <v>21.26</v>
      </c>
      <c r="R79" s="33">
        <v>21.26</v>
      </c>
      <c r="S79" s="33">
        <v>21.26</v>
      </c>
      <c r="T79" s="33">
        <v>22.93</v>
      </c>
      <c r="U79" s="33">
        <v>27.82</v>
      </c>
      <c r="V79" s="33">
        <v>26.85</v>
      </c>
      <c r="W79" s="33">
        <v>25.93</v>
      </c>
      <c r="X79" s="33">
        <v>27.82</v>
      </c>
      <c r="Y79" s="33">
        <v>31.93</v>
      </c>
      <c r="Z79" s="33">
        <v>48.99</v>
      </c>
      <c r="AA79" s="33">
        <v>70.69</v>
      </c>
      <c r="AB79" s="33">
        <v>95.89</v>
      </c>
      <c r="AC79" s="33">
        <v>80.59</v>
      </c>
      <c r="AD79" s="33">
        <v>100.09</v>
      </c>
      <c r="AE79" s="33">
        <v>72.5</v>
      </c>
      <c r="AF79" s="33">
        <v>44.19</v>
      </c>
      <c r="AG79" s="33">
        <v>38.34</v>
      </c>
      <c r="AH79" s="33">
        <v>36.91</v>
      </c>
      <c r="AI79" s="33">
        <v>36.45</v>
      </c>
      <c r="AJ79" s="33">
        <v>41.44</v>
      </c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2110</v>
      </c>
      <c r="D80" s="50" t="s">
        <v>42</v>
      </c>
      <c r="E80" s="32" t="s">
        <v>3</v>
      </c>
      <c r="F80" s="32" t="s">
        <v>2177</v>
      </c>
      <c r="G80" s="32"/>
      <c r="H80" s="32"/>
      <c r="I80" s="32"/>
      <c r="J80" s="33">
        <v>24.18</v>
      </c>
      <c r="K80" s="33">
        <v>41.3</v>
      </c>
      <c r="L80" s="33">
        <v>40.25</v>
      </c>
      <c r="M80" s="33">
        <v>42.64</v>
      </c>
      <c r="N80" s="33">
        <v>21.58</v>
      </c>
      <c r="O80" s="33">
        <v>21.26</v>
      </c>
      <c r="P80" s="33">
        <v>21.26</v>
      </c>
      <c r="Q80" s="33">
        <v>21.26</v>
      </c>
      <c r="R80" s="33">
        <v>21.26</v>
      </c>
      <c r="S80" s="33">
        <v>21.26</v>
      </c>
      <c r="T80" s="33">
        <v>102.98</v>
      </c>
      <c r="U80" s="33">
        <v>70.4</v>
      </c>
      <c r="V80" s="33">
        <v>82.98</v>
      </c>
      <c r="W80" s="33">
        <v>25.38</v>
      </c>
      <c r="X80" s="33">
        <v>47.84</v>
      </c>
      <c r="Y80" s="33">
        <v>61.86</v>
      </c>
      <c r="Z80" s="33">
        <v>21.26</v>
      </c>
      <c r="AA80" s="33">
        <v>21.26</v>
      </c>
      <c r="AB80" s="33">
        <v>21.26</v>
      </c>
      <c r="AC80" s="33">
        <v>21.26</v>
      </c>
      <c r="AD80" s="33">
        <v>75.37</v>
      </c>
      <c r="AE80" s="33">
        <v>196.38</v>
      </c>
      <c r="AF80" s="33">
        <v>107.29</v>
      </c>
      <c r="AG80" s="33">
        <v>74.45</v>
      </c>
      <c r="AH80" s="33">
        <v>95.79</v>
      </c>
      <c r="AI80" s="33">
        <v>31.89</v>
      </c>
      <c r="AJ80" s="33">
        <v>31.89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2110</v>
      </c>
      <c r="D81" s="50" t="s">
        <v>42</v>
      </c>
      <c r="E81" s="32" t="s">
        <v>3</v>
      </c>
      <c r="F81" s="32" t="s">
        <v>2178</v>
      </c>
      <c r="G81" s="32"/>
      <c r="H81" s="32"/>
      <c r="I81" s="32"/>
      <c r="J81" s="33">
        <v>375.71</v>
      </c>
      <c r="K81" s="33">
        <v>365.39</v>
      </c>
      <c r="L81" s="33">
        <v>362.54</v>
      </c>
      <c r="M81" s="33">
        <v>238.46</v>
      </c>
      <c r="N81" s="33">
        <v>259.56</v>
      </c>
      <c r="O81" s="33">
        <v>377.34</v>
      </c>
      <c r="P81" s="33">
        <v>704.05</v>
      </c>
      <c r="Q81" s="33">
        <v>758.11</v>
      </c>
      <c r="R81" s="33">
        <v>567.56</v>
      </c>
      <c r="S81" s="33">
        <v>482.28</v>
      </c>
      <c r="T81" s="33">
        <v>253.79</v>
      </c>
      <c r="U81" s="33">
        <v>290.78</v>
      </c>
      <c r="V81" s="33">
        <v>375.55</v>
      </c>
      <c r="W81" s="33">
        <v>394.57</v>
      </c>
      <c r="X81" s="33">
        <v>284.66</v>
      </c>
      <c r="Y81" s="33">
        <v>302.99</v>
      </c>
      <c r="Z81" s="33">
        <v>334.48</v>
      </c>
      <c r="AA81" s="33">
        <v>446.55</v>
      </c>
      <c r="AB81" s="33">
        <v>702.3</v>
      </c>
      <c r="AC81" s="33">
        <v>757.65</v>
      </c>
      <c r="AD81" s="33">
        <v>566.22</v>
      </c>
      <c r="AE81" s="33">
        <v>481.37</v>
      </c>
      <c r="AF81" s="33">
        <v>303.15</v>
      </c>
      <c r="AG81" s="33">
        <v>377.37</v>
      </c>
      <c r="AH81" s="33">
        <v>375.58</v>
      </c>
      <c r="AI81" s="33">
        <v>406.76</v>
      </c>
      <c r="AJ81" s="33">
        <v>351.96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2110</v>
      </c>
      <c r="D82" s="50" t="s">
        <v>42</v>
      </c>
      <c r="E82" s="32" t="s">
        <v>3</v>
      </c>
      <c r="F82" s="32" t="s">
        <v>2179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3">
        <f>0.00+45.51</f>
        <v>45.51</v>
      </c>
      <c r="AF82" s="33">
        <v>37.28</v>
      </c>
      <c r="AG82" s="33">
        <v>35.76</v>
      </c>
      <c r="AH82" s="33">
        <v>35.5</v>
      </c>
      <c r="AI82" s="33">
        <v>35.16</v>
      </c>
      <c r="AJ82" s="33">
        <v>37.75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2110</v>
      </c>
      <c r="D83" s="50" t="s">
        <v>42</v>
      </c>
      <c r="E83" s="32" t="s">
        <v>3</v>
      </c>
      <c r="F83" s="32" t="s">
        <v>2180</v>
      </c>
      <c r="G83" s="32"/>
      <c r="H83" s="32"/>
      <c r="I83" s="32"/>
      <c r="J83" s="33">
        <v>158.95</v>
      </c>
      <c r="K83" s="33">
        <v>240.39</v>
      </c>
      <c r="L83" s="33">
        <v>197.73</v>
      </c>
      <c r="M83" s="33">
        <v>162.84</v>
      </c>
      <c r="N83" s="33">
        <v>231.67</v>
      </c>
      <c r="O83" s="33">
        <v>261.06</v>
      </c>
      <c r="P83" s="33">
        <v>503.11</v>
      </c>
      <c r="Q83" s="33">
        <v>510.23</v>
      </c>
      <c r="R83" s="33">
        <v>416.27</v>
      </c>
      <c r="S83" s="33">
        <v>400.03</v>
      </c>
      <c r="T83" s="33">
        <v>252.3</v>
      </c>
      <c r="U83" s="33">
        <v>128.53</v>
      </c>
      <c r="V83" s="33">
        <v>144.33</v>
      </c>
      <c r="W83" s="33">
        <v>172.22</v>
      </c>
      <c r="X83" s="33">
        <v>114.05</v>
      </c>
      <c r="Y83" s="33">
        <v>94.66</v>
      </c>
      <c r="Z83" s="33">
        <v>112.15</v>
      </c>
      <c r="AA83" s="33">
        <v>186.16</v>
      </c>
      <c r="AB83" s="33">
        <v>239.45</v>
      </c>
      <c r="AC83" s="33">
        <v>444.97</v>
      </c>
      <c r="AD83" s="33">
        <v>440.19</v>
      </c>
      <c r="AE83" s="33">
        <v>388.48</v>
      </c>
      <c r="AF83" s="33">
        <v>199.1</v>
      </c>
      <c r="AG83" s="33">
        <v>144.21</v>
      </c>
      <c r="AH83" s="33">
        <v>163.79</v>
      </c>
      <c r="AI83" s="33">
        <v>175.36</v>
      </c>
      <c r="AJ83" s="33">
        <v>151.39</v>
      </c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2110</v>
      </c>
      <c r="D84" s="50" t="s">
        <v>42</v>
      </c>
      <c r="E84" s="32" t="s">
        <v>3</v>
      </c>
      <c r="F84" s="32" t="s">
        <v>2181</v>
      </c>
      <c r="G84" s="32"/>
      <c r="H84" s="32"/>
      <c r="I84" s="32"/>
      <c r="J84" s="33">
        <v>21.26</v>
      </c>
      <c r="K84" s="33">
        <v>28.73</v>
      </c>
      <c r="L84" s="33">
        <v>49.16</v>
      </c>
      <c r="M84" s="33">
        <v>24.16</v>
      </c>
      <c r="N84" s="33">
        <v>35.68</v>
      </c>
      <c r="O84" s="33">
        <v>21.26</v>
      </c>
      <c r="P84" s="33">
        <v>21.26</v>
      </c>
      <c r="Q84" s="33">
        <v>21.26</v>
      </c>
      <c r="R84" s="33">
        <v>21.26</v>
      </c>
      <c r="S84" s="33">
        <v>21.26</v>
      </c>
      <c r="T84" s="33">
        <v>21.26</v>
      </c>
      <c r="U84" s="33">
        <v>21.26</v>
      </c>
      <c r="V84" s="33">
        <v>78.85</v>
      </c>
      <c r="W84" s="33">
        <v>130.89</v>
      </c>
      <c r="X84" s="33">
        <v>123.33</v>
      </c>
      <c r="Y84" s="33">
        <v>93.08</v>
      </c>
      <c r="Z84" s="33">
        <v>27.16</v>
      </c>
      <c r="AA84" s="33">
        <v>21.26</v>
      </c>
      <c r="AB84" s="33">
        <v>21.54</v>
      </c>
      <c r="AC84" s="33">
        <v>21.26</v>
      </c>
      <c r="AD84" s="33">
        <v>21.26</v>
      </c>
      <c r="AE84" s="33">
        <v>21.26</v>
      </c>
      <c r="AF84" s="33">
        <v>33.18</v>
      </c>
      <c r="AG84" s="33">
        <v>132.02</v>
      </c>
      <c r="AH84" s="33">
        <f>0.00+121.56</f>
        <v>121.56</v>
      </c>
      <c r="AI84" s="32"/>
      <c r="AJ84" s="32"/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2110</v>
      </c>
      <c r="D85" s="50" t="s">
        <v>42</v>
      </c>
      <c r="E85" s="32" t="s">
        <v>3</v>
      </c>
      <c r="F85" s="32" t="s">
        <v>2182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3">
        <f>0.00+80.45</f>
        <v>80.45</v>
      </c>
      <c r="W85" s="33">
        <v>50.63</v>
      </c>
      <c r="X85" s="33">
        <v>48.16</v>
      </c>
      <c r="Y85" s="33">
        <v>22.39</v>
      </c>
      <c r="Z85" s="33">
        <v>21.26</v>
      </c>
      <c r="AA85" s="33">
        <v>21.26</v>
      </c>
      <c r="AB85" s="33">
        <v>21.26</v>
      </c>
      <c r="AC85" s="33">
        <v>21.26</v>
      </c>
      <c r="AD85" s="33">
        <v>21.26</v>
      </c>
      <c r="AE85" s="33">
        <v>21.26</v>
      </c>
      <c r="AF85" s="33">
        <v>31.89</v>
      </c>
      <c r="AG85" s="33">
        <v>31.89</v>
      </c>
      <c r="AH85" s="33">
        <v>31.89</v>
      </c>
      <c r="AI85" s="33">
        <v>31.89</v>
      </c>
      <c r="AJ85" s="33">
        <v>56.16</v>
      </c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2110</v>
      </c>
      <c r="D86" s="50" t="s">
        <v>42</v>
      </c>
      <c r="E86" s="32" t="s">
        <v>3</v>
      </c>
      <c r="F86" s="32" t="s">
        <v>2183</v>
      </c>
      <c r="G86" s="32"/>
      <c r="H86" s="32"/>
      <c r="I86" s="32"/>
      <c r="J86" s="33">
        <v>21.26</v>
      </c>
      <c r="K86" s="33">
        <v>21.26</v>
      </c>
      <c r="L86" s="33">
        <v>21.26</v>
      </c>
      <c r="M86" s="33">
        <v>70.74</v>
      </c>
      <c r="N86" s="33">
        <v>38.5</v>
      </c>
      <c r="O86" s="33">
        <v>21.26</v>
      </c>
      <c r="P86" s="33">
        <v>21.26</v>
      </c>
      <c r="Q86" s="33">
        <v>21.26</v>
      </c>
      <c r="R86" s="33">
        <v>21.26</v>
      </c>
      <c r="S86" s="33">
        <v>21.26</v>
      </c>
      <c r="T86" s="33">
        <v>34.05</v>
      </c>
      <c r="U86" s="33">
        <v>88.86</v>
      </c>
      <c r="V86" s="33">
        <v>83.41</v>
      </c>
      <c r="W86" s="33">
        <v>90.2</v>
      </c>
      <c r="X86" s="33">
        <v>53.38</v>
      </c>
      <c r="Y86" s="33">
        <v>21.26</v>
      </c>
      <c r="Z86" s="33">
        <v>29.49</v>
      </c>
      <c r="AA86" s="33">
        <v>21.26</v>
      </c>
      <c r="AB86" s="33">
        <v>21.26</v>
      </c>
      <c r="AC86" s="33">
        <v>21.26</v>
      </c>
      <c r="AD86" s="33">
        <v>21.26</v>
      </c>
      <c r="AE86" s="33">
        <v>21.26</v>
      </c>
      <c r="AF86" s="33">
        <v>31.89</v>
      </c>
      <c r="AG86" s="33">
        <v>31.89</v>
      </c>
      <c r="AH86" s="33">
        <v>31.89</v>
      </c>
      <c r="AI86" s="33">
        <v>31.89</v>
      </c>
      <c r="AJ86" s="33">
        <v>40.86</v>
      </c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2110</v>
      </c>
      <c r="D87" s="50" t="s">
        <v>42</v>
      </c>
      <c r="E87" s="32" t="s">
        <v>3</v>
      </c>
      <c r="F87" s="32" t="s">
        <v>2184</v>
      </c>
      <c r="G87" s="32"/>
      <c r="H87" s="32"/>
      <c r="I87" s="32"/>
      <c r="J87" s="32"/>
      <c r="K87" s="33">
        <f>56.34+0.00</f>
        <v>56.34</v>
      </c>
      <c r="L87" s="33">
        <v>101.27</v>
      </c>
      <c r="M87" s="33">
        <v>37.34</v>
      </c>
      <c r="N87" s="33">
        <v>21.26</v>
      </c>
      <c r="O87" s="33">
        <v>21.26</v>
      </c>
      <c r="P87" s="33">
        <v>21.26</v>
      </c>
      <c r="Q87" s="33">
        <v>21.26</v>
      </c>
      <c r="R87" s="33">
        <v>21.26</v>
      </c>
      <c r="S87" s="33">
        <v>21.26</v>
      </c>
      <c r="T87" s="33">
        <v>21.26</v>
      </c>
      <c r="U87" s="33">
        <v>21.26</v>
      </c>
      <c r="V87" s="33">
        <v>21.26</v>
      </c>
      <c r="W87" s="33">
        <v>81.63</v>
      </c>
      <c r="X87" s="33">
        <v>94.43</v>
      </c>
      <c r="Y87" s="33">
        <v>39.62</v>
      </c>
      <c r="Z87" s="33">
        <v>21.26</v>
      </c>
      <c r="AA87" s="33">
        <v>21.26</v>
      </c>
      <c r="AB87" s="33">
        <v>21.26</v>
      </c>
      <c r="AC87" s="33">
        <v>21.26</v>
      </c>
      <c r="AD87" s="33">
        <v>21.26</v>
      </c>
      <c r="AE87" s="33">
        <v>21.26</v>
      </c>
      <c r="AF87" s="33">
        <v>31.89</v>
      </c>
      <c r="AG87" s="33">
        <v>31.89</v>
      </c>
      <c r="AH87" s="33">
        <v>38.31</v>
      </c>
      <c r="AI87" s="33">
        <v>31.89</v>
      </c>
      <c r="AJ87" s="33">
        <v>31.89</v>
      </c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2110</v>
      </c>
      <c r="D88" s="50" t="s">
        <v>42</v>
      </c>
      <c r="E88" s="32" t="s">
        <v>3</v>
      </c>
      <c r="F88" s="32" t="s">
        <v>2185</v>
      </c>
      <c r="G88" s="32"/>
      <c r="H88" s="32"/>
      <c r="I88" s="32"/>
      <c r="J88" s="33">
        <v>203.01</v>
      </c>
      <c r="K88" s="33">
        <v>211.18</v>
      </c>
      <c r="L88" s="33">
        <v>188.52</v>
      </c>
      <c r="M88" s="33">
        <v>197.55</v>
      </c>
      <c r="N88" s="33">
        <v>224.64</v>
      </c>
      <c r="O88" s="33">
        <v>238.62</v>
      </c>
      <c r="P88" s="33">
        <v>361.52</v>
      </c>
      <c r="Q88" s="33">
        <v>388.6</v>
      </c>
      <c r="R88" s="33">
        <v>340.64</v>
      </c>
      <c r="S88" s="33">
        <v>339.27</v>
      </c>
      <c r="T88" s="33">
        <v>274.57</v>
      </c>
      <c r="U88" s="33">
        <v>216.64</v>
      </c>
      <c r="V88" s="33">
        <v>222.08</v>
      </c>
      <c r="W88" s="33">
        <v>225.79</v>
      </c>
      <c r="X88" s="33">
        <v>202.16</v>
      </c>
      <c r="Y88" s="33">
        <v>229.26</v>
      </c>
      <c r="Z88" s="33">
        <v>231.02</v>
      </c>
      <c r="AA88" s="33">
        <v>279.24</v>
      </c>
      <c r="AB88" s="33">
        <v>377.32</v>
      </c>
      <c r="AC88" s="33">
        <v>404.64</v>
      </c>
      <c r="AD88" s="33">
        <v>374.59</v>
      </c>
      <c r="AE88" s="33">
        <v>315.32</v>
      </c>
      <c r="AF88" s="33">
        <v>107.69</v>
      </c>
      <c r="AG88" s="33">
        <v>205.05</v>
      </c>
      <c r="AH88" s="33">
        <v>218.81</v>
      </c>
      <c r="AI88" s="33">
        <v>219.42</v>
      </c>
      <c r="AJ88" s="33">
        <v>199.44</v>
      </c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2110</v>
      </c>
      <c r="D89" s="50" t="s">
        <v>42</v>
      </c>
      <c r="E89" s="32" t="s">
        <v>3</v>
      </c>
      <c r="F89" s="32" t="s">
        <v>2186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>
        <f>0.00+177.40</f>
        <v>177.4</v>
      </c>
      <c r="V89" s="33">
        <v>139.82</v>
      </c>
      <c r="W89" s="33">
        <v>125.44</v>
      </c>
      <c r="X89" s="33">
        <v>165.04</v>
      </c>
      <c r="Y89" s="33">
        <v>134.34</v>
      </c>
      <c r="Z89" s="33">
        <v>21.26</v>
      </c>
      <c r="AA89" s="33">
        <v>21.26</v>
      </c>
      <c r="AB89" s="33">
        <v>175.58</v>
      </c>
      <c r="AC89" s="33">
        <v>336.08</v>
      </c>
      <c r="AD89" s="33">
        <v>229.47</v>
      </c>
      <c r="AE89" s="33">
        <v>21.26</v>
      </c>
      <c r="AF89" s="33">
        <v>104.37</v>
      </c>
      <c r="AG89" s="33">
        <v>76.45</v>
      </c>
      <c r="AH89" s="33">
        <v>71.43</v>
      </c>
      <c r="AI89" s="33">
        <f>0.00+16.30</f>
        <v>16.3</v>
      </c>
      <c r="AJ89" s="32"/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2110</v>
      </c>
      <c r="D90" s="50" t="s">
        <v>42</v>
      </c>
      <c r="E90" s="32" t="s">
        <v>3</v>
      </c>
      <c r="F90" s="32" t="s">
        <v>2187</v>
      </c>
      <c r="G90" s="32"/>
      <c r="H90" s="32"/>
      <c r="I90" s="32"/>
      <c r="J90" s="33">
        <v>34.03</v>
      </c>
      <c r="K90" s="33">
        <v>51.14</v>
      </c>
      <c r="L90" s="33">
        <v>56.96</v>
      </c>
      <c r="M90" s="33">
        <v>56.01</v>
      </c>
      <c r="N90" s="33">
        <v>96.14</v>
      </c>
      <c r="O90" s="33">
        <v>21.26</v>
      </c>
      <c r="P90" s="33">
        <v>21.26</v>
      </c>
      <c r="Q90" s="33">
        <v>21.26</v>
      </c>
      <c r="R90" s="33">
        <v>21.26</v>
      </c>
      <c r="S90" s="33">
        <v>51.56</v>
      </c>
      <c r="T90" s="33">
        <v>94.76</v>
      </c>
      <c r="U90" s="33">
        <v>68.63</v>
      </c>
      <c r="V90" s="33">
        <v>94.76</v>
      </c>
      <c r="W90" s="33">
        <v>123.45</v>
      </c>
      <c r="X90" s="33">
        <v>107.21</v>
      </c>
      <c r="Y90" s="33">
        <v>77.98</v>
      </c>
      <c r="Z90" s="33">
        <v>21.39</v>
      </c>
      <c r="AA90" s="33">
        <v>21.26</v>
      </c>
      <c r="AB90" s="33">
        <v>21.26</v>
      </c>
      <c r="AC90" s="33">
        <v>21.26</v>
      </c>
      <c r="AD90" s="33">
        <v>21.26</v>
      </c>
      <c r="AE90" s="33">
        <v>21.26</v>
      </c>
      <c r="AF90" s="33">
        <v>31.89</v>
      </c>
      <c r="AG90" s="33">
        <v>31.89</v>
      </c>
      <c r="AH90" s="33">
        <f>0.00+24.45</f>
        <v>24.45</v>
      </c>
      <c r="AI90" s="32"/>
      <c r="AJ90" s="32"/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2110</v>
      </c>
      <c r="D91" s="50" t="s">
        <v>42</v>
      </c>
      <c r="E91" s="32" t="s">
        <v>3</v>
      </c>
      <c r="F91" s="32" t="s">
        <v>2188</v>
      </c>
      <c r="G91" s="32"/>
      <c r="H91" s="32"/>
      <c r="I91" s="32"/>
      <c r="J91" s="33">
        <v>21.26</v>
      </c>
      <c r="K91" s="33">
        <v>21.26</v>
      </c>
      <c r="L91" s="33">
        <v>23.76</v>
      </c>
      <c r="M91" s="33">
        <v>21.26</v>
      </c>
      <c r="N91" s="33">
        <v>21.26</v>
      </c>
      <c r="O91" s="33">
        <v>21.26</v>
      </c>
      <c r="P91" s="33">
        <v>21.26</v>
      </c>
      <c r="Q91" s="33">
        <v>21.26</v>
      </c>
      <c r="R91" s="33">
        <v>21.26</v>
      </c>
      <c r="S91" s="33">
        <v>21.26</v>
      </c>
      <c r="T91" s="33">
        <v>21.26</v>
      </c>
      <c r="U91" s="33">
        <v>21.26</v>
      </c>
      <c r="V91" s="33">
        <v>21.26</v>
      </c>
      <c r="W91" s="33">
        <v>24.61</v>
      </c>
      <c r="X91" s="33">
        <v>35.27</v>
      </c>
      <c r="Y91" s="33">
        <v>24.26</v>
      </c>
      <c r="Z91" s="33">
        <v>21.26</v>
      </c>
      <c r="AA91" s="33">
        <v>21.26</v>
      </c>
      <c r="AB91" s="33">
        <v>21.26</v>
      </c>
      <c r="AC91" s="33">
        <v>21.26</v>
      </c>
      <c r="AD91" s="33">
        <v>21.26</v>
      </c>
      <c r="AE91" s="33">
        <v>21.26</v>
      </c>
      <c r="AF91" s="33">
        <v>31.89</v>
      </c>
      <c r="AG91" s="33">
        <v>31.89</v>
      </c>
      <c r="AH91" s="33">
        <v>31.89</v>
      </c>
      <c r="AI91" s="33">
        <v>31.89</v>
      </c>
      <c r="AJ91" s="33">
        <v>31.89</v>
      </c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2110</v>
      </c>
      <c r="D92" s="50" t="s">
        <v>42</v>
      </c>
      <c r="E92" s="32" t="s">
        <v>3</v>
      </c>
      <c r="F92" s="32" t="s">
        <v>2189</v>
      </c>
      <c r="G92" s="32"/>
      <c r="H92" s="32"/>
      <c r="I92" s="32"/>
      <c r="J92" s="33">
        <v>21.26</v>
      </c>
      <c r="K92" s="33">
        <v>21.26</v>
      </c>
      <c r="L92" s="33">
        <v>49.28</v>
      </c>
      <c r="M92" s="33">
        <v>140.25</v>
      </c>
      <c r="N92" s="33">
        <v>156.35</v>
      </c>
      <c r="O92" s="33">
        <v>229.35</v>
      </c>
      <c r="P92" s="33">
        <v>453.75</v>
      </c>
      <c r="Q92" s="33">
        <v>491.73</v>
      </c>
      <c r="R92" s="33">
        <v>301.07</v>
      </c>
      <c r="S92" s="33">
        <v>269.89</v>
      </c>
      <c r="T92" s="33">
        <v>120.57</v>
      </c>
      <c r="U92" s="33">
        <v>140.01</v>
      </c>
      <c r="V92" s="33">
        <v>164.57</v>
      </c>
      <c r="W92" s="33">
        <v>190.83</v>
      </c>
      <c r="X92" s="33">
        <v>144.33</v>
      </c>
      <c r="Y92" s="33">
        <v>130.67</v>
      </c>
      <c r="Z92" s="33">
        <v>175.76</v>
      </c>
      <c r="AA92" s="33">
        <v>253.63</v>
      </c>
      <c r="AB92" s="33">
        <v>442.72</v>
      </c>
      <c r="AC92" s="33">
        <v>418.33</v>
      </c>
      <c r="AD92" s="33">
        <v>280.7</v>
      </c>
      <c r="AE92" s="33">
        <v>21.26</v>
      </c>
      <c r="AF92" s="33">
        <v>31.89</v>
      </c>
      <c r="AG92" s="33">
        <v>31.89</v>
      </c>
      <c r="AH92" s="33">
        <v>43.32</v>
      </c>
      <c r="AI92" s="33">
        <v>126.58</v>
      </c>
      <c r="AJ92" s="33">
        <v>140.8</v>
      </c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2110</v>
      </c>
      <c r="D93" s="50" t="s">
        <v>42</v>
      </c>
      <c r="E93" s="32" t="s">
        <v>3</v>
      </c>
      <c r="F93" s="32" t="s">
        <v>2190</v>
      </c>
      <c r="G93" s="32"/>
      <c r="H93" s="32"/>
      <c r="I93" s="32"/>
      <c r="J93" s="32"/>
      <c r="K93" s="32"/>
      <c r="L93" s="33">
        <f>133.21+0.00</f>
        <v>133.21</v>
      </c>
      <c r="M93" s="33">
        <v>53.33</v>
      </c>
      <c r="N93" s="33">
        <v>21.58</v>
      </c>
      <c r="O93" s="33">
        <v>21.26</v>
      </c>
      <c r="P93" s="33">
        <v>21.26</v>
      </c>
      <c r="Q93" s="33">
        <v>21.26</v>
      </c>
      <c r="R93" s="33">
        <v>21.26</v>
      </c>
      <c r="S93" s="33">
        <v>21.26</v>
      </c>
      <c r="T93" s="33">
        <v>37.7</v>
      </c>
      <c r="U93" s="33">
        <v>31.04</v>
      </c>
      <c r="V93" s="33">
        <v>37.97</v>
      </c>
      <c r="W93" s="33">
        <v>57.83</v>
      </c>
      <c r="X93" s="33">
        <v>86.32</v>
      </c>
      <c r="Y93" s="33">
        <v>35.59</v>
      </c>
      <c r="Z93" s="33">
        <v>33.21</v>
      </c>
      <c r="AA93" s="33">
        <v>21.26</v>
      </c>
      <c r="AB93" s="33">
        <v>21.26</v>
      </c>
      <c r="AC93" s="33">
        <v>21.26</v>
      </c>
      <c r="AD93" s="33">
        <v>21.26</v>
      </c>
      <c r="AE93" s="33">
        <v>21.26</v>
      </c>
      <c r="AF93" s="33">
        <f>0.00+14.17</f>
        <v>14.17</v>
      </c>
      <c r="AG93" s="32"/>
      <c r="AH93" s="32"/>
      <c r="AI93" s="32"/>
      <c r="AJ93" s="32"/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2110</v>
      </c>
      <c r="D94" s="50" t="s">
        <v>42</v>
      </c>
      <c r="E94" s="32" t="s">
        <v>3</v>
      </c>
      <c r="F94" s="32" t="s">
        <v>2191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3">
        <f>55.55+0.00</f>
        <v>55.55</v>
      </c>
      <c r="AJ94" s="33">
        <v>157.47</v>
      </c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2110</v>
      </c>
      <c r="D95" s="50" t="s">
        <v>42</v>
      </c>
      <c r="E95" s="32" t="s">
        <v>3</v>
      </c>
      <c r="F95" s="32" t="s">
        <v>2192</v>
      </c>
      <c r="G95" s="32"/>
      <c r="H95" s="32"/>
      <c r="I95" s="32"/>
      <c r="J95" s="33">
        <f>170.79+351.86</f>
        <v>522.65</v>
      </c>
      <c r="K95" s="33">
        <f>170.79+539.61</f>
        <v>710.4</v>
      </c>
      <c r="L95" s="33">
        <f>494.83+170.79</f>
        <v>665.62</v>
      </c>
      <c r="M95" s="33">
        <f>170.79+243.67</f>
        <v>414.46</v>
      </c>
      <c r="N95" s="33">
        <f>170.80+399.08</f>
        <v>569.88</v>
      </c>
      <c r="O95" s="33">
        <f>171.05+400.68</f>
        <v>571.73</v>
      </c>
      <c r="P95" s="33">
        <f>304.42+171.05</f>
        <v>475.47</v>
      </c>
      <c r="Q95" s="33">
        <f>37.01+171.05</f>
        <v>208.06</v>
      </c>
      <c r="R95" s="33">
        <f>47.62+171.05</f>
        <v>218.67000000000002</v>
      </c>
      <c r="S95" s="33">
        <f>171.05+42.13</f>
        <v>213.18</v>
      </c>
      <c r="T95" s="33">
        <f>171.61+167.68</f>
        <v>339.29</v>
      </c>
      <c r="U95" s="33">
        <f>179.76+212.92</f>
        <v>392.67999999999995</v>
      </c>
      <c r="V95" s="33">
        <f>179.76+186.09</f>
        <v>365.85</v>
      </c>
      <c r="W95" s="33">
        <f>205.19+179.76</f>
        <v>384.95</v>
      </c>
      <c r="X95" s="33">
        <f>226.97+179.76</f>
        <v>406.73</v>
      </c>
      <c r="Y95" s="33">
        <f>179.76+208.21</f>
        <v>387.97</v>
      </c>
      <c r="Z95" s="33">
        <f>94.39+179.40</f>
        <v>273.79</v>
      </c>
      <c r="AA95" s="33">
        <f>168.74+174.26</f>
        <v>343</v>
      </c>
      <c r="AB95" s="33">
        <f>174.26+327.63</f>
        <v>501.89</v>
      </c>
      <c r="AC95" s="33">
        <f>174.26+311.76</f>
        <v>486.02</v>
      </c>
      <c r="AD95" s="33">
        <f>246.78+174.26</f>
        <v>421.03999999999996</v>
      </c>
      <c r="AE95" s="33">
        <f>174.26+40.88</f>
        <v>215.14</v>
      </c>
      <c r="AF95" s="33">
        <f>180.13+132.61</f>
        <v>312.74</v>
      </c>
      <c r="AG95" s="33">
        <f>178.92+144.13</f>
        <v>323.04999999999995</v>
      </c>
      <c r="AH95" s="33">
        <f>135.38+178.91</f>
        <v>314.28999999999996</v>
      </c>
      <c r="AI95" s="33">
        <f>157.84+178.80</f>
        <v>336.64</v>
      </c>
      <c r="AJ95" s="33">
        <f>186.67+178.80</f>
        <v>365.47</v>
      </c>
      <c r="AK95" s="32"/>
      <c r="AL95" s="34">
        <f>SUM(G95:AK95)</f>
      </c>
      <c r="AM95" s="35"/>
    </row>
    <row r="96" ht="13.5" customHeight="1" spans="2:39" x14ac:dyDescent="0.25">
      <c r="B96" s="51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40"/>
    </row>
    <row r="97" ht="13.5" customHeight="1" spans="2:39" x14ac:dyDescent="0.25">
      <c r="B97" s="20"/>
      <c r="C97" s="21"/>
      <c r="D97" s="21" t="s">
        <v>85</v>
      </c>
      <c r="E97" s="21"/>
      <c r="F97" s="21"/>
      <c r="G97" s="22">
        <f>SUM(G34:G95)</f>
      </c>
      <c r="H97" s="22">
        <f>SUM(H34:H95)</f>
      </c>
      <c r="I97" s="22">
        <f>SUM(I34:I95)</f>
      </c>
      <c r="J97" s="22">
        <f>SUM(J34:J95)</f>
      </c>
      <c r="K97" s="22">
        <f>SUM(K34:K95)</f>
      </c>
      <c r="L97" s="22">
        <f>SUM(L34:L95)</f>
      </c>
      <c r="M97" s="22">
        <f>SUM(M34:M95)</f>
      </c>
      <c r="N97" s="22">
        <f>SUM(N34:N95)</f>
      </c>
      <c r="O97" s="22">
        <f>SUM(O34:O95)</f>
      </c>
      <c r="P97" s="22">
        <f>SUM(P34:P95)</f>
      </c>
      <c r="Q97" s="22">
        <f>SUM(Q34:Q95)</f>
      </c>
      <c r="R97" s="22">
        <f>SUM(R34:R95)</f>
      </c>
      <c r="S97" s="22">
        <f>SUM(S34:S95)</f>
      </c>
      <c r="T97" s="22">
        <f>SUM(T34:T95)</f>
      </c>
      <c r="U97" s="22">
        <f>SUM(U34:U95)</f>
      </c>
      <c r="V97" s="22">
        <f>SUM(V34:V95)</f>
      </c>
      <c r="W97" s="22">
        <f>SUM(W34:W95)</f>
      </c>
      <c r="X97" s="22">
        <f>SUM(X34:X95)</f>
      </c>
      <c r="Y97" s="22">
        <f>SUM(Y34:Y95)</f>
      </c>
      <c r="Z97" s="22">
        <f>SUM(Z34:Z95)</f>
      </c>
      <c r="AA97" s="22">
        <f>SUM(AA34:AA95)</f>
      </c>
      <c r="AB97" s="22">
        <f>SUM(AB34:AB95)</f>
      </c>
      <c r="AC97" s="22">
        <f>SUM(AC34:AC95)</f>
      </c>
      <c r="AD97" s="22">
        <f>SUM(AD34:AD95)</f>
      </c>
      <c r="AE97" s="22">
        <f>SUM(AE34:AE95)</f>
      </c>
      <c r="AF97" s="22">
        <f>SUM(AF34:AF95)</f>
      </c>
      <c r="AG97" s="22">
        <f>SUM(AG34:AG95)</f>
      </c>
      <c r="AH97" s="22">
        <f>SUM(AH34:AH95)</f>
      </c>
      <c r="AI97" s="22">
        <f>SUM(AI34:AI95)</f>
      </c>
      <c r="AJ97" s="22">
        <f>SUM(AJ34:AJ95)</f>
      </c>
      <c r="AK97" s="22">
        <f>SUM(AK34:AK95)</f>
      </c>
      <c r="AL97" s="22">
        <f>SUM(AL34:AL95)</f>
      </c>
      <c r="AM97" s="23"/>
    </row>
    <row r="99" ht="13.5" customHeight="1" spans="2:39" x14ac:dyDescent="0.25">
      <c r="B99" s="46"/>
      <c r="C99" s="28"/>
      <c r="D99" s="47" t="s">
        <v>43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9"/>
    </row>
    <row r="100" ht="13.5" customHeight="1" spans="2:39" x14ac:dyDescent="0.25">
      <c r="B100" s="48" t="s">
        <v>3</v>
      </c>
      <c r="C100" s="49" t="s">
        <v>2110</v>
      </c>
      <c r="D100" s="50" t="s">
        <v>43</v>
      </c>
      <c r="E100" s="32" t="s">
        <v>3</v>
      </c>
      <c r="F100" s="32" t="s">
        <v>2193</v>
      </c>
      <c r="G100" s="32"/>
      <c r="H100" s="32"/>
      <c r="I100" s="32"/>
      <c r="J100" s="33">
        <v>521.42</v>
      </c>
      <c r="K100" s="33">
        <v>623.95</v>
      </c>
      <c r="L100" s="33">
        <v>842.05</v>
      </c>
      <c r="M100" s="33">
        <v>670.01</v>
      </c>
      <c r="N100" s="33">
        <v>723.07</v>
      </c>
      <c r="O100" s="33">
        <v>604.04</v>
      </c>
      <c r="P100" s="33">
        <v>472.12</v>
      </c>
      <c r="Q100" s="33">
        <v>622.23</v>
      </c>
      <c r="R100" s="33">
        <v>632.11</v>
      </c>
      <c r="S100" s="33">
        <v>733.84</v>
      </c>
      <c r="T100" s="33">
        <v>901.98</v>
      </c>
      <c r="U100" s="33">
        <v>935.18</v>
      </c>
      <c r="V100" s="33">
        <v>971.21</v>
      </c>
      <c r="W100" s="33">
        <v>923.87</v>
      </c>
      <c r="X100" s="33">
        <v>999.23</v>
      </c>
      <c r="Y100" s="33">
        <v>1098.73</v>
      </c>
      <c r="Z100" s="33">
        <v>924.98</v>
      </c>
      <c r="AA100" s="33">
        <v>530.51</v>
      </c>
      <c r="AB100" s="33">
        <v>529.12</v>
      </c>
      <c r="AC100" s="33">
        <v>535.43</v>
      </c>
      <c r="AD100" s="33">
        <v>507.57</v>
      </c>
      <c r="AE100" s="33">
        <v>545.23</v>
      </c>
      <c r="AF100" s="33">
        <v>502.37</v>
      </c>
      <c r="AG100" s="33">
        <v>468.38</v>
      </c>
      <c r="AH100" s="33">
        <v>441.2</v>
      </c>
      <c r="AI100" s="33">
        <v>591.78</v>
      </c>
      <c r="AJ100" s="33">
        <v>564.03</v>
      </c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2110</v>
      </c>
      <c r="D101" s="50" t="s">
        <v>43</v>
      </c>
      <c r="E101" s="32" t="s">
        <v>3</v>
      </c>
      <c r="F101" s="32" t="s">
        <v>2194</v>
      </c>
      <c r="G101" s="32"/>
      <c r="H101" s="32"/>
      <c r="I101" s="32"/>
      <c r="J101" s="33">
        <v>6869.28</v>
      </c>
      <c r="K101" s="33">
        <v>5932.44</v>
      </c>
      <c r="L101" s="33">
        <v>5944.1</v>
      </c>
      <c r="M101" s="33">
        <v>5889.7</v>
      </c>
      <c r="N101" s="33">
        <v>6816.58</v>
      </c>
      <c r="O101" s="33">
        <v>6480.65</v>
      </c>
      <c r="P101" s="33">
        <v>6297.04</v>
      </c>
      <c r="Q101" s="33">
        <v>7902.3</v>
      </c>
      <c r="R101" s="33">
        <v>7379.51</v>
      </c>
      <c r="S101" s="33">
        <v>6931.62</v>
      </c>
      <c r="T101" s="33">
        <v>6935.15</v>
      </c>
      <c r="U101" s="33">
        <v>7216.33</v>
      </c>
      <c r="V101" s="33">
        <v>6567.81</v>
      </c>
      <c r="W101" s="33">
        <v>6594.65</v>
      </c>
      <c r="X101" s="33">
        <v>6374.6</v>
      </c>
      <c r="Y101" s="33">
        <v>5927.62</v>
      </c>
      <c r="Z101" s="33">
        <v>6181.93</v>
      </c>
      <c r="AA101" s="33">
        <v>7276.33</v>
      </c>
      <c r="AB101" s="33">
        <v>7877.47</v>
      </c>
      <c r="AC101" s="33">
        <v>8847.84</v>
      </c>
      <c r="AD101" s="33">
        <v>8480.01</v>
      </c>
      <c r="AE101" s="33">
        <v>9556.88</v>
      </c>
      <c r="AF101" s="33">
        <v>7846.63</v>
      </c>
      <c r="AG101" s="33">
        <v>7478.81</v>
      </c>
      <c r="AH101" s="33">
        <v>6149.11</v>
      </c>
      <c r="AI101" s="33">
        <v>6561.8</v>
      </c>
      <c r="AJ101" s="33">
        <v>6281.09</v>
      </c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2110</v>
      </c>
      <c r="D102" s="50" t="s">
        <v>43</v>
      </c>
      <c r="E102" s="32" t="s">
        <v>3</v>
      </c>
      <c r="F102" s="32" t="s">
        <v>2195</v>
      </c>
      <c r="G102" s="32"/>
      <c r="H102" s="32"/>
      <c r="I102" s="32"/>
      <c r="J102" s="33">
        <v>25.59</v>
      </c>
      <c r="K102" s="33">
        <v>25.59</v>
      </c>
      <c r="L102" s="33">
        <v>25.59</v>
      </c>
      <c r="M102" s="33">
        <v>25.59</v>
      </c>
      <c r="N102" s="33">
        <v>25.59</v>
      </c>
      <c r="O102" s="33">
        <v>25.59</v>
      </c>
      <c r="P102" s="33">
        <v>25.59</v>
      </c>
      <c r="Q102" s="33">
        <v>33.71</v>
      </c>
      <c r="R102" s="33">
        <v>33.71</v>
      </c>
      <c r="S102" s="33">
        <v>33.71</v>
      </c>
      <c r="T102" s="33">
        <v>33.71</v>
      </c>
      <c r="U102" s="33">
        <v>33.71</v>
      </c>
      <c r="V102" s="33">
        <v>33.71</v>
      </c>
      <c r="W102" s="33">
        <v>33.71</v>
      </c>
      <c r="X102" s="33">
        <v>33.71</v>
      </c>
      <c r="Y102" s="33">
        <v>33.71</v>
      </c>
      <c r="Z102" s="33">
        <v>33.71</v>
      </c>
      <c r="AA102" s="33">
        <v>33.71</v>
      </c>
      <c r="AB102" s="33">
        <v>33.71</v>
      </c>
      <c r="AC102" s="33">
        <v>33.71</v>
      </c>
      <c r="AD102" s="33">
        <v>33.71</v>
      </c>
      <c r="AE102" s="33">
        <f>17.58+0.00</f>
        <v>17.58</v>
      </c>
      <c r="AF102" s="32"/>
      <c r="AG102" s="32"/>
      <c r="AH102" s="32"/>
      <c r="AI102" s="32"/>
      <c r="AJ102" s="32"/>
      <c r="AK102" s="32"/>
      <c r="AL102" s="34">
        <f>SUM(G102:AK102)</f>
      </c>
      <c r="AM102" s="35"/>
    </row>
    <row r="103" ht="13.5" customHeight="1" spans="2:39" x14ac:dyDescent="0.25">
      <c r="B103" s="51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40"/>
    </row>
    <row r="104" ht="13.5" customHeight="1" spans="2:39" x14ac:dyDescent="0.25">
      <c r="B104" s="20"/>
      <c r="C104" s="21"/>
      <c r="D104" s="21" t="s">
        <v>89</v>
      </c>
      <c r="E104" s="21"/>
      <c r="F104" s="21"/>
      <c r="G104" s="22">
        <f>SUM(G100:G102)</f>
      </c>
      <c r="H104" s="22">
        <f>SUM(H100:H102)</f>
      </c>
      <c r="I104" s="22">
        <f>SUM(I100:I102)</f>
      </c>
      <c r="J104" s="22">
        <f>SUM(J100:J102)</f>
      </c>
      <c r="K104" s="22">
        <f>SUM(K100:K102)</f>
      </c>
      <c r="L104" s="22">
        <f>SUM(L100:L102)</f>
      </c>
      <c r="M104" s="22">
        <f>SUM(M100:M102)</f>
      </c>
      <c r="N104" s="22">
        <f>SUM(N100:N102)</f>
      </c>
      <c r="O104" s="22">
        <f>SUM(O100:O102)</f>
      </c>
      <c r="P104" s="22">
        <f>SUM(P100:P102)</f>
      </c>
      <c r="Q104" s="22">
        <f>SUM(Q100:Q102)</f>
      </c>
      <c r="R104" s="22">
        <f>SUM(R100:R102)</f>
      </c>
      <c r="S104" s="22">
        <f>SUM(S100:S102)</f>
      </c>
      <c r="T104" s="22">
        <f>SUM(T100:T102)</f>
      </c>
      <c r="U104" s="22">
        <f>SUM(U100:U102)</f>
      </c>
      <c r="V104" s="22">
        <f>SUM(V100:V102)</f>
      </c>
      <c r="W104" s="22">
        <f>SUM(W100:W102)</f>
      </c>
      <c r="X104" s="22">
        <f>SUM(X100:X102)</f>
      </c>
      <c r="Y104" s="22">
        <f>SUM(Y100:Y102)</f>
      </c>
      <c r="Z104" s="22">
        <f>SUM(Z100:Z102)</f>
      </c>
      <c r="AA104" s="22">
        <f>SUM(AA100:AA102)</f>
      </c>
      <c r="AB104" s="22">
        <f>SUM(AB100:AB102)</f>
      </c>
      <c r="AC104" s="22">
        <f>SUM(AC100:AC102)</f>
      </c>
      <c r="AD104" s="22">
        <f>SUM(AD100:AD102)</f>
      </c>
      <c r="AE104" s="22">
        <f>SUM(AE100:AE102)</f>
      </c>
      <c r="AF104" s="22">
        <f>SUM(AF100:AF102)</f>
      </c>
      <c r="AG104" s="22">
        <f>SUM(AG100:AG102)</f>
      </c>
      <c r="AH104" s="22">
        <f>SUM(AH100:AH102)</f>
      </c>
      <c r="AI104" s="22">
        <f>SUM(AI100:AI102)</f>
      </c>
      <c r="AJ104" s="22">
        <f>SUM(AJ100:AJ102)</f>
      </c>
      <c r="AK104" s="22">
        <f>SUM(AK100:AK102)</f>
      </c>
      <c r="AL104" s="22">
        <f>SUM(AL100:AL102)</f>
      </c>
      <c r="AM104" s="23"/>
    </row>
    <row r="106" ht="13.5" customHeight="1" spans="2:39" x14ac:dyDescent="0.25">
      <c r="B106" s="46"/>
      <c r="C106" s="28"/>
      <c r="D106" s="47" t="s">
        <v>44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9"/>
    </row>
    <row r="107" ht="13.5" customHeight="1" spans="2:39" x14ac:dyDescent="0.25">
      <c r="B107" s="51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40"/>
    </row>
    <row r="108" ht="13.5" customHeight="1" spans="2:39" x14ac:dyDescent="0.25">
      <c r="B108" s="20"/>
      <c r="C108" s="21"/>
      <c r="D108" s="21" t="s">
        <v>90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3"/>
    </row>
    <row r="111" ht="12.75" customHeight="1" spans="2:39" x14ac:dyDescent="0.25">
      <c r="B111" s="11" t="s">
        <v>40</v>
      </c>
      <c r="C111" s="12"/>
      <c r="D111" s="12"/>
      <c r="E111" s="12"/>
      <c r="F111" s="12"/>
      <c r="G111" s="52" t="s">
        <v>7</v>
      </c>
      <c r="H111" s="52" t="s">
        <v>8</v>
      </c>
      <c r="I111" s="52" t="s">
        <v>9</v>
      </c>
      <c r="J111" s="52" t="s">
        <v>10</v>
      </c>
      <c r="K111" s="52" t="s">
        <v>11</v>
      </c>
      <c r="L111" s="52" t="s">
        <v>12</v>
      </c>
      <c r="M111" s="52" t="s">
        <v>13</v>
      </c>
      <c r="N111" s="52" t="s">
        <v>14</v>
      </c>
      <c r="O111" s="52" t="s">
        <v>15</v>
      </c>
      <c r="P111" s="52" t="s">
        <v>16</v>
      </c>
      <c r="Q111" s="52" t="s">
        <v>17</v>
      </c>
      <c r="R111" s="52" t="s">
        <v>18</v>
      </c>
      <c r="S111" s="52" t="s">
        <v>19</v>
      </c>
      <c r="T111" s="52" t="s">
        <v>20</v>
      </c>
      <c r="U111" s="52" t="s">
        <v>21</v>
      </c>
      <c r="V111" s="52" t="s">
        <v>22</v>
      </c>
      <c r="W111" s="52" t="s">
        <v>23</v>
      </c>
      <c r="X111" s="52" t="s">
        <v>24</v>
      </c>
      <c r="Y111" s="52" t="s">
        <v>25</v>
      </c>
      <c r="Z111" s="52" t="s">
        <v>26</v>
      </c>
      <c r="AA111" s="52" t="s">
        <v>27</v>
      </c>
      <c r="AB111" s="52" t="s">
        <v>28</v>
      </c>
      <c r="AC111" s="52" t="s">
        <v>29</v>
      </c>
      <c r="AD111" s="52" t="s">
        <v>30</v>
      </c>
      <c r="AE111" s="52" t="s">
        <v>31</v>
      </c>
      <c r="AF111" s="52" t="s">
        <v>32</v>
      </c>
      <c r="AG111" s="52" t="s">
        <v>33</v>
      </c>
      <c r="AH111" s="52" t="s">
        <v>34</v>
      </c>
      <c r="AI111" s="52" t="s">
        <v>35</v>
      </c>
      <c r="AJ111" s="52" t="s">
        <v>36</v>
      </c>
      <c r="AK111" s="52" t="s">
        <v>37</v>
      </c>
      <c r="AL111" s="52" t="s">
        <v>38</v>
      </c>
      <c r="AM111" s="15"/>
    </row>
    <row r="112" ht="12.75" customHeight="1" spans="2:39" x14ac:dyDescent="0.25">
      <c r="B112" s="16"/>
      <c r="C112" s="17"/>
      <c r="D112" s="17" t="s">
        <v>41</v>
      </c>
      <c r="E112" s="17"/>
      <c r="F112" s="17"/>
      <c r="G112" s="18">
        <f>G31</f>
      </c>
      <c r="H112" s="18">
        <f>H31</f>
      </c>
      <c r="I112" s="18">
        <f>I31</f>
      </c>
      <c r="J112" s="18">
        <f>J31</f>
      </c>
      <c r="K112" s="18">
        <f>K31</f>
      </c>
      <c r="L112" s="18">
        <f>L31</f>
      </c>
      <c r="M112" s="18">
        <f>M31</f>
      </c>
      <c r="N112" s="18">
        <f>N31</f>
      </c>
      <c r="O112" s="18">
        <f>O31</f>
      </c>
      <c r="P112" s="18">
        <f>P31</f>
      </c>
      <c r="Q112" s="18">
        <f>Q31</f>
      </c>
      <c r="R112" s="18">
        <f>R31</f>
      </c>
      <c r="S112" s="18">
        <f>S31</f>
      </c>
      <c r="T112" s="18">
        <f>T31</f>
      </c>
      <c r="U112" s="18">
        <f>U31</f>
      </c>
      <c r="V112" s="18">
        <f>V31</f>
      </c>
      <c r="W112" s="18">
        <f>W31</f>
      </c>
      <c r="X112" s="18">
        <f>X31</f>
      </c>
      <c r="Y112" s="18">
        <f>Y31</f>
      </c>
      <c r="Z112" s="18">
        <f>Z31</f>
      </c>
      <c r="AA112" s="18">
        <f>AA31</f>
      </c>
      <c r="AB112" s="18">
        <f>AB31</f>
      </c>
      <c r="AC112" s="18">
        <f>AC31</f>
      </c>
      <c r="AD112" s="18">
        <f>AD31</f>
      </c>
      <c r="AE112" s="18">
        <f>AE31</f>
      </c>
      <c r="AF112" s="18">
        <f>AF31</f>
      </c>
      <c r="AG112" s="18">
        <f>AG31</f>
      </c>
      <c r="AH112" s="18">
        <f>AH31</f>
      </c>
      <c r="AI112" s="18">
        <f>AI31</f>
      </c>
      <c r="AJ112" s="18">
        <f>AJ31</f>
      </c>
      <c r="AK112" s="18">
        <f>AK31</f>
      </c>
      <c r="AL112" s="18">
        <f>AL31</f>
      </c>
      <c r="AM112" s="19"/>
    </row>
    <row r="113" ht="12.75" customHeight="1" spans="2:39" x14ac:dyDescent="0.25">
      <c r="B113" s="16"/>
      <c r="C113" s="17"/>
      <c r="D113" s="17" t="s">
        <v>42</v>
      </c>
      <c r="E113" s="17"/>
      <c r="F113" s="17"/>
      <c r="G113" s="18">
        <f>G97</f>
      </c>
      <c r="H113" s="18">
        <f>H97</f>
      </c>
      <c r="I113" s="18">
        <f>I97</f>
      </c>
      <c r="J113" s="18">
        <f>J97</f>
      </c>
      <c r="K113" s="18">
        <f>K97</f>
      </c>
      <c r="L113" s="18">
        <f>L97</f>
      </c>
      <c r="M113" s="18">
        <f>M97</f>
      </c>
      <c r="N113" s="18">
        <f>N97</f>
      </c>
      <c r="O113" s="18">
        <f>O97</f>
      </c>
      <c r="P113" s="18">
        <f>P97</f>
      </c>
      <c r="Q113" s="18">
        <f>Q97</f>
      </c>
      <c r="R113" s="18">
        <f>R97</f>
      </c>
      <c r="S113" s="18">
        <f>S97</f>
      </c>
      <c r="T113" s="18">
        <f>T97</f>
      </c>
      <c r="U113" s="18">
        <f>U97</f>
      </c>
      <c r="V113" s="18">
        <f>V97</f>
      </c>
      <c r="W113" s="18">
        <f>W97</f>
      </c>
      <c r="X113" s="18">
        <f>X97</f>
      </c>
      <c r="Y113" s="18">
        <f>Y97</f>
      </c>
      <c r="Z113" s="18">
        <f>Z97</f>
      </c>
      <c r="AA113" s="18">
        <f>AA97</f>
      </c>
      <c r="AB113" s="18">
        <f>AB97</f>
      </c>
      <c r="AC113" s="18">
        <f>AC97</f>
      </c>
      <c r="AD113" s="18">
        <f>AD97</f>
      </c>
      <c r="AE113" s="18">
        <f>AE97</f>
      </c>
      <c r="AF113" s="18">
        <f>AF97</f>
      </c>
      <c r="AG113" s="18">
        <f>AG97</f>
      </c>
      <c r="AH113" s="18">
        <f>AH97</f>
      </c>
      <c r="AI113" s="18">
        <f>AI97</f>
      </c>
      <c r="AJ113" s="18">
        <f>AJ97</f>
      </c>
      <c r="AK113" s="18">
        <f>AK97</f>
      </c>
      <c r="AL113" s="18">
        <f>AL97</f>
      </c>
      <c r="AM113" s="19"/>
    </row>
    <row r="114" ht="12.75" customHeight="1" spans="2:39" x14ac:dyDescent="0.25">
      <c r="B114" s="16"/>
      <c r="C114" s="17"/>
      <c r="D114" s="17" t="s">
        <v>43</v>
      </c>
      <c r="E114" s="17"/>
      <c r="F114" s="17"/>
      <c r="G114" s="18">
        <f>G104</f>
      </c>
      <c r="H114" s="18">
        <f>H104</f>
      </c>
      <c r="I114" s="18">
        <f>I104</f>
      </c>
      <c r="J114" s="18">
        <f>J104</f>
      </c>
      <c r="K114" s="18">
        <f>K104</f>
      </c>
      <c r="L114" s="18">
        <f>L104</f>
      </c>
      <c r="M114" s="18">
        <f>M104</f>
      </c>
      <c r="N114" s="18">
        <f>N104</f>
      </c>
      <c r="O114" s="18">
        <f>O104</f>
      </c>
      <c r="P114" s="18">
        <f>P104</f>
      </c>
      <c r="Q114" s="18">
        <f>Q104</f>
      </c>
      <c r="R114" s="18">
        <f>R104</f>
      </c>
      <c r="S114" s="18">
        <f>S104</f>
      </c>
      <c r="T114" s="18">
        <f>T104</f>
      </c>
      <c r="U114" s="18">
        <f>U104</f>
      </c>
      <c r="V114" s="18">
        <f>V104</f>
      </c>
      <c r="W114" s="18">
        <f>W104</f>
      </c>
      <c r="X114" s="18">
        <f>X104</f>
      </c>
      <c r="Y114" s="18">
        <f>Y104</f>
      </c>
      <c r="Z114" s="18">
        <f>Z104</f>
      </c>
      <c r="AA114" s="18">
        <f>AA104</f>
      </c>
      <c r="AB114" s="18">
        <f>AB104</f>
      </c>
      <c r="AC114" s="18">
        <f>AC104</f>
      </c>
      <c r="AD114" s="18">
        <f>AD104</f>
      </c>
      <c r="AE114" s="18">
        <f>AE104</f>
      </c>
      <c r="AF114" s="18">
        <f>AF104</f>
      </c>
      <c r="AG114" s="18">
        <f>AG104</f>
      </c>
      <c r="AH114" s="18">
        <f>AH104</f>
      </c>
      <c r="AI114" s="18">
        <f>AI104</f>
      </c>
      <c r="AJ114" s="18">
        <f>AJ104</f>
      </c>
      <c r="AK114" s="18">
        <f>AK104</f>
      </c>
      <c r="AL114" s="18">
        <f>AL104</f>
      </c>
      <c r="AM114" s="19"/>
    </row>
    <row r="115" ht="12.75" customHeight="1" spans="2:39" x14ac:dyDescent="0.25">
      <c r="B115" s="16"/>
      <c r="C115" s="17"/>
      <c r="D115" s="17" t="s">
        <v>44</v>
      </c>
      <c r="E115" s="17"/>
      <c r="F115" s="17"/>
      <c r="G115" s="18">
        <f>G108</f>
      </c>
      <c r="H115" s="18">
        <f>H108</f>
      </c>
      <c r="I115" s="18">
        <f>I108</f>
      </c>
      <c r="J115" s="18">
        <f>J108</f>
      </c>
      <c r="K115" s="18">
        <f>K108</f>
      </c>
      <c r="L115" s="18">
        <f>L108</f>
      </c>
      <c r="M115" s="18">
        <f>M108</f>
      </c>
      <c r="N115" s="18">
        <f>N108</f>
      </c>
      <c r="O115" s="18">
        <f>O108</f>
      </c>
      <c r="P115" s="18">
        <f>P108</f>
      </c>
      <c r="Q115" s="18">
        <f>Q108</f>
      </c>
      <c r="R115" s="18">
        <f>R108</f>
      </c>
      <c r="S115" s="18">
        <f>S108</f>
      </c>
      <c r="T115" s="18">
        <f>T108</f>
      </c>
      <c r="U115" s="18">
        <f>U108</f>
      </c>
      <c r="V115" s="18">
        <f>V108</f>
      </c>
      <c r="W115" s="18">
        <f>W108</f>
      </c>
      <c r="X115" s="18">
        <f>X108</f>
      </c>
      <c r="Y115" s="18">
        <f>Y108</f>
      </c>
      <c r="Z115" s="18">
        <f>Z108</f>
      </c>
      <c r="AA115" s="18">
        <f>AA108</f>
      </c>
      <c r="AB115" s="18">
        <f>AB108</f>
      </c>
      <c r="AC115" s="18">
        <f>AC108</f>
      </c>
      <c r="AD115" s="18">
        <f>AD108</f>
      </c>
      <c r="AE115" s="18">
        <f>AE108</f>
      </c>
      <c r="AF115" s="18">
        <f>AF108</f>
      </c>
      <c r="AG115" s="18">
        <f>AG108</f>
      </c>
      <c r="AH115" s="18">
        <f>AH108</f>
      </c>
      <c r="AI115" s="18">
        <f>AI108</f>
      </c>
      <c r="AJ115" s="18">
        <f>AJ108</f>
      </c>
      <c r="AK115" s="18">
        <f>AK108</f>
      </c>
      <c r="AL115" s="18">
        <f>AL108</f>
      </c>
      <c r="AM115" s="19"/>
    </row>
    <row r="116" ht="12.75" customHeight="1" spans="2:39" x14ac:dyDescent="0.25">
      <c r="B116" s="20"/>
      <c r="C116" s="21"/>
      <c r="D116" s="21" t="s">
        <v>45</v>
      </c>
      <c r="E116" s="21"/>
      <c r="F116" s="21"/>
      <c r="G116" s="22">
        <f>G112+G113+G114+G115</f>
      </c>
      <c r="H116" s="22">
        <f>H112+H113+H114+H115</f>
      </c>
      <c r="I116" s="22">
        <f>I112+I113+I114+I115</f>
      </c>
      <c r="J116" s="22">
        <f>J112+J113+J114+J115</f>
      </c>
      <c r="K116" s="22">
        <f>K112+K113+K114+K115</f>
      </c>
      <c r="L116" s="22">
        <f>L112+L113+L114+L115</f>
      </c>
      <c r="M116" s="22">
        <f>M112+M113+M114+M115</f>
      </c>
      <c r="N116" s="22">
        <f>N112+N113+N114+N115</f>
      </c>
      <c r="O116" s="22">
        <f>O112+O113+O114+O115</f>
      </c>
      <c r="P116" s="22">
        <f>P112+P113+P114+P115</f>
      </c>
      <c r="Q116" s="22">
        <f>Q112+Q113+Q114+Q115</f>
      </c>
      <c r="R116" s="22">
        <f>R112+R113+R114+R115</f>
      </c>
      <c r="S116" s="22">
        <f>S112+S113+S114+S115</f>
      </c>
      <c r="T116" s="22">
        <f>T112+T113+T114+T115</f>
      </c>
      <c r="U116" s="22">
        <f>U112+U113+U114+U115</f>
      </c>
      <c r="V116" s="22">
        <f>V112+V113+V114+V115</f>
      </c>
      <c r="W116" s="22">
        <f>W112+W113+W114+W115</f>
      </c>
      <c r="X116" s="22">
        <f>X112+X113+X114+X115</f>
      </c>
      <c r="Y116" s="22">
        <f>Y112+Y113+Y114+Y115</f>
      </c>
      <c r="Z116" s="22">
        <f>Z112+Z113+Z114+Z115</f>
      </c>
      <c r="AA116" s="22">
        <f>AA112+AA113+AA114+AA115</f>
      </c>
      <c r="AB116" s="22">
        <f>AB112+AB113+AB114+AB115</f>
      </c>
      <c r="AC116" s="22">
        <f>AC112+AC113+AC114+AC115</f>
      </c>
      <c r="AD116" s="22">
        <f>AD112+AD113+AD114+AD115</f>
      </c>
      <c r="AE116" s="22">
        <f>AE112+AE113+AE114+AE115</f>
      </c>
      <c r="AF116" s="22">
        <f>AF112+AF113+AF114+AF115</f>
      </c>
      <c r="AG116" s="22">
        <f>AG112+AG113+AG114+AG115</f>
      </c>
      <c r="AH116" s="22">
        <f>AH112+AH113+AH114+AH115</f>
      </c>
      <c r="AI116" s="22">
        <f>AI112+AI113+AI114+AI115</f>
      </c>
      <c r="AJ116" s="22">
        <f>AJ112+AJ113+AJ114+AJ115</f>
      </c>
      <c r="AK116" s="22">
        <f>AK112+AK113+AK114+AK115</f>
      </c>
      <c r="AL116" s="22">
        <f>AL112+AL113+AL114+AL115</f>
      </c>
      <c r="AM116" s="23"/>
    </row>
    <row r="118" ht="12.75" customHeight="1" spans="2:39" x14ac:dyDescent="0.25">
      <c r="B118" s="11" t="s">
        <v>46</v>
      </c>
      <c r="C118" s="12"/>
      <c r="D118" s="12"/>
      <c r="E118" s="12"/>
      <c r="F118" s="12"/>
      <c r="G118" s="52" t="s">
        <v>7</v>
      </c>
      <c r="H118" s="52" t="s">
        <v>8</v>
      </c>
      <c r="I118" s="52" t="s">
        <v>9</v>
      </c>
      <c r="J118" s="52" t="s">
        <v>10</v>
      </c>
      <c r="K118" s="52" t="s">
        <v>11</v>
      </c>
      <c r="L118" s="52" t="s">
        <v>12</v>
      </c>
      <c r="M118" s="52" t="s">
        <v>13</v>
      </c>
      <c r="N118" s="52" t="s">
        <v>14</v>
      </c>
      <c r="O118" s="52" t="s">
        <v>15</v>
      </c>
      <c r="P118" s="52" t="s">
        <v>16</v>
      </c>
      <c r="Q118" s="52" t="s">
        <v>17</v>
      </c>
      <c r="R118" s="52" t="s">
        <v>18</v>
      </c>
      <c r="S118" s="52" t="s">
        <v>19</v>
      </c>
      <c r="T118" s="52" t="s">
        <v>20</v>
      </c>
      <c r="U118" s="52" t="s">
        <v>21</v>
      </c>
      <c r="V118" s="52" t="s">
        <v>22</v>
      </c>
      <c r="W118" s="52" t="s">
        <v>23</v>
      </c>
      <c r="X118" s="52" t="s">
        <v>24</v>
      </c>
      <c r="Y118" s="52" t="s">
        <v>25</v>
      </c>
      <c r="Z118" s="52" t="s">
        <v>26</v>
      </c>
      <c r="AA118" s="52" t="s">
        <v>27</v>
      </c>
      <c r="AB118" s="52" t="s">
        <v>28</v>
      </c>
      <c r="AC118" s="52" t="s">
        <v>29</v>
      </c>
      <c r="AD118" s="52" t="s">
        <v>30</v>
      </c>
      <c r="AE118" s="52" t="s">
        <v>31</v>
      </c>
      <c r="AF118" s="52" t="s">
        <v>32</v>
      </c>
      <c r="AG118" s="52" t="s">
        <v>33</v>
      </c>
      <c r="AH118" s="52" t="s">
        <v>34</v>
      </c>
      <c r="AI118" s="52" t="s">
        <v>35</v>
      </c>
      <c r="AJ118" s="52" t="s">
        <v>36</v>
      </c>
      <c r="AK118" s="52" t="s">
        <v>37</v>
      </c>
      <c r="AL118" s="52" t="s">
        <v>38</v>
      </c>
      <c r="AM118" s="15"/>
    </row>
    <row r="119" ht="12.75" customHeight="1" spans="2:39" x14ac:dyDescent="0.25">
      <c r="B119" s="16"/>
      <c r="C119" s="17"/>
      <c r="D119" s="17" t="s">
        <v>41</v>
      </c>
      <c r="E119" s="17"/>
      <c r="F119" s="1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9"/>
    </row>
    <row r="120" ht="12.75" customHeight="1" spans="2:39" x14ac:dyDescent="0.25">
      <c r="B120" s="16"/>
      <c r="C120" s="17"/>
      <c r="D120" s="17" t="s">
        <v>42</v>
      </c>
      <c r="E120" s="17"/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9"/>
    </row>
    <row r="121" ht="12.75" customHeight="1" spans="2:39" x14ac:dyDescent="0.25">
      <c r="B121" s="16"/>
      <c r="C121" s="17"/>
      <c r="D121" s="17" t="s">
        <v>43</v>
      </c>
      <c r="E121" s="17"/>
      <c r="F121" s="1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9"/>
    </row>
    <row r="122" ht="12.75" customHeight="1" spans="2:39" x14ac:dyDescent="0.25">
      <c r="B122" s="16"/>
      <c r="C122" s="17"/>
      <c r="D122" s="17" t="s">
        <v>44</v>
      </c>
      <c r="E122" s="17"/>
      <c r="F122" s="1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9"/>
    </row>
    <row r="123" ht="12.75" customHeight="1" spans="2:39" x14ac:dyDescent="0.25">
      <c r="B123" s="20"/>
      <c r="C123" s="21"/>
      <c r="D123" s="21" t="s">
        <v>45</v>
      </c>
      <c r="E123" s="21"/>
      <c r="F123" s="21"/>
      <c r="G123" s="22">
        <f>G119+G120+G121+G122</f>
      </c>
      <c r="H123" s="22">
        <f>H119+H120+H121+H122</f>
      </c>
      <c r="I123" s="22">
        <f>I119+I120+I121+I122</f>
      </c>
      <c r="J123" s="22">
        <f>J119+J120+J121+J122</f>
      </c>
      <c r="K123" s="22">
        <f>K119+K120+K121+K122</f>
      </c>
      <c r="L123" s="22">
        <f>L119+L120+L121+L122</f>
      </c>
      <c r="M123" s="22">
        <f>M119+M120+M121+M122</f>
      </c>
      <c r="N123" s="22">
        <f>N119+N120+N121+N122</f>
      </c>
      <c r="O123" s="22">
        <f>O119+O120+O121+O122</f>
      </c>
      <c r="P123" s="22">
        <f>P119+P120+P121+P122</f>
      </c>
      <c r="Q123" s="22">
        <f>Q119+Q120+Q121+Q122</f>
      </c>
      <c r="R123" s="22">
        <f>R119+R120+R121+R122</f>
      </c>
      <c r="S123" s="22">
        <f>S119+S120+S121+S122</f>
      </c>
      <c r="T123" s="22">
        <f>T119+T120+T121+T122</f>
      </c>
      <c r="U123" s="22">
        <f>U119+U120+U121+U122</f>
      </c>
      <c r="V123" s="22">
        <f>V119+V120+V121+V122</f>
      </c>
      <c r="W123" s="22">
        <f>W119+W120+W121+W122</f>
      </c>
      <c r="X123" s="22">
        <f>X119+X120+X121+X122</f>
      </c>
      <c r="Y123" s="22">
        <f>Y119+Y120+Y121+Y122</f>
      </c>
      <c r="Z123" s="22">
        <f>Z119+Z120+Z121+Z122</f>
      </c>
      <c r="AA123" s="22">
        <f>AA119+AA120+AA121+AA122</f>
      </c>
      <c r="AB123" s="22">
        <f>AB119+AB120+AB121+AB122</f>
      </c>
      <c r="AC123" s="22">
        <f>AC119+AC120+AC121+AC122</f>
      </c>
      <c r="AD123" s="22">
        <f>AD119+AD120+AD121+AD122</f>
      </c>
      <c r="AE123" s="22">
        <f>AE119+AE120+AE121+AE122</f>
      </c>
      <c r="AF123" s="22">
        <f>AF119+AF120+AF121+AF122</f>
      </c>
      <c r="AG123" s="22">
        <f>AG119+AG120+AG121+AG122</f>
      </c>
      <c r="AH123" s="22">
        <f>AH119+AH120+AH121+AH122</f>
      </c>
      <c r="AI123" s="22">
        <f>AI119+AI120+AI121+AI122</f>
      </c>
      <c r="AJ123" s="22">
        <f>AJ119+AJ120+AJ121+AJ122</f>
      </c>
      <c r="AK123" s="22">
        <f>AK119+AK120+AK121+AK122</f>
      </c>
      <c r="AL123" s="22">
        <f>AL119+AL120+AL121+AL122</f>
      </c>
      <c r="AM123" s="23"/>
    </row>
    <row r="125" ht="12.75" customHeight="1" spans="2:39" x14ac:dyDescent="0.25">
      <c r="B125" s="11" t="s">
        <v>47</v>
      </c>
      <c r="C125" s="12"/>
      <c r="D125" s="12"/>
      <c r="E125" s="12"/>
      <c r="F125" s="12"/>
      <c r="G125" s="52" t="s">
        <v>7</v>
      </c>
      <c r="H125" s="52" t="s">
        <v>8</v>
      </c>
      <c r="I125" s="52" t="s">
        <v>9</v>
      </c>
      <c r="J125" s="52" t="s">
        <v>10</v>
      </c>
      <c r="K125" s="52" t="s">
        <v>11</v>
      </c>
      <c r="L125" s="52" t="s">
        <v>12</v>
      </c>
      <c r="M125" s="52" t="s">
        <v>13</v>
      </c>
      <c r="N125" s="52" t="s">
        <v>14</v>
      </c>
      <c r="O125" s="52" t="s">
        <v>15</v>
      </c>
      <c r="P125" s="52" t="s">
        <v>16</v>
      </c>
      <c r="Q125" s="52" t="s">
        <v>17</v>
      </c>
      <c r="R125" s="52" t="s">
        <v>18</v>
      </c>
      <c r="S125" s="52" t="s">
        <v>19</v>
      </c>
      <c r="T125" s="52" t="s">
        <v>20</v>
      </c>
      <c r="U125" s="52" t="s">
        <v>21</v>
      </c>
      <c r="V125" s="52" t="s">
        <v>22</v>
      </c>
      <c r="W125" s="52" t="s">
        <v>23</v>
      </c>
      <c r="X125" s="52" t="s">
        <v>24</v>
      </c>
      <c r="Y125" s="52" t="s">
        <v>25</v>
      </c>
      <c r="Z125" s="52" t="s">
        <v>26</v>
      </c>
      <c r="AA125" s="52" t="s">
        <v>27</v>
      </c>
      <c r="AB125" s="52" t="s">
        <v>28</v>
      </c>
      <c r="AC125" s="52" t="s">
        <v>29</v>
      </c>
      <c r="AD125" s="52" t="s">
        <v>30</v>
      </c>
      <c r="AE125" s="52" t="s">
        <v>31</v>
      </c>
      <c r="AF125" s="52" t="s">
        <v>32</v>
      </c>
      <c r="AG125" s="52" t="s">
        <v>33</v>
      </c>
      <c r="AH125" s="52" t="s">
        <v>34</v>
      </c>
      <c r="AI125" s="52" t="s">
        <v>35</v>
      </c>
      <c r="AJ125" s="52" t="s">
        <v>36</v>
      </c>
      <c r="AK125" s="52" t="s">
        <v>37</v>
      </c>
      <c r="AL125" s="52" t="s">
        <v>38</v>
      </c>
      <c r="AM125" s="15"/>
    </row>
    <row r="126" ht="12.75" customHeight="1" spans="2:39" x14ac:dyDescent="0.25">
      <c r="B126" s="16"/>
      <c r="C126" s="17"/>
      <c r="D126" s="17" t="s">
        <v>41</v>
      </c>
      <c r="E126" s="17"/>
      <c r="F126" s="17"/>
      <c r="G126" s="24">
        <f>G119-G112</f>
      </c>
      <c r="H126" s="24">
        <f>H119-H112</f>
      </c>
      <c r="I126" s="24">
        <f>I119-I112</f>
      </c>
      <c r="J126" s="24">
        <f>J119-J112</f>
      </c>
      <c r="K126" s="24">
        <f>K119-K112</f>
      </c>
      <c r="L126" s="24">
        <f>L119-L112</f>
      </c>
      <c r="M126" s="24">
        <f>M119-M112</f>
      </c>
      <c r="N126" s="24">
        <f>N119-N112</f>
      </c>
      <c r="O126" s="24">
        <f>O119-O112</f>
      </c>
      <c r="P126" s="24">
        <f>P119-P112</f>
      </c>
      <c r="Q126" s="24">
        <f>Q119-Q112</f>
      </c>
      <c r="R126" s="24">
        <f>R119-R112</f>
      </c>
      <c r="S126" s="24">
        <f>S119-S112</f>
      </c>
      <c r="T126" s="24">
        <f>T119-T112</f>
      </c>
      <c r="U126" s="24">
        <f>U119-U112</f>
      </c>
      <c r="V126" s="24">
        <f>V119-V112</f>
      </c>
      <c r="W126" s="24">
        <f>W119-W112</f>
      </c>
      <c r="X126" s="24">
        <f>X119-X112</f>
      </c>
      <c r="Y126" s="24">
        <f>Y119-Y112</f>
      </c>
      <c r="Z126" s="24">
        <f>Z119-Z112</f>
      </c>
      <c r="AA126" s="24">
        <f>AA119-AA112</f>
      </c>
      <c r="AB126" s="24">
        <f>AB119-AB112</f>
      </c>
      <c r="AC126" s="24">
        <f>AC119-AC112</f>
      </c>
      <c r="AD126" s="24">
        <f>AD119-AD112</f>
      </c>
      <c r="AE126" s="24">
        <f>AE119-AE112</f>
      </c>
      <c r="AF126" s="24">
        <f>AF119-AF112</f>
      </c>
      <c r="AG126" s="24">
        <f>AG119-AG112</f>
      </c>
      <c r="AH126" s="24">
        <f>AH119-AH112</f>
      </c>
      <c r="AI126" s="24">
        <f>AI119-AI112</f>
      </c>
      <c r="AJ126" s="24">
        <f>AJ119-AJ112</f>
      </c>
      <c r="AK126" s="24">
        <f>AK119-AK112</f>
      </c>
      <c r="AL126" s="24">
        <f>AL119-AL112</f>
      </c>
      <c r="AM126" s="19"/>
    </row>
    <row r="127" ht="12.75" customHeight="1" spans="2:39" x14ac:dyDescent="0.25">
      <c r="B127" s="16"/>
      <c r="C127" s="17"/>
      <c r="D127" s="17" t="s">
        <v>42</v>
      </c>
      <c r="E127" s="17"/>
      <c r="F127" s="17"/>
      <c r="G127" s="24">
        <f>G120-G113</f>
      </c>
      <c r="H127" s="24">
        <f>H120-H113</f>
      </c>
      <c r="I127" s="24">
        <f>I120-I113</f>
      </c>
      <c r="J127" s="24">
        <f>J120-J113</f>
      </c>
      <c r="K127" s="24">
        <f>K120-K113</f>
      </c>
      <c r="L127" s="24">
        <f>L120-L113</f>
      </c>
      <c r="M127" s="24">
        <f>M120-M113</f>
      </c>
      <c r="N127" s="24">
        <f>N120-N113</f>
      </c>
      <c r="O127" s="24">
        <f>O120-O113</f>
      </c>
      <c r="P127" s="24">
        <f>P120-P113</f>
      </c>
      <c r="Q127" s="24">
        <f>Q120-Q113</f>
      </c>
      <c r="R127" s="24">
        <f>R120-R113</f>
      </c>
      <c r="S127" s="24">
        <f>S120-S113</f>
      </c>
      <c r="T127" s="24">
        <f>T120-T113</f>
      </c>
      <c r="U127" s="24">
        <f>U120-U113</f>
      </c>
      <c r="V127" s="24">
        <f>V120-V113</f>
      </c>
      <c r="W127" s="24">
        <f>W120-W113</f>
      </c>
      <c r="X127" s="24">
        <f>X120-X113</f>
      </c>
      <c r="Y127" s="24">
        <f>Y120-Y113</f>
      </c>
      <c r="Z127" s="24">
        <f>Z120-Z113</f>
      </c>
      <c r="AA127" s="24">
        <f>AA120-AA113</f>
      </c>
      <c r="AB127" s="24">
        <f>AB120-AB113</f>
      </c>
      <c r="AC127" s="24">
        <f>AC120-AC113</f>
      </c>
      <c r="AD127" s="24">
        <f>AD120-AD113</f>
      </c>
      <c r="AE127" s="24">
        <f>AE120-AE113</f>
      </c>
      <c r="AF127" s="24">
        <f>AF120-AF113</f>
      </c>
      <c r="AG127" s="24">
        <f>AG120-AG113</f>
      </c>
      <c r="AH127" s="24">
        <f>AH120-AH113</f>
      </c>
      <c r="AI127" s="24">
        <f>AI120-AI113</f>
      </c>
      <c r="AJ127" s="24">
        <f>AJ120-AJ113</f>
      </c>
      <c r="AK127" s="24">
        <f>AK120-AK113</f>
      </c>
      <c r="AL127" s="24">
        <f>AL120-AL113</f>
      </c>
      <c r="AM127" s="19"/>
    </row>
    <row r="128" ht="12.75" customHeight="1" spans="2:39" x14ac:dyDescent="0.25">
      <c r="B128" s="16"/>
      <c r="C128" s="17"/>
      <c r="D128" s="17" t="s">
        <v>43</v>
      </c>
      <c r="E128" s="17"/>
      <c r="F128" s="17"/>
      <c r="G128" s="24">
        <f>G121-G114</f>
      </c>
      <c r="H128" s="24">
        <f>H121-H114</f>
      </c>
      <c r="I128" s="24">
        <f>I121-I114</f>
      </c>
      <c r="J128" s="24">
        <f>J121-J114</f>
      </c>
      <c r="K128" s="24">
        <f>K121-K114</f>
      </c>
      <c r="L128" s="24">
        <f>L121-L114</f>
      </c>
      <c r="M128" s="24">
        <f>M121-M114</f>
      </c>
      <c r="N128" s="24">
        <f>N121-N114</f>
      </c>
      <c r="O128" s="24">
        <f>O121-O114</f>
      </c>
      <c r="P128" s="24">
        <f>P121-P114</f>
      </c>
      <c r="Q128" s="24">
        <f>Q121-Q114</f>
      </c>
      <c r="R128" s="24">
        <f>R121-R114</f>
      </c>
      <c r="S128" s="24">
        <f>S121-S114</f>
      </c>
      <c r="T128" s="24">
        <f>T121-T114</f>
      </c>
      <c r="U128" s="24">
        <f>U121-U114</f>
      </c>
      <c r="V128" s="24">
        <f>V121-V114</f>
      </c>
      <c r="W128" s="24">
        <f>W121-W114</f>
      </c>
      <c r="X128" s="24">
        <f>X121-X114</f>
      </c>
      <c r="Y128" s="24">
        <f>Y121-Y114</f>
      </c>
      <c r="Z128" s="24">
        <f>Z121-Z114</f>
      </c>
      <c r="AA128" s="24">
        <f>AA121-AA114</f>
      </c>
      <c r="AB128" s="24">
        <f>AB121-AB114</f>
      </c>
      <c r="AC128" s="24">
        <f>AC121-AC114</f>
      </c>
      <c r="AD128" s="24">
        <f>AD121-AD114</f>
      </c>
      <c r="AE128" s="24">
        <f>AE121-AE114</f>
      </c>
      <c r="AF128" s="24">
        <f>AF121-AF114</f>
      </c>
      <c r="AG128" s="24">
        <f>AG121-AG114</f>
      </c>
      <c r="AH128" s="24">
        <f>AH121-AH114</f>
      </c>
      <c r="AI128" s="24">
        <f>AI121-AI114</f>
      </c>
      <c r="AJ128" s="24">
        <f>AJ121-AJ114</f>
      </c>
      <c r="AK128" s="24">
        <f>AK121-AK114</f>
      </c>
      <c r="AL128" s="24">
        <f>AL121-AL114</f>
      </c>
      <c r="AM128" s="19"/>
    </row>
    <row r="129" ht="12.75" customHeight="1" spans="2:39" x14ac:dyDescent="0.25">
      <c r="B129" s="16"/>
      <c r="C129" s="17"/>
      <c r="D129" s="17" t="s">
        <v>44</v>
      </c>
      <c r="E129" s="17"/>
      <c r="F129" s="17"/>
      <c r="G129" s="24">
        <f>G122-G115</f>
      </c>
      <c r="H129" s="24">
        <f>H122-H115</f>
      </c>
      <c r="I129" s="24">
        <f>I122-I115</f>
      </c>
      <c r="J129" s="24">
        <f>J122-J115</f>
      </c>
      <c r="K129" s="24">
        <f>K122-K115</f>
      </c>
      <c r="L129" s="24">
        <f>L122-L115</f>
      </c>
      <c r="M129" s="24">
        <f>M122-M115</f>
      </c>
      <c r="N129" s="24">
        <f>N122-N115</f>
      </c>
      <c r="O129" s="24">
        <f>O122-O115</f>
      </c>
      <c r="P129" s="24">
        <f>P122-P115</f>
      </c>
      <c r="Q129" s="24">
        <f>Q122-Q115</f>
      </c>
      <c r="R129" s="24">
        <f>R122-R115</f>
      </c>
      <c r="S129" s="24">
        <f>S122-S115</f>
      </c>
      <c r="T129" s="24">
        <f>T122-T115</f>
      </c>
      <c r="U129" s="24">
        <f>U122-U115</f>
      </c>
      <c r="V129" s="24">
        <f>V122-V115</f>
      </c>
      <c r="W129" s="24">
        <f>W122-W115</f>
      </c>
      <c r="X129" s="24">
        <f>X122-X115</f>
      </c>
      <c r="Y129" s="24">
        <f>Y122-Y115</f>
      </c>
      <c r="Z129" s="24">
        <f>Z122-Z115</f>
      </c>
      <c r="AA129" s="24">
        <f>AA122-AA115</f>
      </c>
      <c r="AB129" s="24">
        <f>AB122-AB115</f>
      </c>
      <c r="AC129" s="24">
        <f>AC122-AC115</f>
      </c>
      <c r="AD129" s="24">
        <f>AD122-AD115</f>
      </c>
      <c r="AE129" s="24">
        <f>AE122-AE115</f>
      </c>
      <c r="AF129" s="24">
        <f>AF122-AF115</f>
      </c>
      <c r="AG129" s="24">
        <f>AG122-AG115</f>
      </c>
      <c r="AH129" s="24">
        <f>AH122-AH115</f>
      </c>
      <c r="AI129" s="24">
        <f>AI122-AI115</f>
      </c>
      <c r="AJ129" s="24">
        <f>AJ122-AJ115</f>
      </c>
      <c r="AK129" s="24">
        <f>AK122-AK115</f>
      </c>
      <c r="AL129" s="24">
        <f>AL122-AL115</f>
      </c>
      <c r="AM129" s="19"/>
    </row>
    <row r="130" ht="12.75" customHeight="1" spans="2:39" x14ac:dyDescent="0.25">
      <c r="B130" s="20"/>
      <c r="C130" s="21"/>
      <c r="D130" s="21" t="s">
        <v>45</v>
      </c>
      <c r="E130" s="21"/>
      <c r="F130" s="21"/>
      <c r="G130" s="25">
        <f>G126+G127+G128+G129</f>
      </c>
      <c r="H130" s="25">
        <f>H126+H127+H128+H129</f>
      </c>
      <c r="I130" s="25">
        <f>I126+I127+I128+I129</f>
      </c>
      <c r="J130" s="25">
        <f>J126+J127+J128+J129</f>
      </c>
      <c r="K130" s="25">
        <f>K126+K127+K128+K129</f>
      </c>
      <c r="L130" s="25">
        <f>L126+L127+L128+L129</f>
      </c>
      <c r="M130" s="25">
        <f>M126+M127+M128+M129</f>
      </c>
      <c r="N130" s="25">
        <f>N126+N127+N128+N129</f>
      </c>
      <c r="O130" s="25">
        <f>O126+O127+O128+O129</f>
      </c>
      <c r="P130" s="25">
        <f>P126+P127+P128+P129</f>
      </c>
      <c r="Q130" s="25">
        <f>Q126+Q127+Q128+Q129</f>
      </c>
      <c r="R130" s="25">
        <f>R126+R127+R128+R129</f>
      </c>
      <c r="S130" s="25">
        <f>S126+S127+S128+S129</f>
      </c>
      <c r="T130" s="25">
        <f>T126+T127+T128+T129</f>
      </c>
      <c r="U130" s="25">
        <f>U126+U127+U128+U129</f>
      </c>
      <c r="V130" s="25">
        <f>V126+V127+V128+V129</f>
      </c>
      <c r="W130" s="25">
        <f>W126+W127+W128+W129</f>
      </c>
      <c r="X130" s="25">
        <f>X126+X127+X128+X129</f>
      </c>
      <c r="Y130" s="25">
        <f>Y126+Y127+Y128+Y129</f>
      </c>
      <c r="Z130" s="25">
        <f>Z126+Z127+Z128+Z129</f>
      </c>
      <c r="AA130" s="25">
        <f>AA126+AA127+AA128+AA129</f>
      </c>
      <c r="AB130" s="25">
        <f>AB126+AB127+AB128+AB129</f>
      </c>
      <c r="AC130" s="25">
        <f>AC126+AC127+AC128+AC129</f>
      </c>
      <c r="AD130" s="25">
        <f>AD126+AD127+AD128+AD129</f>
      </c>
      <c r="AE130" s="25">
        <f>AE126+AE127+AE128+AE129</f>
      </c>
      <c r="AF130" s="25">
        <f>AF126+AF127+AF128+AF129</f>
      </c>
      <c r="AG130" s="25">
        <f>AG126+AG127+AG128+AG129</f>
      </c>
      <c r="AH130" s="25">
        <f>AH126+AH127+AH128+AH129</f>
      </c>
      <c r="AI130" s="25">
        <f>AI126+AI127+AI128+AI129</f>
      </c>
      <c r="AJ130" s="25">
        <f>AJ126+AJ127+AJ128+AJ129</f>
      </c>
      <c r="AK130" s="25">
        <f>AK126+AK127+AK128+AK129</f>
      </c>
      <c r="AL130" s="25">
        <f>AL126+AL127+AL128+AL129</f>
      </c>
      <c r="AM13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241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2223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2224</v>
      </c>
      <c r="E9" s="32"/>
      <c r="F9" s="32"/>
      <c r="G9" s="32"/>
      <c r="H9" s="32"/>
      <c r="I9" s="32"/>
      <c r="J9" s="32"/>
      <c r="K9" s="32"/>
      <c r="L9" s="32"/>
      <c r="M9" s="33">
        <v>0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>
        <v>889.51</v>
      </c>
      <c r="AA9" s="32"/>
      <c r="AB9" s="32"/>
      <c r="AC9" s="32"/>
      <c r="AD9" s="36">
        <f>1226.61+476.11</f>
        <v>1702.7199999999998</v>
      </c>
      <c r="AE9" s="36">
        <f>916.48+814.01+919.54</f>
        <v>2650.0299999999997</v>
      </c>
      <c r="AF9" s="36">
        <f>105.99+839.54+1036.62+899.19+803.75+159.74+778.90</f>
        <v>4623.73</v>
      </c>
      <c r="AG9" s="36">
        <f>111.98+835.00+901.97+919.79+958.40+1008.01+1113.27</f>
        <v>5848.42</v>
      </c>
      <c r="AH9" s="36">
        <f>783.27+849.07+841.09+122.02</f>
        <v>2595.4500000000003</v>
      </c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2225</v>
      </c>
      <c r="E14" s="32"/>
      <c r="F14" s="32"/>
      <c r="G14" s="32"/>
      <c r="H14" s="33">
        <v>127.04</v>
      </c>
      <c r="I14" s="33">
        <v>103.64</v>
      </c>
      <c r="J14" s="33">
        <v>132.74</v>
      </c>
      <c r="K14" s="33">
        <v>137.75</v>
      </c>
      <c r="L14" s="33">
        <v>121.33</v>
      </c>
      <c r="M14" s="33">
        <v>101.17</v>
      </c>
      <c r="N14" s="33">
        <v>87.98</v>
      </c>
      <c r="O14" s="33">
        <v>67.21</v>
      </c>
      <c r="P14" s="33">
        <v>68.06</v>
      </c>
      <c r="Q14" s="33">
        <v>33.98</v>
      </c>
      <c r="R14" s="33">
        <v>34.7</v>
      </c>
      <c r="S14" s="33">
        <v>35.4</v>
      </c>
      <c r="T14" s="33">
        <v>110.3</v>
      </c>
      <c r="U14" s="33">
        <v>103.93</v>
      </c>
      <c r="V14" s="33">
        <v>132.29</v>
      </c>
      <c r="W14" s="33">
        <v>139.32</v>
      </c>
      <c r="X14" s="33">
        <v>160.66</v>
      </c>
      <c r="Y14" s="33">
        <v>26.85</v>
      </c>
      <c r="Z14" s="33">
        <v>26.85</v>
      </c>
      <c r="AA14" s="33">
        <v>26.85</v>
      </c>
      <c r="AB14" s="33">
        <v>26.85</v>
      </c>
      <c r="AC14" s="33">
        <v>26.87</v>
      </c>
      <c r="AD14" s="33">
        <v>27.29</v>
      </c>
      <c r="AE14" s="33">
        <v>114.86</v>
      </c>
      <c r="AF14" s="33">
        <v>115.94</v>
      </c>
      <c r="AG14" s="33">
        <v>103.42</v>
      </c>
      <c r="AH14" s="33">
        <v>93.63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2226</v>
      </c>
      <c r="E15" s="32"/>
      <c r="F15" s="32"/>
      <c r="G15" s="32"/>
      <c r="H15" s="33">
        <v>76.35</v>
      </c>
      <c r="I15" s="33">
        <v>54.91</v>
      </c>
      <c r="J15" s="33">
        <v>117.07</v>
      </c>
      <c r="K15" s="33">
        <v>83</v>
      </c>
      <c r="L15" s="33">
        <v>85.08</v>
      </c>
      <c r="M15" s="33">
        <v>36.84</v>
      </c>
      <c r="N15" s="33">
        <v>31.51</v>
      </c>
      <c r="O15" s="33">
        <v>28.41</v>
      </c>
      <c r="P15" s="33">
        <v>68.64</v>
      </c>
      <c r="Q15" s="33">
        <v>101.52</v>
      </c>
      <c r="R15" s="33">
        <v>84.03</v>
      </c>
      <c r="S15" s="33">
        <v>68.06</v>
      </c>
      <c r="T15" s="33">
        <v>51.44</v>
      </c>
      <c r="U15" s="33">
        <v>107.86</v>
      </c>
      <c r="V15" s="33">
        <v>96.4</v>
      </c>
      <c r="W15" s="33">
        <v>85.98</v>
      </c>
      <c r="X15" s="33">
        <v>128.79</v>
      </c>
      <c r="Y15" s="33">
        <v>28.76</v>
      </c>
      <c r="Z15" s="33">
        <v>26.85</v>
      </c>
      <c r="AA15" s="33">
        <v>60.39</v>
      </c>
      <c r="AB15" s="33">
        <v>26.85</v>
      </c>
      <c r="AC15" s="33">
        <v>26.87</v>
      </c>
      <c r="AD15" s="33">
        <v>26.87</v>
      </c>
      <c r="AE15" s="33">
        <v>71.25</v>
      </c>
      <c r="AF15" s="33">
        <v>81.82</v>
      </c>
      <c r="AG15" s="33">
        <v>129.66</v>
      </c>
      <c r="AH15" s="33">
        <v>112.95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2227</v>
      </c>
      <c r="E16" s="32"/>
      <c r="F16" s="32"/>
      <c r="G16" s="32"/>
      <c r="H16" s="33">
        <v>26.85</v>
      </c>
      <c r="I16" s="33">
        <v>26.85</v>
      </c>
      <c r="J16" s="33">
        <v>26.85</v>
      </c>
      <c r="K16" s="33">
        <v>26.85</v>
      </c>
      <c r="L16" s="33">
        <v>26.85</v>
      </c>
      <c r="M16" s="33">
        <v>26.85</v>
      </c>
      <c r="N16" s="33">
        <v>26.85</v>
      </c>
      <c r="O16" s="33">
        <v>26.85</v>
      </c>
      <c r="P16" s="33">
        <v>26.85</v>
      </c>
      <c r="Q16" s="33">
        <v>26.85</v>
      </c>
      <c r="R16" s="33">
        <v>26.85</v>
      </c>
      <c r="S16" s="33">
        <v>26.85</v>
      </c>
      <c r="T16" s="33">
        <v>26.85</v>
      </c>
      <c r="U16" s="33">
        <v>26.85</v>
      </c>
      <c r="V16" s="33">
        <v>26.85</v>
      </c>
      <c r="W16" s="33">
        <v>26.85</v>
      </c>
      <c r="X16" s="33">
        <v>26.85</v>
      </c>
      <c r="Y16" s="33">
        <v>26.85</v>
      </c>
      <c r="Z16" s="33">
        <v>26.85</v>
      </c>
      <c r="AA16" s="33">
        <v>26.85</v>
      </c>
      <c r="AB16" s="33">
        <v>26.85</v>
      </c>
      <c r="AC16" s="33">
        <v>26.87</v>
      </c>
      <c r="AD16" s="33">
        <v>26.87</v>
      </c>
      <c r="AE16" s="33">
        <v>26.87</v>
      </c>
      <c r="AF16" s="33">
        <v>32.25</v>
      </c>
      <c r="AG16" s="33">
        <v>32.25</v>
      </c>
      <c r="AH16" s="33">
        <v>32.19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2228</v>
      </c>
      <c r="E17" s="32"/>
      <c r="F17" s="32"/>
      <c r="G17" s="32"/>
      <c r="H17" s="33">
        <v>47.69</v>
      </c>
      <c r="I17" s="33">
        <v>67.8</v>
      </c>
      <c r="J17" s="33">
        <v>81.76</v>
      </c>
      <c r="K17" s="33">
        <v>105.7</v>
      </c>
      <c r="L17" s="33">
        <v>103.72</v>
      </c>
      <c r="M17" s="33">
        <v>51.17</v>
      </c>
      <c r="N17" s="33">
        <v>45.22</v>
      </c>
      <c r="O17" s="33">
        <v>64.91</v>
      </c>
      <c r="P17" s="33">
        <v>51.76</v>
      </c>
      <c r="Q17" s="33">
        <v>44.76</v>
      </c>
      <c r="R17" s="33">
        <v>36.94</v>
      </c>
      <c r="S17" s="33">
        <v>94.52</v>
      </c>
      <c r="T17" s="33">
        <v>43.13</v>
      </c>
      <c r="U17" s="33">
        <v>76.11</v>
      </c>
      <c r="V17" s="33">
        <v>90.95</v>
      </c>
      <c r="W17" s="33">
        <v>96.4</v>
      </c>
      <c r="X17" s="33">
        <v>104.21</v>
      </c>
      <c r="Y17" s="33">
        <v>49.32</v>
      </c>
      <c r="Z17" s="33">
        <v>47.37</v>
      </c>
      <c r="AA17" s="33">
        <v>61.69</v>
      </c>
      <c r="AB17" s="33">
        <v>54.79</v>
      </c>
      <c r="AC17" s="33">
        <v>45.09</v>
      </c>
      <c r="AD17" s="33">
        <v>44.55</v>
      </c>
      <c r="AE17" s="33">
        <v>81.51</v>
      </c>
      <c r="AF17" s="33">
        <v>49.26</v>
      </c>
      <c r="AG17" s="33">
        <v>81.55</v>
      </c>
      <c r="AH17" s="33">
        <v>87.16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2229</v>
      </c>
      <c r="E18" s="32"/>
      <c r="F18" s="32"/>
      <c r="G18" s="32"/>
      <c r="H18" s="33">
        <v>87.02</v>
      </c>
      <c r="I18" s="33">
        <v>93.63</v>
      </c>
      <c r="J18" s="33">
        <v>109.42</v>
      </c>
      <c r="K18" s="33">
        <v>77.42</v>
      </c>
      <c r="L18" s="33">
        <v>85.08</v>
      </c>
      <c r="M18" s="33">
        <v>111.54</v>
      </c>
      <c r="N18" s="33">
        <v>26.85</v>
      </c>
      <c r="O18" s="33">
        <v>26.85</v>
      </c>
      <c r="P18" s="33">
        <v>26.85</v>
      </c>
      <c r="Q18" s="33">
        <v>26.85</v>
      </c>
      <c r="R18" s="33">
        <v>45.33</v>
      </c>
      <c r="S18" s="33">
        <v>33.87</v>
      </c>
      <c r="T18" s="33">
        <v>26.85</v>
      </c>
      <c r="U18" s="33">
        <v>35.87</v>
      </c>
      <c r="V18" s="33">
        <v>118.64</v>
      </c>
      <c r="W18" s="33">
        <v>93.52</v>
      </c>
      <c r="X18" s="33">
        <v>127.07</v>
      </c>
      <c r="Y18" s="33">
        <v>186.73</v>
      </c>
      <c r="Z18" s="33">
        <v>167.03</v>
      </c>
      <c r="AA18" s="33">
        <v>158.99</v>
      </c>
      <c r="AB18" s="33">
        <v>93.16</v>
      </c>
      <c r="AC18" s="33">
        <v>81.39</v>
      </c>
      <c r="AD18" s="33">
        <v>72.29</v>
      </c>
      <c r="AE18" s="33">
        <v>134.22</v>
      </c>
      <c r="AF18" s="33">
        <v>137.15</v>
      </c>
      <c r="AG18" s="33">
        <v>111.05</v>
      </c>
      <c r="AH18" s="33">
        <v>136.89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2230</v>
      </c>
      <c r="E19" s="32"/>
      <c r="F19" s="32"/>
      <c r="G19" s="32"/>
      <c r="H19" s="33">
        <v>94.93</v>
      </c>
      <c r="I19" s="33">
        <v>109.17</v>
      </c>
      <c r="J19" s="33">
        <v>111.67</v>
      </c>
      <c r="K19" s="33">
        <v>123.62</v>
      </c>
      <c r="L19" s="33">
        <v>125.74</v>
      </c>
      <c r="M19" s="33">
        <v>168.89</v>
      </c>
      <c r="N19" s="33">
        <v>126.57</v>
      </c>
      <c r="O19" s="33">
        <v>26.85</v>
      </c>
      <c r="P19" s="33">
        <v>26.85</v>
      </c>
      <c r="Q19" s="33">
        <v>26.85</v>
      </c>
      <c r="R19" s="33">
        <v>26.85</v>
      </c>
      <c r="S19" s="33">
        <v>57.79</v>
      </c>
      <c r="T19" s="33">
        <v>107.18</v>
      </c>
      <c r="U19" s="33">
        <v>87.69</v>
      </c>
      <c r="V19" s="33">
        <v>116.93</v>
      </c>
      <c r="W19" s="33">
        <v>30.08</v>
      </c>
      <c r="X19" s="33">
        <v>26.85</v>
      </c>
      <c r="Y19" s="33">
        <v>26.85</v>
      </c>
      <c r="Z19" s="33">
        <v>26.85</v>
      </c>
      <c r="AA19" s="33">
        <v>26.85</v>
      </c>
      <c r="AB19" s="33">
        <v>26.85</v>
      </c>
      <c r="AC19" s="33">
        <v>26.87</v>
      </c>
      <c r="AD19" s="33">
        <v>26.87</v>
      </c>
      <c r="AE19" s="33">
        <v>26.87</v>
      </c>
      <c r="AF19" s="33">
        <v>35.56</v>
      </c>
      <c r="AG19" s="33">
        <v>39.9</v>
      </c>
      <c r="AH19" s="33">
        <v>34.55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2231</v>
      </c>
      <c r="E20" s="32"/>
      <c r="F20" s="32"/>
      <c r="G20" s="32"/>
      <c r="H20" s="33">
        <v>93.62</v>
      </c>
      <c r="I20" s="33">
        <v>83.86</v>
      </c>
      <c r="J20" s="33">
        <v>91.12</v>
      </c>
      <c r="K20" s="33">
        <v>101.83</v>
      </c>
      <c r="L20" s="33">
        <v>53.62</v>
      </c>
      <c r="M20" s="33">
        <v>26.85</v>
      </c>
      <c r="N20" s="33">
        <v>77.17</v>
      </c>
      <c r="O20" s="33">
        <v>26.85</v>
      </c>
      <c r="P20" s="33">
        <v>26.85</v>
      </c>
      <c r="Q20" s="33">
        <v>26.85</v>
      </c>
      <c r="R20" s="33">
        <v>28.29</v>
      </c>
      <c r="S20" s="33">
        <v>76.57</v>
      </c>
      <c r="T20" s="33">
        <v>114.71</v>
      </c>
      <c r="U20" s="33">
        <v>121.37</v>
      </c>
      <c r="V20" s="33">
        <v>102.39</v>
      </c>
      <c r="W20" s="33">
        <v>121.24</v>
      </c>
      <c r="X20" s="33">
        <v>49.46</v>
      </c>
      <c r="Y20" s="33">
        <v>26.85</v>
      </c>
      <c r="Z20" s="33">
        <v>26.85</v>
      </c>
      <c r="AA20" s="33">
        <v>26.85</v>
      </c>
      <c r="AB20" s="33">
        <v>29.22</v>
      </c>
      <c r="AC20" s="33">
        <v>38.7</v>
      </c>
      <c r="AD20" s="33">
        <v>26.87</v>
      </c>
      <c r="AE20" s="33">
        <v>66.29</v>
      </c>
      <c r="AF20" s="33">
        <v>125.83</v>
      </c>
      <c r="AG20" s="33">
        <v>125.42</v>
      </c>
      <c r="AH20" s="33">
        <v>114.41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2232</v>
      </c>
      <c r="E21" s="32"/>
      <c r="F21" s="32"/>
      <c r="G21" s="32"/>
      <c r="H21" s="33">
        <v>92.69</v>
      </c>
      <c r="I21" s="33">
        <v>96.01</v>
      </c>
      <c r="J21" s="33">
        <v>116.53</v>
      </c>
      <c r="K21" s="33">
        <v>100.95</v>
      </c>
      <c r="L21" s="33">
        <v>101.17</v>
      </c>
      <c r="M21" s="33">
        <v>26.85</v>
      </c>
      <c r="N21" s="33">
        <v>26.85</v>
      </c>
      <c r="O21" s="33">
        <v>61.69</v>
      </c>
      <c r="P21" s="33">
        <v>78.21</v>
      </c>
      <c r="Q21" s="33">
        <v>26.85</v>
      </c>
      <c r="R21" s="33">
        <v>27.64</v>
      </c>
      <c r="S21" s="33">
        <v>114.09</v>
      </c>
      <c r="T21" s="33">
        <v>105.9</v>
      </c>
      <c r="U21" s="33">
        <v>128.13</v>
      </c>
      <c r="V21" s="33">
        <v>100.56</v>
      </c>
      <c r="W21" s="33">
        <v>112.65</v>
      </c>
      <c r="X21" s="33">
        <v>122.27</v>
      </c>
      <c r="Y21" s="33">
        <v>46.34</v>
      </c>
      <c r="Z21" s="33">
        <v>50.24</v>
      </c>
      <c r="AA21" s="33">
        <v>39.43</v>
      </c>
      <c r="AB21" s="33">
        <v>32.2</v>
      </c>
      <c r="AC21" s="33">
        <v>26.87</v>
      </c>
      <c r="AD21" s="33">
        <v>29.35</v>
      </c>
      <c r="AE21" s="33">
        <v>113.81</v>
      </c>
      <c r="AF21" s="33">
        <v>120.55</v>
      </c>
      <c r="AG21" s="33">
        <v>128.97</v>
      </c>
      <c r="AH21" s="33">
        <v>134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2233</v>
      </c>
      <c r="E22" s="32"/>
      <c r="F22" s="32"/>
      <c r="G22" s="32"/>
      <c r="H22" s="33">
        <v>26.85</v>
      </c>
      <c r="I22" s="33">
        <v>55.96</v>
      </c>
      <c r="J22" s="33">
        <v>66.62</v>
      </c>
      <c r="K22" s="33">
        <v>91.25</v>
      </c>
      <c r="L22" s="33">
        <v>29.96</v>
      </c>
      <c r="M22" s="33">
        <v>26.85</v>
      </c>
      <c r="N22" s="33">
        <v>26.85</v>
      </c>
      <c r="O22" s="33">
        <v>26.85</v>
      </c>
      <c r="P22" s="33">
        <v>26.85</v>
      </c>
      <c r="Q22" s="33">
        <v>26.85</v>
      </c>
      <c r="R22" s="33">
        <v>26.85</v>
      </c>
      <c r="S22" s="33">
        <v>26.85</v>
      </c>
      <c r="T22" s="33">
        <v>61.84</v>
      </c>
      <c r="U22" s="33">
        <v>126.06</v>
      </c>
      <c r="V22" s="33">
        <v>146.27</v>
      </c>
      <c r="W22" s="33">
        <v>170.82</v>
      </c>
      <c r="X22" s="33">
        <v>115.51</v>
      </c>
      <c r="Y22" s="33">
        <v>127.35</v>
      </c>
      <c r="Z22" s="33">
        <v>100.83</v>
      </c>
      <c r="AA22" s="33">
        <v>26.85</v>
      </c>
      <c r="AB22" s="33">
        <v>26.85</v>
      </c>
      <c r="AC22" s="33">
        <v>26.87</v>
      </c>
      <c r="AD22" s="33">
        <v>26.87</v>
      </c>
      <c r="AE22" s="33">
        <v>32.9</v>
      </c>
      <c r="AF22" s="33">
        <v>42.49</v>
      </c>
      <c r="AG22" s="33">
        <v>74.18</v>
      </c>
      <c r="AH22" s="33">
        <v>75.86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2234</v>
      </c>
      <c r="E23" s="32"/>
      <c r="F23" s="32"/>
      <c r="G23" s="32"/>
      <c r="H23" s="33">
        <v>78.75</v>
      </c>
      <c r="I23" s="33">
        <v>71.1</v>
      </c>
      <c r="J23" s="33">
        <v>80.05</v>
      </c>
      <c r="K23" s="33">
        <v>100.71</v>
      </c>
      <c r="L23" s="33">
        <v>62.81</v>
      </c>
      <c r="M23" s="33">
        <v>55.81</v>
      </c>
      <c r="N23" s="33">
        <v>232.25</v>
      </c>
      <c r="O23" s="33">
        <v>158.85</v>
      </c>
      <c r="P23" s="33">
        <v>206.03</v>
      </c>
      <c r="Q23" s="33">
        <v>252.51</v>
      </c>
      <c r="R23" s="33">
        <v>59.08</v>
      </c>
      <c r="S23" s="33">
        <v>27.16</v>
      </c>
      <c r="T23" s="33">
        <v>62.61</v>
      </c>
      <c r="U23" s="33">
        <v>95.22</v>
      </c>
      <c r="V23" s="33">
        <v>68.95</v>
      </c>
      <c r="W23" s="33">
        <v>80.27</v>
      </c>
      <c r="X23" s="33">
        <v>41.52</v>
      </c>
      <c r="Y23" s="33">
        <v>26.85</v>
      </c>
      <c r="Z23" s="33">
        <v>39.43</v>
      </c>
      <c r="AA23" s="33">
        <v>51.28</v>
      </c>
      <c r="AB23" s="33">
        <v>35.08</v>
      </c>
      <c r="AC23" s="33">
        <v>26.87</v>
      </c>
      <c r="AD23" s="33">
        <v>26.87</v>
      </c>
      <c r="AE23" s="33">
        <v>27.25</v>
      </c>
      <c r="AF23" s="33">
        <v>76.67</v>
      </c>
      <c r="AG23" s="33">
        <v>94.21</v>
      </c>
      <c r="AH23" s="33">
        <v>88.09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2235</v>
      </c>
      <c r="E24" s="32"/>
      <c r="F24" s="32"/>
      <c r="G24" s="32"/>
      <c r="H24" s="33">
        <v>50.57</v>
      </c>
      <c r="I24" s="33">
        <v>36.39</v>
      </c>
      <c r="J24" s="33">
        <v>43.45</v>
      </c>
      <c r="K24" s="33">
        <v>57.6</v>
      </c>
      <c r="L24" s="33">
        <v>110.24</v>
      </c>
      <c r="M24" s="33">
        <v>26.85</v>
      </c>
      <c r="N24" s="33">
        <v>29.63</v>
      </c>
      <c r="O24" s="33">
        <v>26.85</v>
      </c>
      <c r="P24" s="33">
        <v>26.85</v>
      </c>
      <c r="Q24" s="33">
        <v>26.85</v>
      </c>
      <c r="R24" s="33">
        <v>30.73</v>
      </c>
      <c r="S24" s="33">
        <v>67.01</v>
      </c>
      <c r="T24" s="33">
        <v>60.29</v>
      </c>
      <c r="U24" s="33">
        <v>36.08</v>
      </c>
      <c r="V24" s="33">
        <v>54.4</v>
      </c>
      <c r="W24" s="33">
        <v>69.5</v>
      </c>
      <c r="X24" s="33">
        <v>26.85</v>
      </c>
      <c r="Y24" s="33">
        <v>29.83</v>
      </c>
      <c r="Z24" s="33">
        <v>26.85</v>
      </c>
      <c r="AA24" s="33">
        <v>26.85</v>
      </c>
      <c r="AB24" s="33">
        <v>32.8</v>
      </c>
      <c r="AC24" s="33">
        <v>42.1</v>
      </c>
      <c r="AD24" s="33">
        <v>26.87</v>
      </c>
      <c r="AE24" s="33">
        <v>79.96</v>
      </c>
      <c r="AF24" s="33">
        <v>76.01</v>
      </c>
      <c r="AG24" s="33">
        <v>43.64</v>
      </c>
      <c r="AH24" s="33">
        <v>74.29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2236</v>
      </c>
      <c r="E25" s="32"/>
      <c r="F25" s="32"/>
      <c r="G25" s="32"/>
      <c r="H25" s="33">
        <v>138.99</v>
      </c>
      <c r="I25" s="33">
        <v>131.55</v>
      </c>
      <c r="J25" s="33">
        <v>127.59</v>
      </c>
      <c r="K25" s="33">
        <v>137.47</v>
      </c>
      <c r="L25" s="33">
        <v>136.73</v>
      </c>
      <c r="M25" s="33">
        <v>26.85</v>
      </c>
      <c r="N25" s="33">
        <v>27.21</v>
      </c>
      <c r="O25" s="33">
        <v>26.85</v>
      </c>
      <c r="P25" s="33">
        <v>26.97</v>
      </c>
      <c r="Q25" s="33">
        <v>26.92</v>
      </c>
      <c r="R25" s="33">
        <v>74.57</v>
      </c>
      <c r="S25" s="33">
        <v>176.76</v>
      </c>
      <c r="T25" s="33">
        <v>150.04</v>
      </c>
      <c r="U25" s="33">
        <v>175.68</v>
      </c>
      <c r="V25" s="33">
        <v>147.16</v>
      </c>
      <c r="W25" s="33">
        <v>159.76</v>
      </c>
      <c r="X25" s="33">
        <v>196.14</v>
      </c>
      <c r="Y25" s="33">
        <v>34.55</v>
      </c>
      <c r="Z25" s="33">
        <v>27.48</v>
      </c>
      <c r="AA25" s="33">
        <v>27.55</v>
      </c>
      <c r="AB25" s="33">
        <v>27.48</v>
      </c>
      <c r="AC25" s="33">
        <v>27.39</v>
      </c>
      <c r="AD25" s="33">
        <v>68.64</v>
      </c>
      <c r="AE25" s="33">
        <v>151.11</v>
      </c>
      <c r="AF25" s="33">
        <v>176.2</v>
      </c>
      <c r="AG25" s="33">
        <v>189.53</v>
      </c>
      <c r="AH25" s="33">
        <v>166.37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2237</v>
      </c>
      <c r="E26" s="32"/>
      <c r="F26" s="32"/>
      <c r="G26" s="32"/>
      <c r="H26" s="33">
        <v>80.04</v>
      </c>
      <c r="I26" s="33">
        <v>97.7</v>
      </c>
      <c r="J26" s="33">
        <v>119.32</v>
      </c>
      <c r="K26" s="33">
        <v>141.27</v>
      </c>
      <c r="L26" s="33">
        <v>115.02</v>
      </c>
      <c r="M26" s="33">
        <v>131.61</v>
      </c>
      <c r="N26" s="33">
        <v>27.05</v>
      </c>
      <c r="O26" s="33">
        <v>27.23</v>
      </c>
      <c r="P26" s="33">
        <v>27.16</v>
      </c>
      <c r="Q26" s="33">
        <v>27.09</v>
      </c>
      <c r="R26" s="33">
        <v>26.97</v>
      </c>
      <c r="S26" s="33">
        <v>73.41</v>
      </c>
      <c r="T26" s="33">
        <v>80.42</v>
      </c>
      <c r="U26" s="33">
        <v>110.56</v>
      </c>
      <c r="V26" s="33">
        <v>117.2</v>
      </c>
      <c r="W26" s="33">
        <v>132.79</v>
      </c>
      <c r="X26" s="33">
        <v>162.63</v>
      </c>
      <c r="Y26" s="33">
        <v>115.24</v>
      </c>
      <c r="Z26" s="33">
        <v>26.85</v>
      </c>
      <c r="AA26" s="33">
        <v>26.85</v>
      </c>
      <c r="AB26" s="33">
        <v>26.85</v>
      </c>
      <c r="AC26" s="33">
        <v>26.87</v>
      </c>
      <c r="AD26" s="33">
        <v>26.87</v>
      </c>
      <c r="AE26" s="33">
        <v>26.87</v>
      </c>
      <c r="AF26" s="33">
        <v>84.31</v>
      </c>
      <c r="AG26" s="33">
        <v>109.46</v>
      </c>
      <c r="AH26" s="33">
        <v>85.84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2238</v>
      </c>
      <c r="E27" s="32"/>
      <c r="F27" s="32"/>
      <c r="G27" s="32"/>
      <c r="H27" s="33">
        <v>72.15</v>
      </c>
      <c r="I27" s="33">
        <v>112.99</v>
      </c>
      <c r="J27" s="33">
        <v>106.14</v>
      </c>
      <c r="K27" s="33">
        <v>61.97</v>
      </c>
      <c r="L27" s="33">
        <v>227.81</v>
      </c>
      <c r="M27" s="33">
        <v>26.85</v>
      </c>
      <c r="N27" s="33">
        <v>26.85</v>
      </c>
      <c r="O27" s="33">
        <v>26.85</v>
      </c>
      <c r="P27" s="33">
        <v>26.85</v>
      </c>
      <c r="Q27" s="33">
        <v>26.85</v>
      </c>
      <c r="R27" s="33">
        <v>26.85</v>
      </c>
      <c r="S27" s="33">
        <v>26.85</v>
      </c>
      <c r="T27" s="33">
        <v>37.38</v>
      </c>
      <c r="U27" s="33">
        <v>118.49</v>
      </c>
      <c r="V27" s="33">
        <v>150.21</v>
      </c>
      <c r="W27" s="33">
        <v>136.71</v>
      </c>
      <c r="X27" s="33">
        <v>212.79</v>
      </c>
      <c r="Y27" s="33">
        <v>257.98</v>
      </c>
      <c r="Z27" s="33">
        <v>26.85</v>
      </c>
      <c r="AA27" s="33">
        <v>26.85</v>
      </c>
      <c r="AB27" s="33">
        <v>26.85</v>
      </c>
      <c r="AC27" s="33">
        <v>26.87</v>
      </c>
      <c r="AD27" s="33">
        <v>26.87</v>
      </c>
      <c r="AE27" s="33">
        <v>26.87</v>
      </c>
      <c r="AF27" s="33">
        <v>66.27</v>
      </c>
      <c r="AG27" s="33">
        <v>98.93</v>
      </c>
      <c r="AH27" s="33">
        <v>90.47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2239</v>
      </c>
      <c r="E28" s="32"/>
      <c r="F28" s="32"/>
      <c r="G28" s="32"/>
      <c r="H28" s="33">
        <v>112.69</v>
      </c>
      <c r="I28" s="33">
        <v>109.31</v>
      </c>
      <c r="J28" s="33">
        <v>121.93</v>
      </c>
      <c r="K28" s="33">
        <v>138.79</v>
      </c>
      <c r="L28" s="33">
        <v>87.41</v>
      </c>
      <c r="M28" s="33">
        <v>26.85</v>
      </c>
      <c r="N28" s="33">
        <v>26.85</v>
      </c>
      <c r="O28" s="33">
        <v>26.85</v>
      </c>
      <c r="P28" s="33">
        <v>26.85</v>
      </c>
      <c r="Q28" s="33">
        <v>26.85</v>
      </c>
      <c r="R28" s="33">
        <v>26.85</v>
      </c>
      <c r="S28" s="33">
        <v>57.45</v>
      </c>
      <c r="T28" s="33">
        <v>45.73</v>
      </c>
      <c r="U28" s="33">
        <v>59.09</v>
      </c>
      <c r="V28" s="33">
        <v>74.68</v>
      </c>
      <c r="W28" s="33">
        <v>81.96</v>
      </c>
      <c r="X28" s="33">
        <v>95.64</v>
      </c>
      <c r="Y28" s="33">
        <v>26.85</v>
      </c>
      <c r="Z28" s="33">
        <v>26.85</v>
      </c>
      <c r="AA28" s="33">
        <v>26.85</v>
      </c>
      <c r="AB28" s="33">
        <v>26.85</v>
      </c>
      <c r="AC28" s="33">
        <v>26.87</v>
      </c>
      <c r="AD28" s="33">
        <v>26.87</v>
      </c>
      <c r="AE28" s="33">
        <v>29.7</v>
      </c>
      <c r="AF28" s="33">
        <v>40.18</v>
      </c>
      <c r="AG28" s="33">
        <v>91.84</v>
      </c>
      <c r="AH28" s="33">
        <v>116.78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2240</v>
      </c>
      <c r="E29" s="32"/>
      <c r="F29" s="32"/>
      <c r="G29" s="32"/>
      <c r="H29" s="33">
        <v>40.6</v>
      </c>
      <c r="I29" s="33">
        <v>44.24</v>
      </c>
      <c r="J29" s="33">
        <v>58.06</v>
      </c>
      <c r="K29" s="33">
        <v>66.57</v>
      </c>
      <c r="L29" s="33">
        <v>31.78</v>
      </c>
      <c r="M29" s="33">
        <v>26.85</v>
      </c>
      <c r="N29" s="33">
        <v>26.85</v>
      </c>
      <c r="O29" s="33">
        <v>26.85</v>
      </c>
      <c r="P29" s="33">
        <v>26.85</v>
      </c>
      <c r="Q29" s="33">
        <v>26.85</v>
      </c>
      <c r="R29" s="33">
        <v>28.77</v>
      </c>
      <c r="S29" s="33">
        <v>109.66</v>
      </c>
      <c r="T29" s="33">
        <v>103.93</v>
      </c>
      <c r="U29" s="33">
        <v>112.78</v>
      </c>
      <c r="V29" s="33">
        <v>106.67</v>
      </c>
      <c r="W29" s="33">
        <v>114.2</v>
      </c>
      <c r="X29" s="33">
        <v>150.82</v>
      </c>
      <c r="Y29" s="33">
        <v>49.19</v>
      </c>
      <c r="Z29" s="33">
        <v>26.85</v>
      </c>
      <c r="AA29" s="33">
        <v>26.85</v>
      </c>
      <c r="AB29" s="33">
        <v>26.85</v>
      </c>
      <c r="AC29" s="33">
        <v>26.87</v>
      </c>
      <c r="AD29" s="33">
        <v>26.87</v>
      </c>
      <c r="AE29" s="33">
        <v>42.47</v>
      </c>
      <c r="AF29" s="33">
        <v>129.92</v>
      </c>
      <c r="AG29" s="33">
        <v>134.79</v>
      </c>
      <c r="AH29" s="33">
        <v>127.45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2241</v>
      </c>
      <c r="E30" s="32"/>
      <c r="F30" s="32"/>
      <c r="G30" s="32"/>
      <c r="H30" s="33">
        <v>70.34</v>
      </c>
      <c r="I30" s="33">
        <v>72.43</v>
      </c>
      <c r="J30" s="33">
        <v>135.64</v>
      </c>
      <c r="K30" s="33">
        <v>272.55</v>
      </c>
      <c r="L30" s="33">
        <v>280.13</v>
      </c>
      <c r="M30" s="33">
        <v>441.3</v>
      </c>
      <c r="N30" s="33">
        <v>383.5</v>
      </c>
      <c r="O30" s="33">
        <v>324.02</v>
      </c>
      <c r="P30" s="33">
        <v>399.09</v>
      </c>
      <c r="Q30" s="33">
        <v>325.94</v>
      </c>
      <c r="R30" s="33">
        <v>218.01</v>
      </c>
      <c r="S30" s="33">
        <v>238.17</v>
      </c>
      <c r="T30" s="33">
        <v>203.33</v>
      </c>
      <c r="U30" s="33">
        <v>191.58</v>
      </c>
      <c r="V30" s="33">
        <v>171.88</v>
      </c>
      <c r="W30" s="33">
        <v>189.31</v>
      </c>
      <c r="X30" s="33">
        <v>247.05</v>
      </c>
      <c r="Y30" s="33">
        <v>343.9</v>
      </c>
      <c r="Z30" s="33">
        <v>298.45</v>
      </c>
      <c r="AA30" s="33">
        <v>374.53</v>
      </c>
      <c r="AB30" s="33">
        <v>321.02</v>
      </c>
      <c r="AC30" s="33">
        <v>305.55</v>
      </c>
      <c r="AD30" s="33">
        <v>317.53</v>
      </c>
      <c r="AE30" s="33">
        <v>226.06</v>
      </c>
      <c r="AF30" s="33">
        <v>273.99</v>
      </c>
      <c r="AG30" s="33">
        <v>195.51</v>
      </c>
      <c r="AH30" s="33">
        <v>188.24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2242</v>
      </c>
      <c r="E31" s="32"/>
      <c r="F31" s="32"/>
      <c r="G31" s="32"/>
      <c r="H31" s="33">
        <v>37.38</v>
      </c>
      <c r="I31" s="33">
        <v>39.23</v>
      </c>
      <c r="J31" s="33">
        <v>66.23</v>
      </c>
      <c r="K31" s="33">
        <v>78.65</v>
      </c>
      <c r="L31" s="33">
        <v>69.92</v>
      </c>
      <c r="M31" s="33">
        <v>26.85</v>
      </c>
      <c r="N31" s="33">
        <v>26.85</v>
      </c>
      <c r="O31" s="33">
        <v>26.97</v>
      </c>
      <c r="P31" s="33">
        <v>26.92</v>
      </c>
      <c r="Q31" s="33">
        <v>27.25</v>
      </c>
      <c r="R31" s="33">
        <v>31.9</v>
      </c>
      <c r="S31" s="33">
        <v>27.45</v>
      </c>
      <c r="T31" s="33">
        <v>31.29</v>
      </c>
      <c r="U31" s="33">
        <v>66.63</v>
      </c>
      <c r="V31" s="33">
        <v>75.34</v>
      </c>
      <c r="W31" s="33">
        <v>31.46</v>
      </c>
      <c r="X31" s="33">
        <v>26.85</v>
      </c>
      <c r="Y31" s="33">
        <v>26.95</v>
      </c>
      <c r="Z31" s="33">
        <v>26.85</v>
      </c>
      <c r="AA31" s="33">
        <v>176.88</v>
      </c>
      <c r="AB31" s="33">
        <v>199.31</v>
      </c>
      <c r="AC31" s="33">
        <v>199.05</v>
      </c>
      <c r="AD31" s="33">
        <v>158.07</v>
      </c>
      <c r="AE31" s="33">
        <v>121.73</v>
      </c>
      <c r="AF31" s="33">
        <v>134.91</v>
      </c>
      <c r="AG31" s="33">
        <v>149.66</v>
      </c>
      <c r="AH31" s="33">
        <v>133.86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2243</v>
      </c>
      <c r="E32" s="32"/>
      <c r="F32" s="32"/>
      <c r="G32" s="32"/>
      <c r="H32" s="33">
        <v>69.66</v>
      </c>
      <c r="I32" s="33">
        <v>73.87</v>
      </c>
      <c r="J32" s="33">
        <v>84.68</v>
      </c>
      <c r="K32" s="33">
        <v>124.76</v>
      </c>
      <c r="L32" s="33">
        <v>130.37</v>
      </c>
      <c r="M32" s="33">
        <v>221.32</v>
      </c>
      <c r="N32" s="33">
        <v>179.92</v>
      </c>
      <c r="O32" s="33">
        <v>77.2</v>
      </c>
      <c r="P32" s="33">
        <v>32.31</v>
      </c>
      <c r="Q32" s="33">
        <v>35.07</v>
      </c>
      <c r="R32" s="33">
        <v>34.07</v>
      </c>
      <c r="S32" s="33">
        <v>41.03</v>
      </c>
      <c r="T32" s="33">
        <v>88.08</v>
      </c>
      <c r="U32" s="33">
        <v>92.36</v>
      </c>
      <c r="V32" s="33">
        <v>88.2</v>
      </c>
      <c r="W32" s="33">
        <v>93.65</v>
      </c>
      <c r="X32" s="33">
        <v>52.42</v>
      </c>
      <c r="Y32" s="33">
        <v>26.85</v>
      </c>
      <c r="Z32" s="33">
        <v>26.85</v>
      </c>
      <c r="AA32" s="33">
        <v>26.85</v>
      </c>
      <c r="AB32" s="33">
        <v>26.85</v>
      </c>
      <c r="AC32" s="33">
        <v>26.87</v>
      </c>
      <c r="AD32" s="33">
        <v>26.87</v>
      </c>
      <c r="AE32" s="33">
        <v>27.34</v>
      </c>
      <c r="AF32" s="33">
        <v>86.82</v>
      </c>
      <c r="AG32" s="33">
        <v>90.64</v>
      </c>
      <c r="AH32" s="33">
        <v>72.83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2244</v>
      </c>
      <c r="E33" s="32"/>
      <c r="F33" s="32"/>
      <c r="G33" s="32"/>
      <c r="H33" s="33">
        <v>85.84</v>
      </c>
      <c r="I33" s="33">
        <v>99.29</v>
      </c>
      <c r="J33" s="33">
        <v>113.26</v>
      </c>
      <c r="K33" s="33">
        <v>114.3</v>
      </c>
      <c r="L33" s="33">
        <v>113.27</v>
      </c>
      <c r="M33" s="33">
        <v>157.01</v>
      </c>
      <c r="N33" s="33">
        <v>97.07</v>
      </c>
      <c r="O33" s="33">
        <v>112.67</v>
      </c>
      <c r="P33" s="33">
        <v>125.98</v>
      </c>
      <c r="Q33" s="33">
        <v>117.24</v>
      </c>
      <c r="R33" s="33">
        <v>67.94</v>
      </c>
      <c r="S33" s="33">
        <v>158.69</v>
      </c>
      <c r="T33" s="33">
        <v>126.16</v>
      </c>
      <c r="U33" s="33">
        <v>104.06</v>
      </c>
      <c r="V33" s="33">
        <v>123.57</v>
      </c>
      <c r="W33" s="33">
        <v>139.82</v>
      </c>
      <c r="X33" s="33">
        <v>133.96</v>
      </c>
      <c r="Y33" s="33">
        <v>254.94</v>
      </c>
      <c r="Z33" s="33">
        <v>26.85</v>
      </c>
      <c r="AA33" s="33">
        <v>26.85</v>
      </c>
      <c r="AB33" s="33">
        <v>26.85</v>
      </c>
      <c r="AC33" s="33">
        <v>26.87</v>
      </c>
      <c r="AD33" s="33">
        <v>29.17</v>
      </c>
      <c r="AE33" s="33">
        <v>33.25</v>
      </c>
      <c r="AF33" s="33">
        <v>37.63</v>
      </c>
      <c r="AG33" s="33">
        <v>66.65</v>
      </c>
      <c r="AH33" s="33">
        <v>38.21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2245</v>
      </c>
      <c r="E34" s="32"/>
      <c r="F34" s="32"/>
      <c r="G34" s="32"/>
      <c r="H34" s="33">
        <v>64.93</v>
      </c>
      <c r="I34" s="33">
        <v>69.4</v>
      </c>
      <c r="J34" s="33">
        <v>67.93</v>
      </c>
      <c r="K34" s="33">
        <v>125.01</v>
      </c>
      <c r="L34" s="33">
        <v>64.92</v>
      </c>
      <c r="M34" s="33">
        <v>125.88</v>
      </c>
      <c r="N34" s="33">
        <v>100.9</v>
      </c>
      <c r="O34" s="33">
        <v>116.57</v>
      </c>
      <c r="P34" s="33">
        <v>119.21</v>
      </c>
      <c r="Q34" s="33">
        <v>113.41</v>
      </c>
      <c r="R34" s="33">
        <v>31.4</v>
      </c>
      <c r="S34" s="33">
        <v>29.38</v>
      </c>
      <c r="T34" s="33">
        <v>34.82</v>
      </c>
      <c r="U34" s="33">
        <v>65.59</v>
      </c>
      <c r="V34" s="33">
        <v>48.83</v>
      </c>
      <c r="W34" s="33">
        <v>71.84</v>
      </c>
      <c r="X34" s="33">
        <v>47.51</v>
      </c>
      <c r="Y34" s="33">
        <v>128</v>
      </c>
      <c r="Z34" s="33">
        <v>197.62</v>
      </c>
      <c r="AA34" s="33">
        <v>275.68</v>
      </c>
      <c r="AB34" s="33">
        <v>230.11</v>
      </c>
      <c r="AC34" s="33">
        <v>180.69</v>
      </c>
      <c r="AD34" s="33">
        <v>70.47</v>
      </c>
      <c r="AE34" s="33">
        <v>29.53</v>
      </c>
      <c r="AF34" s="33">
        <v>44.25</v>
      </c>
      <c r="AG34" s="33">
        <v>59.66</v>
      </c>
      <c r="AH34" s="33">
        <v>55.49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2246</v>
      </c>
      <c r="E35" s="32"/>
      <c r="F35" s="32"/>
      <c r="G35" s="32"/>
      <c r="H35" s="33">
        <v>37.23</v>
      </c>
      <c r="I35" s="33">
        <v>78.75</v>
      </c>
      <c r="J35" s="33">
        <v>89.26</v>
      </c>
      <c r="K35" s="33">
        <v>75.03</v>
      </c>
      <c r="L35" s="33">
        <v>76.69</v>
      </c>
      <c r="M35" s="33">
        <v>103.61</v>
      </c>
      <c r="N35" s="33">
        <v>29.6</v>
      </c>
      <c r="O35" s="33">
        <v>27.58</v>
      </c>
      <c r="P35" s="33">
        <v>60.13</v>
      </c>
      <c r="Q35" s="33">
        <v>27.93</v>
      </c>
      <c r="R35" s="33">
        <v>92.89</v>
      </c>
      <c r="S35" s="33">
        <v>111.75</v>
      </c>
      <c r="T35" s="33">
        <v>104.71</v>
      </c>
      <c r="U35" s="33">
        <v>115.64</v>
      </c>
      <c r="V35" s="33">
        <v>109.93</v>
      </c>
      <c r="W35" s="33">
        <v>103.93</v>
      </c>
      <c r="X35" s="33">
        <v>160.96</v>
      </c>
      <c r="Y35" s="33">
        <v>202.5</v>
      </c>
      <c r="Z35" s="33">
        <v>89.39</v>
      </c>
      <c r="AA35" s="33">
        <v>88.34</v>
      </c>
      <c r="AB35" s="33">
        <v>76.11</v>
      </c>
      <c r="AC35" s="33">
        <v>56.66</v>
      </c>
      <c r="AD35" s="33">
        <v>37.57</v>
      </c>
      <c r="AE35" s="33">
        <v>53.95</v>
      </c>
      <c r="AF35" s="33">
        <v>42.18</v>
      </c>
      <c r="AG35" s="33">
        <v>42.88</v>
      </c>
      <c r="AH35" s="33">
        <v>40.81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2247</v>
      </c>
      <c r="E36" s="32"/>
      <c r="F36" s="32"/>
      <c r="G36" s="32"/>
      <c r="H36" s="33">
        <v>402.25</v>
      </c>
      <c r="I36" s="33">
        <v>430.46</v>
      </c>
      <c r="J36" s="33">
        <v>417.13</v>
      </c>
      <c r="K36" s="33">
        <v>465.76</v>
      </c>
      <c r="L36" s="33">
        <v>447.37</v>
      </c>
      <c r="M36" s="33">
        <v>696</v>
      </c>
      <c r="N36" s="33">
        <v>595.63</v>
      </c>
      <c r="O36" s="33">
        <v>633</v>
      </c>
      <c r="P36" s="36">
        <f>679.72+0.00</f>
        <v>679.72</v>
      </c>
      <c r="Q36" s="33">
        <v>608.29</v>
      </c>
      <c r="R36" s="33">
        <v>520.75</v>
      </c>
      <c r="S36" s="33">
        <v>500.45</v>
      </c>
      <c r="T36" s="33">
        <v>457.72</v>
      </c>
      <c r="U36" s="33">
        <v>433.41</v>
      </c>
      <c r="V36" s="33">
        <v>546.51</v>
      </c>
      <c r="W36" s="33">
        <v>559.31</v>
      </c>
      <c r="X36" s="33">
        <v>784.26</v>
      </c>
      <c r="Y36" s="33">
        <v>761.43</v>
      </c>
      <c r="Z36" s="33">
        <v>667.05</v>
      </c>
      <c r="AA36" s="33">
        <v>818.67</v>
      </c>
      <c r="AB36" s="33">
        <v>733.2</v>
      </c>
      <c r="AC36" s="33">
        <v>702.93</v>
      </c>
      <c r="AD36" s="33">
        <v>679.74</v>
      </c>
      <c r="AE36" s="33">
        <v>541.42</v>
      </c>
      <c r="AF36" s="33">
        <v>550.97</v>
      </c>
      <c r="AG36" s="33">
        <v>632.38</v>
      </c>
      <c r="AH36" s="33">
        <v>648.57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2248</v>
      </c>
      <c r="E37" s="32"/>
      <c r="F37" s="32"/>
      <c r="G37" s="32"/>
      <c r="H37" s="33">
        <v>72.15</v>
      </c>
      <c r="I37" s="33">
        <v>67.8</v>
      </c>
      <c r="J37" s="33">
        <v>73.08</v>
      </c>
      <c r="K37" s="33">
        <v>76.03</v>
      </c>
      <c r="L37" s="33">
        <v>34.94</v>
      </c>
      <c r="M37" s="33">
        <v>26.85</v>
      </c>
      <c r="N37" s="33">
        <v>26.85</v>
      </c>
      <c r="O37" s="33">
        <v>29.61</v>
      </c>
      <c r="P37" s="33">
        <v>83.56</v>
      </c>
      <c r="Q37" s="33">
        <v>26.85</v>
      </c>
      <c r="R37" s="33">
        <v>29.36</v>
      </c>
      <c r="S37" s="33">
        <v>81.01</v>
      </c>
      <c r="T37" s="33">
        <v>76.52</v>
      </c>
      <c r="U37" s="33">
        <v>97.83</v>
      </c>
      <c r="V37" s="33">
        <v>67.27</v>
      </c>
      <c r="W37" s="33">
        <v>50.89</v>
      </c>
      <c r="X37" s="33">
        <v>80.8</v>
      </c>
      <c r="Y37" s="33">
        <v>127.73</v>
      </c>
      <c r="Z37" s="33">
        <v>100.15</v>
      </c>
      <c r="AA37" s="33">
        <v>128.24</v>
      </c>
      <c r="AB37" s="33">
        <v>119.8</v>
      </c>
      <c r="AC37" s="33">
        <v>103.9</v>
      </c>
      <c r="AD37" s="33">
        <v>90.25</v>
      </c>
      <c r="AE37" s="33">
        <v>105.72</v>
      </c>
      <c r="AF37" s="33">
        <v>99.6</v>
      </c>
      <c r="AG37" s="33">
        <v>125.17</v>
      </c>
      <c r="AH37" s="33">
        <v>110.57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2249</v>
      </c>
      <c r="E38" s="32"/>
      <c r="F38" s="32"/>
      <c r="G38" s="32"/>
      <c r="H38" s="33">
        <v>38.83</v>
      </c>
      <c r="I38" s="33">
        <v>67.53</v>
      </c>
      <c r="J38" s="33">
        <v>86.37</v>
      </c>
      <c r="K38" s="33">
        <v>89.38</v>
      </c>
      <c r="L38" s="33">
        <v>74.46</v>
      </c>
      <c r="M38" s="33">
        <v>26.85</v>
      </c>
      <c r="N38" s="33">
        <v>26.85</v>
      </c>
      <c r="O38" s="33">
        <v>26.85</v>
      </c>
      <c r="P38" s="33">
        <v>26.85</v>
      </c>
      <c r="Q38" s="33">
        <v>26.85</v>
      </c>
      <c r="R38" s="33">
        <v>26.85</v>
      </c>
      <c r="S38" s="33">
        <v>26.85</v>
      </c>
      <c r="T38" s="33">
        <v>26.85</v>
      </c>
      <c r="U38" s="33">
        <v>30.31</v>
      </c>
      <c r="V38" s="33">
        <v>48.95</v>
      </c>
      <c r="W38" s="33">
        <v>33.48</v>
      </c>
      <c r="X38" s="33">
        <v>28.96</v>
      </c>
      <c r="Y38" s="33">
        <v>28.96</v>
      </c>
      <c r="Z38" s="33">
        <v>26.85</v>
      </c>
      <c r="AA38" s="33">
        <v>26.85</v>
      </c>
      <c r="AB38" s="33">
        <v>26.85</v>
      </c>
      <c r="AC38" s="33">
        <v>26.87</v>
      </c>
      <c r="AD38" s="33">
        <v>26.87</v>
      </c>
      <c r="AE38" s="33">
        <v>26.87</v>
      </c>
      <c r="AF38" s="33">
        <v>33.95</v>
      </c>
      <c r="AG38" s="33">
        <v>67.71</v>
      </c>
      <c r="AH38" s="33">
        <v>79.81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2250</v>
      </c>
      <c r="E39" s="32"/>
      <c r="F39" s="32"/>
      <c r="G39" s="32"/>
      <c r="H39" s="33">
        <v>172.82</v>
      </c>
      <c r="I39" s="33">
        <v>170.6</v>
      </c>
      <c r="J39" s="33">
        <v>183.31</v>
      </c>
      <c r="K39" s="33">
        <v>168.14</v>
      </c>
      <c r="L39" s="33">
        <v>75.06</v>
      </c>
      <c r="M39" s="33">
        <v>26.85</v>
      </c>
      <c r="N39" s="33">
        <v>26.85</v>
      </c>
      <c r="O39" s="33">
        <v>26.85</v>
      </c>
      <c r="P39" s="33">
        <v>26.85</v>
      </c>
      <c r="Q39" s="33">
        <v>26.85</v>
      </c>
      <c r="R39" s="33">
        <v>26.85</v>
      </c>
      <c r="S39" s="33">
        <v>116.32</v>
      </c>
      <c r="T39" s="33">
        <v>146.09</v>
      </c>
      <c r="U39" s="33">
        <v>194.16</v>
      </c>
      <c r="V39" s="33">
        <v>145.94</v>
      </c>
      <c r="W39" s="33">
        <v>163.83</v>
      </c>
      <c r="X39" s="33">
        <v>127.07</v>
      </c>
      <c r="Y39" s="33">
        <v>26.85</v>
      </c>
      <c r="Z39" s="33">
        <v>26.85</v>
      </c>
      <c r="AA39" s="33">
        <v>26.85</v>
      </c>
      <c r="AB39" s="33">
        <v>26.85</v>
      </c>
      <c r="AC39" s="33">
        <v>26.87</v>
      </c>
      <c r="AD39" s="33">
        <v>26.87</v>
      </c>
      <c r="AE39" s="33">
        <v>100.01</v>
      </c>
      <c r="AF39" s="33">
        <v>157.95</v>
      </c>
      <c r="AG39" s="33">
        <v>191.19</v>
      </c>
      <c r="AH39" s="33">
        <v>167.6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2251</v>
      </c>
      <c r="E40" s="32"/>
      <c r="F40" s="32"/>
      <c r="G40" s="32"/>
      <c r="H40" s="33">
        <v>54.65</v>
      </c>
      <c r="I40" s="33">
        <v>42.79</v>
      </c>
      <c r="J40" s="33">
        <v>45.27</v>
      </c>
      <c r="K40" s="33">
        <v>61.69</v>
      </c>
      <c r="L40" s="33">
        <v>62.59</v>
      </c>
      <c r="M40" s="33">
        <v>119.55</v>
      </c>
      <c r="N40" s="33">
        <v>109.31</v>
      </c>
      <c r="O40" s="33">
        <v>98.52</v>
      </c>
      <c r="P40" s="33">
        <v>126.21</v>
      </c>
      <c r="Q40" s="33">
        <v>104.89</v>
      </c>
      <c r="R40" s="33">
        <v>82.97</v>
      </c>
      <c r="S40" s="33">
        <v>62.59</v>
      </c>
      <c r="T40" s="33">
        <v>45.09</v>
      </c>
      <c r="U40" s="33">
        <v>57.38</v>
      </c>
      <c r="V40" s="33">
        <v>54.91</v>
      </c>
      <c r="W40" s="33">
        <v>57.02</v>
      </c>
      <c r="X40" s="33">
        <v>70.89</v>
      </c>
      <c r="Y40" s="33">
        <v>105.62</v>
      </c>
      <c r="Z40" s="33">
        <v>88.34</v>
      </c>
      <c r="AA40" s="33">
        <v>126.06</v>
      </c>
      <c r="AB40" s="33">
        <v>113.84</v>
      </c>
      <c r="AC40" s="33">
        <v>97.52</v>
      </c>
      <c r="AD40" s="33">
        <v>81.93</v>
      </c>
      <c r="AE40" s="33">
        <v>61.62</v>
      </c>
      <c r="AF40" s="33">
        <v>74.57</v>
      </c>
      <c r="AG40" s="33">
        <v>73.5</v>
      </c>
      <c r="AH40" s="33">
        <v>62.97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2252</v>
      </c>
      <c r="E41" s="32"/>
      <c r="F41" s="32"/>
      <c r="G41" s="32"/>
      <c r="H41" s="33">
        <v>58.08</v>
      </c>
      <c r="I41" s="33">
        <v>96.12</v>
      </c>
      <c r="J41" s="33">
        <v>101.92</v>
      </c>
      <c r="K41" s="33">
        <v>112.05</v>
      </c>
      <c r="L41" s="33">
        <v>83.89</v>
      </c>
      <c r="M41" s="33">
        <v>75.77</v>
      </c>
      <c r="N41" s="33">
        <v>58.63</v>
      </c>
      <c r="O41" s="33">
        <v>66.52</v>
      </c>
      <c r="P41" s="33">
        <v>64.09</v>
      </c>
      <c r="Q41" s="33">
        <v>54.31</v>
      </c>
      <c r="R41" s="33">
        <v>32.7</v>
      </c>
      <c r="S41" s="33">
        <v>28.93</v>
      </c>
      <c r="T41" s="33">
        <v>34.06</v>
      </c>
      <c r="U41" s="33">
        <v>129.56</v>
      </c>
      <c r="V41" s="33">
        <v>106.03</v>
      </c>
      <c r="W41" s="33">
        <v>83.14</v>
      </c>
      <c r="X41" s="33">
        <v>97.58</v>
      </c>
      <c r="Y41" s="33">
        <v>27.8</v>
      </c>
      <c r="Z41" s="33">
        <v>26.85</v>
      </c>
      <c r="AA41" s="33">
        <v>26.85</v>
      </c>
      <c r="AB41" s="33">
        <v>26.85</v>
      </c>
      <c r="AC41" s="33">
        <v>26.87</v>
      </c>
      <c r="AD41" s="33">
        <v>26.87</v>
      </c>
      <c r="AE41" s="33">
        <v>53.68</v>
      </c>
      <c r="AF41" s="33">
        <v>35.1</v>
      </c>
      <c r="AG41" s="33">
        <v>132.01</v>
      </c>
      <c r="AH41" s="33">
        <v>114.81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2253</v>
      </c>
      <c r="E42" s="32"/>
      <c r="F42" s="32"/>
      <c r="G42" s="32"/>
      <c r="H42" s="33">
        <v>92.16</v>
      </c>
      <c r="I42" s="33">
        <v>61.6</v>
      </c>
      <c r="J42" s="33">
        <v>86.37</v>
      </c>
      <c r="K42" s="33">
        <v>75.41</v>
      </c>
      <c r="L42" s="33">
        <v>53.5</v>
      </c>
      <c r="M42" s="33">
        <v>51.76</v>
      </c>
      <c r="N42" s="33">
        <v>26.85</v>
      </c>
      <c r="O42" s="33">
        <v>26.85</v>
      </c>
      <c r="P42" s="33">
        <v>26.85</v>
      </c>
      <c r="Q42" s="33">
        <v>26.85</v>
      </c>
      <c r="R42" s="33">
        <v>28.34</v>
      </c>
      <c r="S42" s="33">
        <v>68.3</v>
      </c>
      <c r="T42" s="33">
        <v>39.46</v>
      </c>
      <c r="U42" s="33">
        <v>97.83</v>
      </c>
      <c r="V42" s="33">
        <v>79.89</v>
      </c>
      <c r="W42" s="33">
        <v>35.4</v>
      </c>
      <c r="X42" s="33">
        <v>92.63</v>
      </c>
      <c r="Y42" s="33">
        <v>31.05</v>
      </c>
      <c r="Z42" s="33">
        <v>26.85</v>
      </c>
      <c r="AA42" s="33">
        <v>26.85</v>
      </c>
      <c r="AB42" s="33">
        <v>26.85</v>
      </c>
      <c r="AC42" s="33">
        <v>26.87</v>
      </c>
      <c r="AD42" s="33">
        <v>26.87</v>
      </c>
      <c r="AE42" s="33">
        <v>54.06</v>
      </c>
      <c r="AF42" s="33">
        <v>43.35</v>
      </c>
      <c r="AG42" s="33">
        <v>85.62</v>
      </c>
      <c r="AH42" s="33">
        <v>94.93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2254</v>
      </c>
      <c r="E43" s="32"/>
      <c r="F43" s="32"/>
      <c r="G43" s="32"/>
      <c r="H43" s="33">
        <v>98.73</v>
      </c>
      <c r="I43" s="33">
        <v>116.16</v>
      </c>
      <c r="J43" s="33">
        <v>128.8</v>
      </c>
      <c r="K43" s="33">
        <v>121.39</v>
      </c>
      <c r="L43" s="33">
        <v>74.72</v>
      </c>
      <c r="M43" s="33">
        <v>34.83</v>
      </c>
      <c r="N43" s="33">
        <v>33.42</v>
      </c>
      <c r="O43" s="33">
        <v>49.98</v>
      </c>
      <c r="P43" s="36">
        <f>123.06+43.34</f>
        <v>166.4</v>
      </c>
      <c r="Q43" s="33">
        <v>27.7</v>
      </c>
      <c r="R43" s="33">
        <v>27.77</v>
      </c>
      <c r="S43" s="33">
        <v>38.8</v>
      </c>
      <c r="T43" s="33">
        <v>95.09</v>
      </c>
      <c r="U43" s="33">
        <v>139.97</v>
      </c>
      <c r="V43" s="33">
        <v>122.54</v>
      </c>
      <c r="W43" s="33">
        <v>133.58</v>
      </c>
      <c r="X43" s="33">
        <v>172.64</v>
      </c>
      <c r="Y43" s="33">
        <v>252.8</v>
      </c>
      <c r="Z43" s="33">
        <v>201.89</v>
      </c>
      <c r="AA43" s="33">
        <v>248.73</v>
      </c>
      <c r="AB43" s="33">
        <v>240.09</v>
      </c>
      <c r="AC43" s="33">
        <v>228</v>
      </c>
      <c r="AD43" s="33">
        <v>218</v>
      </c>
      <c r="AE43" s="33">
        <v>171</v>
      </c>
      <c r="AF43" s="33">
        <v>183.55</v>
      </c>
      <c r="AG43" s="33">
        <v>145.53</v>
      </c>
      <c r="AH43" s="33">
        <v>141.89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2255</v>
      </c>
      <c r="E44" s="32"/>
      <c r="F44" s="32"/>
      <c r="G44" s="32"/>
      <c r="H44" s="33">
        <v>51.24</v>
      </c>
      <c r="I44" s="33">
        <v>56.61</v>
      </c>
      <c r="J44" s="33">
        <v>63.99</v>
      </c>
      <c r="K44" s="33">
        <v>70.81</v>
      </c>
      <c r="L44" s="33">
        <v>67.13</v>
      </c>
      <c r="M44" s="33">
        <v>26.85</v>
      </c>
      <c r="N44" s="33">
        <v>37.88</v>
      </c>
      <c r="O44" s="33">
        <v>73.76</v>
      </c>
      <c r="P44" s="33">
        <v>100.58</v>
      </c>
      <c r="Q44" s="33">
        <v>32.14</v>
      </c>
      <c r="R44" s="33">
        <v>53.27</v>
      </c>
      <c r="S44" s="33">
        <v>47.79</v>
      </c>
      <c r="T44" s="33">
        <v>62.35</v>
      </c>
      <c r="U44" s="33">
        <v>72.6</v>
      </c>
      <c r="V44" s="33">
        <v>64.69</v>
      </c>
      <c r="W44" s="33">
        <v>67.02</v>
      </c>
      <c r="X44" s="33">
        <v>67.53</v>
      </c>
      <c r="Y44" s="33">
        <v>62.32</v>
      </c>
      <c r="Z44" s="33">
        <v>39.43</v>
      </c>
      <c r="AA44" s="33">
        <v>68.44</v>
      </c>
      <c r="AB44" s="33">
        <v>231.89</v>
      </c>
      <c r="AC44" s="33">
        <v>176.44</v>
      </c>
      <c r="AD44" s="33">
        <v>75.15</v>
      </c>
      <c r="AE44" s="33">
        <v>60.68</v>
      </c>
      <c r="AF44" s="33">
        <v>91.58</v>
      </c>
      <c r="AG44" s="33">
        <v>102.91</v>
      </c>
      <c r="AH44" s="33">
        <v>97.56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2256</v>
      </c>
      <c r="E45" s="32"/>
      <c r="F45" s="32"/>
      <c r="G45" s="32"/>
      <c r="H45" s="33">
        <v>63.74</v>
      </c>
      <c r="I45" s="33">
        <v>71.76</v>
      </c>
      <c r="J45" s="33">
        <v>96.52</v>
      </c>
      <c r="K45" s="33">
        <v>101.72</v>
      </c>
      <c r="L45" s="33">
        <v>58.85</v>
      </c>
      <c r="M45" s="33">
        <v>36.24</v>
      </c>
      <c r="N45" s="33">
        <v>37.63</v>
      </c>
      <c r="O45" s="33">
        <v>33.77</v>
      </c>
      <c r="P45" s="33">
        <v>68.41</v>
      </c>
      <c r="Q45" s="33">
        <v>39.49</v>
      </c>
      <c r="R45" s="33">
        <v>53.16</v>
      </c>
      <c r="S45" s="33">
        <v>79.36</v>
      </c>
      <c r="T45" s="33">
        <v>53.27</v>
      </c>
      <c r="U45" s="33">
        <v>76.63</v>
      </c>
      <c r="V45" s="33">
        <v>105.76</v>
      </c>
      <c r="W45" s="33">
        <v>102.63</v>
      </c>
      <c r="X45" s="33">
        <v>91.33</v>
      </c>
      <c r="Y45" s="33">
        <v>55.82</v>
      </c>
      <c r="Z45" s="33">
        <v>43.36</v>
      </c>
      <c r="AA45" s="33">
        <v>47.37</v>
      </c>
      <c r="AB45" s="33">
        <v>36.3</v>
      </c>
      <c r="AC45" s="33">
        <v>34.58</v>
      </c>
      <c r="AD45" s="33">
        <v>36.86</v>
      </c>
      <c r="AE45" s="33">
        <v>86.47</v>
      </c>
      <c r="AF45" s="33">
        <v>57.44</v>
      </c>
      <c r="AG45" s="33">
        <v>81.95</v>
      </c>
      <c r="AH45" s="33">
        <v>93.35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2257</v>
      </c>
      <c r="E46" s="32"/>
      <c r="F46" s="32"/>
      <c r="G46" s="32"/>
      <c r="H46" s="33">
        <v>87.82</v>
      </c>
      <c r="I46" s="33">
        <v>69</v>
      </c>
      <c r="J46" s="33">
        <v>73.08</v>
      </c>
      <c r="K46" s="33">
        <v>87.87</v>
      </c>
      <c r="L46" s="33">
        <v>32.59</v>
      </c>
      <c r="M46" s="33">
        <v>63.26</v>
      </c>
      <c r="N46" s="33">
        <v>49.53</v>
      </c>
      <c r="O46" s="33">
        <v>57.68</v>
      </c>
      <c r="P46" s="33">
        <v>61.07</v>
      </c>
      <c r="Q46" s="33">
        <v>57.09</v>
      </c>
      <c r="R46" s="33">
        <v>34.49</v>
      </c>
      <c r="S46" s="33">
        <v>33.31</v>
      </c>
      <c r="T46" s="33">
        <v>59.88</v>
      </c>
      <c r="U46" s="33">
        <v>107.71</v>
      </c>
      <c r="V46" s="33">
        <v>86.52</v>
      </c>
      <c r="W46" s="33">
        <v>69.36</v>
      </c>
      <c r="X46" s="33">
        <v>33.07</v>
      </c>
      <c r="Y46" s="33">
        <v>33.79</v>
      </c>
      <c r="Z46" s="33">
        <v>33.12</v>
      </c>
      <c r="AA46" s="33">
        <v>35.08</v>
      </c>
      <c r="AB46" s="33">
        <v>81.31</v>
      </c>
      <c r="AC46" s="33">
        <v>43.64</v>
      </c>
      <c r="AD46" s="33">
        <v>33.74</v>
      </c>
      <c r="AE46" s="33">
        <v>33.55</v>
      </c>
      <c r="AF46" s="33">
        <v>70.35</v>
      </c>
      <c r="AG46" s="33">
        <v>92.61</v>
      </c>
      <c r="AH46" s="33">
        <v>80.05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2258</v>
      </c>
      <c r="E47" s="32"/>
      <c r="F47" s="32"/>
      <c r="G47" s="32"/>
      <c r="H47" s="33">
        <v>31.76</v>
      </c>
      <c r="I47" s="33">
        <v>34.4</v>
      </c>
      <c r="J47" s="33">
        <v>43.05</v>
      </c>
      <c r="K47" s="33">
        <v>40.27</v>
      </c>
      <c r="L47" s="33">
        <v>30.34</v>
      </c>
      <c r="M47" s="33">
        <v>26.85</v>
      </c>
      <c r="N47" s="33">
        <v>26.85</v>
      </c>
      <c r="O47" s="33">
        <v>26.85</v>
      </c>
      <c r="P47" s="33">
        <v>26.85</v>
      </c>
      <c r="Q47" s="33">
        <v>26.85</v>
      </c>
      <c r="R47" s="33">
        <v>26.85</v>
      </c>
      <c r="S47" s="33">
        <v>26.85</v>
      </c>
      <c r="T47" s="33">
        <v>132.91</v>
      </c>
      <c r="U47" s="33">
        <v>137.24</v>
      </c>
      <c r="V47" s="33">
        <v>156.26</v>
      </c>
      <c r="W47" s="33">
        <v>129.17</v>
      </c>
      <c r="X47" s="33">
        <v>26.85</v>
      </c>
      <c r="Y47" s="33">
        <v>26.85</v>
      </c>
      <c r="Z47" s="33">
        <v>26.85</v>
      </c>
      <c r="AA47" s="33">
        <v>26.85</v>
      </c>
      <c r="AB47" s="33">
        <v>26.85</v>
      </c>
      <c r="AC47" s="33">
        <v>26.87</v>
      </c>
      <c r="AD47" s="33">
        <v>26.87</v>
      </c>
      <c r="AE47" s="33">
        <v>26.98</v>
      </c>
      <c r="AF47" s="33">
        <v>39.33</v>
      </c>
      <c r="AG47" s="33">
        <v>43.41</v>
      </c>
      <c r="AH47" s="33">
        <v>43.17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2259</v>
      </c>
      <c r="E48" s="32"/>
      <c r="F48" s="32"/>
      <c r="G48" s="32"/>
      <c r="H48" s="33">
        <v>77.54</v>
      </c>
      <c r="I48" s="33">
        <v>85.6</v>
      </c>
      <c r="J48" s="33">
        <v>97.44</v>
      </c>
      <c r="K48" s="33">
        <v>91.48</v>
      </c>
      <c r="L48" s="33">
        <v>40.11</v>
      </c>
      <c r="M48" s="33">
        <v>26.85</v>
      </c>
      <c r="N48" s="33">
        <v>46.39</v>
      </c>
      <c r="O48" s="33">
        <v>36.79</v>
      </c>
      <c r="P48" s="33">
        <v>26.85</v>
      </c>
      <c r="Q48" s="33">
        <v>26.85</v>
      </c>
      <c r="R48" s="33">
        <v>26.85</v>
      </c>
      <c r="S48" s="33">
        <v>26.85</v>
      </c>
      <c r="T48" s="33">
        <v>64.31</v>
      </c>
      <c r="U48" s="33">
        <v>70.4</v>
      </c>
      <c r="V48" s="33">
        <v>79.89</v>
      </c>
      <c r="W48" s="33">
        <v>79.63</v>
      </c>
      <c r="X48" s="33">
        <v>50.24</v>
      </c>
      <c r="Y48" s="33">
        <v>26.85</v>
      </c>
      <c r="Z48" s="33">
        <v>26.85</v>
      </c>
      <c r="AA48" s="33">
        <v>26.85</v>
      </c>
      <c r="AB48" s="33">
        <v>26.85</v>
      </c>
      <c r="AC48" s="33">
        <v>26.87</v>
      </c>
      <c r="AD48" s="33">
        <v>26.87</v>
      </c>
      <c r="AE48" s="33">
        <v>26.87</v>
      </c>
      <c r="AF48" s="33">
        <v>72.19</v>
      </c>
      <c r="AG48" s="33">
        <v>66.93</v>
      </c>
      <c r="AH48" s="33">
        <v>68.11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2260</v>
      </c>
      <c r="E49" s="32"/>
      <c r="F49" s="32"/>
      <c r="G49" s="32"/>
      <c r="H49" s="33">
        <v>56.09</v>
      </c>
      <c r="I49" s="33">
        <v>58.98</v>
      </c>
      <c r="J49" s="33">
        <v>66.62</v>
      </c>
      <c r="K49" s="33">
        <v>77.9</v>
      </c>
      <c r="L49" s="33">
        <v>92.89</v>
      </c>
      <c r="M49" s="33">
        <v>114.66</v>
      </c>
      <c r="N49" s="33">
        <v>124.34</v>
      </c>
      <c r="O49" s="33">
        <v>121.5</v>
      </c>
      <c r="P49" s="33">
        <v>93.1</v>
      </c>
      <c r="Q49" s="33">
        <v>26.85</v>
      </c>
      <c r="R49" s="33">
        <v>36.84</v>
      </c>
      <c r="S49" s="33">
        <v>60.37</v>
      </c>
      <c r="T49" s="33">
        <v>60.29</v>
      </c>
      <c r="U49" s="33">
        <v>54.79</v>
      </c>
      <c r="V49" s="33">
        <v>61.29</v>
      </c>
      <c r="W49" s="33">
        <v>71.57</v>
      </c>
      <c r="X49" s="33">
        <v>48.83</v>
      </c>
      <c r="Y49" s="33">
        <v>41.28</v>
      </c>
      <c r="Z49" s="33">
        <v>26.85</v>
      </c>
      <c r="AA49" s="33">
        <v>88.34</v>
      </c>
      <c r="AB49" s="33">
        <v>34.01</v>
      </c>
      <c r="AC49" s="33">
        <v>26.87</v>
      </c>
      <c r="AD49" s="33">
        <v>26.87</v>
      </c>
      <c r="AE49" s="33">
        <v>41.83</v>
      </c>
      <c r="AF49" s="33">
        <v>40.36</v>
      </c>
      <c r="AG49" s="33">
        <v>74.3</v>
      </c>
      <c r="AH49" s="33">
        <v>72.7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2261</v>
      </c>
      <c r="E50" s="32"/>
      <c r="F50" s="32"/>
      <c r="G50" s="32"/>
      <c r="H50" s="33">
        <v>76.51</v>
      </c>
      <c r="I50" s="33">
        <v>76.63</v>
      </c>
      <c r="J50" s="33">
        <v>88.24</v>
      </c>
      <c r="K50" s="33">
        <v>77.9</v>
      </c>
      <c r="L50" s="33">
        <v>51.04</v>
      </c>
      <c r="M50" s="33">
        <v>176.9</v>
      </c>
      <c r="N50" s="33">
        <v>120.73</v>
      </c>
      <c r="O50" s="33">
        <v>29</v>
      </c>
      <c r="P50" s="33">
        <v>42.54</v>
      </c>
      <c r="Q50" s="33">
        <v>26.85</v>
      </c>
      <c r="R50" s="33">
        <v>63.41</v>
      </c>
      <c r="S50" s="33">
        <v>26.85</v>
      </c>
      <c r="T50" s="33">
        <v>33.11</v>
      </c>
      <c r="U50" s="33">
        <v>80.54</v>
      </c>
      <c r="V50" s="33">
        <v>62.06</v>
      </c>
      <c r="W50" s="33">
        <v>64.54</v>
      </c>
      <c r="X50" s="33">
        <v>49.6</v>
      </c>
      <c r="Y50" s="33">
        <v>36.12</v>
      </c>
      <c r="Z50" s="33">
        <v>115.64</v>
      </c>
      <c r="AA50" s="33">
        <v>27.43</v>
      </c>
      <c r="AB50" s="33">
        <v>35.82</v>
      </c>
      <c r="AC50" s="33">
        <v>27.09</v>
      </c>
      <c r="AD50" s="33">
        <v>91.03</v>
      </c>
      <c r="AE50" s="33">
        <v>78.66</v>
      </c>
      <c r="AF50" s="33">
        <v>41.85</v>
      </c>
      <c r="AG50" s="33">
        <v>123.31</v>
      </c>
      <c r="AH50" s="33">
        <v>74.43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2262</v>
      </c>
      <c r="E51" s="32"/>
      <c r="F51" s="32"/>
      <c r="G51" s="32"/>
      <c r="H51" s="33">
        <v>96.91</v>
      </c>
      <c r="I51" s="33">
        <v>86.37</v>
      </c>
      <c r="J51" s="33">
        <v>84.79</v>
      </c>
      <c r="K51" s="33">
        <v>50.73</v>
      </c>
      <c r="L51" s="33">
        <v>40.44</v>
      </c>
      <c r="M51" s="33">
        <v>26.85</v>
      </c>
      <c r="N51" s="33">
        <v>26.85</v>
      </c>
      <c r="O51" s="33">
        <v>26.85</v>
      </c>
      <c r="P51" s="33">
        <v>26.85</v>
      </c>
      <c r="Q51" s="33">
        <v>26.85</v>
      </c>
      <c r="R51" s="33">
        <v>26.85</v>
      </c>
      <c r="S51" s="33">
        <v>40.67</v>
      </c>
      <c r="T51" s="33">
        <v>84.71</v>
      </c>
      <c r="U51" s="33">
        <v>98.99</v>
      </c>
      <c r="V51" s="33">
        <v>67.66</v>
      </c>
      <c r="W51" s="33">
        <v>69.5</v>
      </c>
      <c r="X51" s="33">
        <v>50.64</v>
      </c>
      <c r="Y51" s="33">
        <v>28.76</v>
      </c>
      <c r="Z51" s="33">
        <v>26.85</v>
      </c>
      <c r="AA51" s="33">
        <v>26.85</v>
      </c>
      <c r="AB51" s="33">
        <v>26.85</v>
      </c>
      <c r="AC51" s="33">
        <v>26.87</v>
      </c>
      <c r="AD51" s="33">
        <v>26.87</v>
      </c>
      <c r="AE51" s="33">
        <v>35.8</v>
      </c>
      <c r="AF51" s="33">
        <v>84.7</v>
      </c>
      <c r="AG51" s="33">
        <v>90.51</v>
      </c>
      <c r="AH51" s="33">
        <v>88.52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2263</v>
      </c>
      <c r="E52" s="32"/>
      <c r="F52" s="32"/>
      <c r="G52" s="32"/>
      <c r="H52" s="33">
        <v>80.44</v>
      </c>
      <c r="I52" s="33">
        <v>102.97</v>
      </c>
      <c r="J52" s="33">
        <v>156.66</v>
      </c>
      <c r="K52" s="33">
        <v>167.4</v>
      </c>
      <c r="L52" s="33">
        <v>160.77</v>
      </c>
      <c r="M52" s="33">
        <v>147.2</v>
      </c>
      <c r="N52" s="33">
        <v>119.55</v>
      </c>
      <c r="O52" s="33">
        <v>115.32</v>
      </c>
      <c r="P52" s="33">
        <v>151.5</v>
      </c>
      <c r="Q52" s="33">
        <v>194.15</v>
      </c>
      <c r="R52" s="33">
        <v>154.53</v>
      </c>
      <c r="S52" s="33">
        <v>134.25</v>
      </c>
      <c r="T52" s="33">
        <v>115.77</v>
      </c>
      <c r="U52" s="33">
        <v>115.64</v>
      </c>
      <c r="V52" s="33">
        <v>138.01</v>
      </c>
      <c r="W52" s="33">
        <v>152.33</v>
      </c>
      <c r="X52" s="33">
        <v>199.91</v>
      </c>
      <c r="Y52" s="33">
        <v>246.29</v>
      </c>
      <c r="Z52" s="33">
        <v>204.75</v>
      </c>
      <c r="AA52" s="33">
        <v>241.9</v>
      </c>
      <c r="AB52" s="33">
        <v>209.77</v>
      </c>
      <c r="AC52" s="33">
        <v>185.55</v>
      </c>
      <c r="AD52" s="33">
        <v>159.77</v>
      </c>
      <c r="AE52" s="33">
        <v>100.39</v>
      </c>
      <c r="AF52" s="33">
        <v>111.98</v>
      </c>
      <c r="AG52" s="33">
        <v>106.32</v>
      </c>
      <c r="AH52" s="33">
        <v>68.5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2264</v>
      </c>
      <c r="E53" s="32"/>
      <c r="F53" s="32"/>
      <c r="G53" s="32"/>
      <c r="H53" s="33">
        <v>161.05</v>
      </c>
      <c r="I53" s="33">
        <v>161.57</v>
      </c>
      <c r="J53" s="33">
        <v>174.6</v>
      </c>
      <c r="K53" s="33">
        <v>205.11</v>
      </c>
      <c r="L53" s="33">
        <v>40.91</v>
      </c>
      <c r="M53" s="33">
        <v>26.85</v>
      </c>
      <c r="N53" s="33">
        <v>51.76</v>
      </c>
      <c r="O53" s="33">
        <v>26.85</v>
      </c>
      <c r="P53" s="33">
        <v>39.99</v>
      </c>
      <c r="Q53" s="33">
        <v>175.66</v>
      </c>
      <c r="R53" s="33">
        <v>181.44</v>
      </c>
      <c r="S53" s="33">
        <v>153.72</v>
      </c>
      <c r="T53" s="33">
        <v>138.48</v>
      </c>
      <c r="U53" s="33">
        <v>137.88</v>
      </c>
      <c r="V53" s="33">
        <v>110.72</v>
      </c>
      <c r="W53" s="33">
        <v>80.41</v>
      </c>
      <c r="X53" s="33">
        <v>89.91</v>
      </c>
      <c r="Y53" s="33">
        <v>26.85</v>
      </c>
      <c r="Z53" s="33">
        <v>44.5</v>
      </c>
      <c r="AA53" s="33">
        <v>27.59</v>
      </c>
      <c r="AB53" s="33">
        <v>26.95</v>
      </c>
      <c r="AC53" s="33">
        <v>26.87</v>
      </c>
      <c r="AD53" s="33">
        <v>29.75</v>
      </c>
      <c r="AE53" s="33">
        <v>91.03</v>
      </c>
      <c r="AF53" s="33">
        <v>55.05</v>
      </c>
      <c r="AG53" s="33">
        <v>74.57</v>
      </c>
      <c r="AH53" s="33">
        <v>67.21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2265</v>
      </c>
      <c r="E54" s="32"/>
      <c r="F54" s="32"/>
      <c r="G54" s="32"/>
      <c r="H54" s="33">
        <v>94.4</v>
      </c>
      <c r="I54" s="33">
        <v>88.34</v>
      </c>
      <c r="J54" s="33">
        <v>111.27</v>
      </c>
      <c r="K54" s="33">
        <v>138.48</v>
      </c>
      <c r="L54" s="33">
        <v>27.25</v>
      </c>
      <c r="M54" s="33">
        <v>27.28</v>
      </c>
      <c r="N54" s="33">
        <v>27.21</v>
      </c>
      <c r="O54" s="33">
        <v>27.2</v>
      </c>
      <c r="P54" s="33">
        <v>27.28</v>
      </c>
      <c r="Q54" s="33">
        <v>27.21</v>
      </c>
      <c r="R54" s="33">
        <v>27.25</v>
      </c>
      <c r="S54" s="33">
        <v>27.25</v>
      </c>
      <c r="T54" s="33">
        <v>35</v>
      </c>
      <c r="U54" s="33">
        <v>32.32</v>
      </c>
      <c r="V54" s="33">
        <v>76.92</v>
      </c>
      <c r="W54" s="33">
        <v>27.9</v>
      </c>
      <c r="X54" s="33">
        <v>27.32</v>
      </c>
      <c r="Y54" s="33">
        <v>26.95</v>
      </c>
      <c r="Z54" s="33">
        <v>26.85</v>
      </c>
      <c r="AA54" s="33">
        <v>26.95</v>
      </c>
      <c r="AB54" s="33">
        <v>26.85</v>
      </c>
      <c r="AC54" s="33">
        <v>26.87</v>
      </c>
      <c r="AD54" s="33">
        <v>27.03</v>
      </c>
      <c r="AE54" s="33">
        <v>27.51</v>
      </c>
      <c r="AF54" s="33">
        <v>64.81</v>
      </c>
      <c r="AG54" s="33">
        <v>86.41</v>
      </c>
      <c r="AH54" s="33">
        <v>51.53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2266</v>
      </c>
      <c r="E55" s="32"/>
      <c r="F55" s="32"/>
      <c r="G55" s="32"/>
      <c r="H55" s="33">
        <v>106.65</v>
      </c>
      <c r="I55" s="33">
        <v>108.12</v>
      </c>
      <c r="J55" s="33">
        <v>152.98</v>
      </c>
      <c r="K55" s="33">
        <v>351.25</v>
      </c>
      <c r="L55" s="33">
        <v>218.01</v>
      </c>
      <c r="M55" s="33">
        <v>349.62</v>
      </c>
      <c r="N55" s="33">
        <v>266.98</v>
      </c>
      <c r="O55" s="33">
        <v>312.72</v>
      </c>
      <c r="P55" s="36">
        <f>354.26+0.00</f>
        <v>354.26</v>
      </c>
      <c r="Q55" s="33">
        <v>354.02</v>
      </c>
      <c r="R55" s="33">
        <v>207.94</v>
      </c>
      <c r="S55" s="33">
        <v>238.57</v>
      </c>
      <c r="T55" s="33">
        <v>198.83</v>
      </c>
      <c r="U55" s="33">
        <v>183.01</v>
      </c>
      <c r="V55" s="33">
        <v>235.79</v>
      </c>
      <c r="W55" s="33">
        <v>260.41</v>
      </c>
      <c r="X55" s="33">
        <v>422.58</v>
      </c>
      <c r="Y55" s="33">
        <v>415.35</v>
      </c>
      <c r="Z55" s="33">
        <v>421.17</v>
      </c>
      <c r="AA55" s="33">
        <v>436.53</v>
      </c>
      <c r="AB55" s="33">
        <v>405.53</v>
      </c>
      <c r="AC55" s="33">
        <v>382.4</v>
      </c>
      <c r="AD55" s="33">
        <v>392.67</v>
      </c>
      <c r="AE55" s="33">
        <v>256.96</v>
      </c>
      <c r="AF55" s="33">
        <v>226.72</v>
      </c>
      <c r="AG55" s="33">
        <v>200.11</v>
      </c>
      <c r="AH55" s="33">
        <v>222.65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2267</v>
      </c>
      <c r="E56" s="32"/>
      <c r="F56" s="32"/>
      <c r="G56" s="32"/>
      <c r="H56" s="33">
        <v>50.07</v>
      </c>
      <c r="I56" s="33">
        <v>84.14</v>
      </c>
      <c r="J56" s="33">
        <v>90.62</v>
      </c>
      <c r="K56" s="33">
        <v>110.92</v>
      </c>
      <c r="L56" s="33">
        <v>119.44</v>
      </c>
      <c r="M56" s="33">
        <v>87.75</v>
      </c>
      <c r="N56" s="33">
        <v>65.96</v>
      </c>
      <c r="O56" s="33">
        <v>67.44</v>
      </c>
      <c r="P56" s="33">
        <v>28.77</v>
      </c>
      <c r="Q56" s="33">
        <v>28.56</v>
      </c>
      <c r="R56" s="33">
        <v>28.77</v>
      </c>
      <c r="S56" s="33">
        <v>80.66</v>
      </c>
      <c r="T56" s="33">
        <v>68.99</v>
      </c>
      <c r="U56" s="33">
        <v>66.63</v>
      </c>
      <c r="V56" s="33">
        <v>91.33</v>
      </c>
      <c r="W56" s="33">
        <v>112.4</v>
      </c>
      <c r="X56" s="33">
        <v>71.44</v>
      </c>
      <c r="Y56" s="33">
        <v>26.85</v>
      </c>
      <c r="Z56" s="33">
        <v>31.26</v>
      </c>
      <c r="AA56" s="33">
        <v>293.9</v>
      </c>
      <c r="AB56" s="33">
        <v>237.8</v>
      </c>
      <c r="AC56" s="33">
        <v>185.09</v>
      </c>
      <c r="AD56" s="33">
        <v>26.87</v>
      </c>
      <c r="AE56" s="33">
        <v>63.03</v>
      </c>
      <c r="AF56" s="33">
        <v>42.09</v>
      </c>
      <c r="AG56" s="33">
        <v>92.74</v>
      </c>
      <c r="AH56" s="33">
        <v>102.84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2268</v>
      </c>
      <c r="E57" s="32"/>
      <c r="F57" s="32"/>
      <c r="G57" s="32"/>
      <c r="H57" s="33">
        <v>36.04</v>
      </c>
      <c r="I57" s="33">
        <v>38.34</v>
      </c>
      <c r="J57" s="33">
        <v>70.59</v>
      </c>
      <c r="K57" s="33">
        <v>71.42</v>
      </c>
      <c r="L57" s="33">
        <v>36.94</v>
      </c>
      <c r="M57" s="33">
        <v>73.41</v>
      </c>
      <c r="N57" s="33">
        <v>33.42</v>
      </c>
      <c r="O57" s="33">
        <v>36.79</v>
      </c>
      <c r="P57" s="33">
        <v>48.84</v>
      </c>
      <c r="Q57" s="33">
        <v>31.64</v>
      </c>
      <c r="R57" s="33">
        <v>27.98</v>
      </c>
      <c r="S57" s="33">
        <v>27.28</v>
      </c>
      <c r="T57" s="33">
        <v>26.85</v>
      </c>
      <c r="U57" s="33">
        <v>48.04</v>
      </c>
      <c r="V57" s="33">
        <v>75.59</v>
      </c>
      <c r="W57" s="33">
        <v>84.57</v>
      </c>
      <c r="X57" s="33">
        <v>27.17</v>
      </c>
      <c r="Y57" s="33">
        <v>26.85</v>
      </c>
      <c r="Z57" s="33">
        <v>26.85</v>
      </c>
      <c r="AA57" s="33">
        <v>26.85</v>
      </c>
      <c r="AB57" s="33">
        <v>26.85</v>
      </c>
      <c r="AC57" s="33">
        <v>26.87</v>
      </c>
      <c r="AD57" s="33">
        <v>26.87</v>
      </c>
      <c r="AE57" s="33">
        <v>26.87</v>
      </c>
      <c r="AF57" s="33">
        <v>33.38</v>
      </c>
      <c r="AG57" s="33">
        <v>84.18</v>
      </c>
      <c r="AH57" s="33">
        <v>105.84</v>
      </c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2269</v>
      </c>
      <c r="E58" s="32"/>
      <c r="F58" s="32"/>
      <c r="G58" s="32"/>
      <c r="H58" s="33">
        <v>106.9</v>
      </c>
      <c r="I58" s="33">
        <v>93.1</v>
      </c>
      <c r="J58" s="33">
        <v>137.62</v>
      </c>
      <c r="K58" s="33">
        <v>157.19</v>
      </c>
      <c r="L58" s="33">
        <v>130.66</v>
      </c>
      <c r="M58" s="33">
        <v>28.16</v>
      </c>
      <c r="N58" s="33">
        <v>27.21</v>
      </c>
      <c r="O58" s="33">
        <v>27.15</v>
      </c>
      <c r="P58" s="33">
        <v>27.25</v>
      </c>
      <c r="Q58" s="33">
        <v>27.16</v>
      </c>
      <c r="R58" s="33">
        <v>27.21</v>
      </c>
      <c r="S58" s="33">
        <v>32.41</v>
      </c>
      <c r="T58" s="33">
        <v>138.9</v>
      </c>
      <c r="U58" s="33">
        <v>166.28</v>
      </c>
      <c r="V58" s="33">
        <v>154.46</v>
      </c>
      <c r="W58" s="33">
        <v>163.54</v>
      </c>
      <c r="X58" s="33">
        <v>121.12</v>
      </c>
      <c r="Y58" s="33">
        <v>28.34</v>
      </c>
      <c r="Z58" s="33">
        <v>26.95</v>
      </c>
      <c r="AA58" s="33">
        <v>27</v>
      </c>
      <c r="AB58" s="33">
        <v>26.85</v>
      </c>
      <c r="AC58" s="33">
        <v>27.03</v>
      </c>
      <c r="AD58" s="33">
        <v>30.17</v>
      </c>
      <c r="AE58" s="33">
        <v>55.26</v>
      </c>
      <c r="AF58" s="33">
        <v>119.89</v>
      </c>
      <c r="AG58" s="33">
        <v>105.51</v>
      </c>
      <c r="AH58" s="33">
        <v>76.94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2270</v>
      </c>
      <c r="E59" s="32"/>
      <c r="F59" s="32"/>
      <c r="G59" s="32"/>
      <c r="H59" s="33">
        <v>70.2</v>
      </c>
      <c r="I59" s="33">
        <v>109.06</v>
      </c>
      <c r="J59" s="33">
        <v>117.59</v>
      </c>
      <c r="K59" s="33">
        <v>93.1</v>
      </c>
      <c r="L59" s="33">
        <v>102.91</v>
      </c>
      <c r="M59" s="33">
        <v>155.09</v>
      </c>
      <c r="N59" s="33">
        <v>127.9</v>
      </c>
      <c r="O59" s="33">
        <v>146.86</v>
      </c>
      <c r="P59" s="33">
        <v>159.5</v>
      </c>
      <c r="Q59" s="33">
        <v>145.43</v>
      </c>
      <c r="R59" s="33">
        <v>113.41</v>
      </c>
      <c r="S59" s="33">
        <v>106.75</v>
      </c>
      <c r="T59" s="33">
        <v>108.1</v>
      </c>
      <c r="U59" s="33">
        <v>129.94</v>
      </c>
      <c r="V59" s="33">
        <v>93.16</v>
      </c>
      <c r="W59" s="33">
        <v>126.57</v>
      </c>
      <c r="X59" s="33">
        <v>34.18</v>
      </c>
      <c r="Y59" s="33">
        <v>33.22</v>
      </c>
      <c r="Z59" s="33">
        <v>26.85</v>
      </c>
      <c r="AA59" s="33">
        <v>26.85</v>
      </c>
      <c r="AB59" s="33">
        <v>26.85</v>
      </c>
      <c r="AC59" s="33">
        <v>26.87</v>
      </c>
      <c r="AD59" s="33">
        <v>27.93</v>
      </c>
      <c r="AE59" s="33">
        <v>36.24</v>
      </c>
      <c r="AF59" s="33">
        <v>37.72</v>
      </c>
      <c r="AG59" s="33">
        <v>42.49</v>
      </c>
      <c r="AH59" s="33">
        <v>43.69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2271</v>
      </c>
      <c r="E60" s="32"/>
      <c r="F60" s="32"/>
      <c r="G60" s="32"/>
      <c r="H60" s="33">
        <v>81</v>
      </c>
      <c r="I60" s="33">
        <v>95.6</v>
      </c>
      <c r="J60" s="33">
        <v>111.8</v>
      </c>
      <c r="K60" s="33">
        <v>94.84</v>
      </c>
      <c r="L60" s="33">
        <v>92.31</v>
      </c>
      <c r="M60" s="33">
        <v>105.59</v>
      </c>
      <c r="N60" s="33">
        <v>32.03</v>
      </c>
      <c r="O60" s="33">
        <v>26.85</v>
      </c>
      <c r="P60" s="33">
        <v>131.9</v>
      </c>
      <c r="Q60" s="33">
        <v>143.36</v>
      </c>
      <c r="R60" s="33">
        <v>62.33</v>
      </c>
      <c r="S60" s="33">
        <v>42.09</v>
      </c>
      <c r="T60" s="33">
        <v>99.12</v>
      </c>
      <c r="U60" s="33">
        <v>121.75</v>
      </c>
      <c r="V60" s="33">
        <v>97.83</v>
      </c>
      <c r="W60" s="33">
        <v>110.31</v>
      </c>
      <c r="X60" s="33">
        <v>111.99</v>
      </c>
      <c r="Y60" s="33">
        <v>149.75</v>
      </c>
      <c r="Z60" s="33">
        <v>132.94</v>
      </c>
      <c r="AA60" s="33">
        <v>108.62</v>
      </c>
      <c r="AB60" s="33">
        <v>100.03</v>
      </c>
      <c r="AC60" s="33">
        <v>82.82</v>
      </c>
      <c r="AD60" s="33">
        <v>93.61</v>
      </c>
      <c r="AE60" s="33">
        <v>106.27</v>
      </c>
      <c r="AF60" s="33">
        <v>69.54</v>
      </c>
      <c r="AG60" s="33">
        <v>106.96</v>
      </c>
      <c r="AH60" s="33">
        <v>114.27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2272</v>
      </c>
      <c r="E61" s="32"/>
      <c r="F61" s="32"/>
      <c r="G61" s="32"/>
      <c r="H61" s="33">
        <v>89.66</v>
      </c>
      <c r="I61" s="33">
        <v>127.08</v>
      </c>
      <c r="J61" s="33">
        <v>156.36</v>
      </c>
      <c r="K61" s="33">
        <v>151.62</v>
      </c>
      <c r="L61" s="33">
        <v>56.99</v>
      </c>
      <c r="M61" s="33">
        <v>26.85</v>
      </c>
      <c r="N61" s="33">
        <v>26.85</v>
      </c>
      <c r="O61" s="33">
        <v>31.39</v>
      </c>
      <c r="P61" s="33">
        <v>301.92</v>
      </c>
      <c r="Q61" s="33">
        <v>155.91</v>
      </c>
      <c r="R61" s="33">
        <v>26.85</v>
      </c>
      <c r="S61" s="33">
        <v>26.85</v>
      </c>
      <c r="T61" s="33">
        <v>27.07</v>
      </c>
      <c r="U61" s="33">
        <v>39.05</v>
      </c>
      <c r="V61" s="33">
        <v>149.75</v>
      </c>
      <c r="W61" s="33">
        <v>189.31</v>
      </c>
      <c r="X61" s="33">
        <v>27.96</v>
      </c>
      <c r="Y61" s="33">
        <v>30.73</v>
      </c>
      <c r="Z61" s="33">
        <v>28.59</v>
      </c>
      <c r="AA61" s="33">
        <v>73.9</v>
      </c>
      <c r="AB61" s="33">
        <v>26.85</v>
      </c>
      <c r="AC61" s="33">
        <v>26.87</v>
      </c>
      <c r="AD61" s="33">
        <v>26.87</v>
      </c>
      <c r="AE61" s="33">
        <v>34.58</v>
      </c>
      <c r="AF61" s="33">
        <v>43.04</v>
      </c>
      <c r="AG61" s="33">
        <v>45.97</v>
      </c>
      <c r="AH61" s="33">
        <v>52.56</v>
      </c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2273</v>
      </c>
      <c r="E62" s="32"/>
      <c r="F62" s="32"/>
      <c r="G62" s="32"/>
      <c r="H62" s="33">
        <v>38.33</v>
      </c>
      <c r="I62" s="33">
        <v>55.82</v>
      </c>
      <c r="J62" s="33">
        <v>65.31</v>
      </c>
      <c r="K62" s="33">
        <v>74.9</v>
      </c>
      <c r="L62" s="33">
        <v>27.09</v>
      </c>
      <c r="M62" s="33">
        <v>26.85</v>
      </c>
      <c r="N62" s="33">
        <v>26.85</v>
      </c>
      <c r="O62" s="33">
        <v>26.85</v>
      </c>
      <c r="P62" s="33">
        <v>26.85</v>
      </c>
      <c r="Q62" s="33">
        <v>26.85</v>
      </c>
      <c r="R62" s="33">
        <v>28.08</v>
      </c>
      <c r="S62" s="33">
        <v>144.73</v>
      </c>
      <c r="T62" s="33">
        <v>87.96</v>
      </c>
      <c r="U62" s="33">
        <v>129.7</v>
      </c>
      <c r="V62" s="33">
        <v>131.77</v>
      </c>
      <c r="W62" s="33">
        <v>141.86</v>
      </c>
      <c r="X62" s="33">
        <v>28.16</v>
      </c>
      <c r="Y62" s="33">
        <v>26.85</v>
      </c>
      <c r="Z62" s="33">
        <v>26.85</v>
      </c>
      <c r="AA62" s="33">
        <v>26.85</v>
      </c>
      <c r="AB62" s="33">
        <v>26.85</v>
      </c>
      <c r="AC62" s="33">
        <v>26.87</v>
      </c>
      <c r="AD62" s="33">
        <v>26.87</v>
      </c>
      <c r="AE62" s="33">
        <v>26.87</v>
      </c>
      <c r="AF62" s="33">
        <v>32.25</v>
      </c>
      <c r="AG62" s="33">
        <v>94.73</v>
      </c>
      <c r="AH62" s="33">
        <v>84.69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2274</v>
      </c>
      <c r="E63" s="32"/>
      <c r="F63" s="32"/>
      <c r="G63" s="32"/>
      <c r="H63" s="33">
        <v>26.85</v>
      </c>
      <c r="I63" s="33">
        <v>73.74</v>
      </c>
      <c r="J63" s="33">
        <v>107.59</v>
      </c>
      <c r="K63" s="33">
        <v>109.05</v>
      </c>
      <c r="L63" s="33">
        <v>31.95</v>
      </c>
      <c r="M63" s="33">
        <v>26.85</v>
      </c>
      <c r="N63" s="33">
        <v>30.1</v>
      </c>
      <c r="O63" s="33">
        <v>26.85</v>
      </c>
      <c r="P63" s="33">
        <v>26.85</v>
      </c>
      <c r="Q63" s="33">
        <v>26.85</v>
      </c>
      <c r="R63" s="33">
        <v>28.56</v>
      </c>
      <c r="S63" s="33">
        <v>75.17</v>
      </c>
      <c r="T63" s="33">
        <v>41.05</v>
      </c>
      <c r="U63" s="33">
        <v>102.9</v>
      </c>
      <c r="V63" s="33">
        <v>93.8</v>
      </c>
      <c r="W63" s="33">
        <v>102.13</v>
      </c>
      <c r="X63" s="33">
        <v>35.95</v>
      </c>
      <c r="Y63" s="33">
        <v>26.85</v>
      </c>
      <c r="Z63" s="33">
        <v>26.85</v>
      </c>
      <c r="AA63" s="33">
        <v>26.85</v>
      </c>
      <c r="AB63" s="33">
        <v>26.85</v>
      </c>
      <c r="AC63" s="33">
        <v>26.87</v>
      </c>
      <c r="AD63" s="33">
        <v>26.87</v>
      </c>
      <c r="AE63" s="33">
        <v>26.87</v>
      </c>
      <c r="AF63" s="33">
        <v>33.15</v>
      </c>
      <c r="AG63" s="33">
        <v>116.46</v>
      </c>
      <c r="AH63" s="33">
        <v>106.37</v>
      </c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2275</v>
      </c>
      <c r="E64" s="32"/>
      <c r="F64" s="32"/>
      <c r="G64" s="32"/>
      <c r="H64" s="33">
        <v>55.84</v>
      </c>
      <c r="I64" s="33">
        <v>61.21</v>
      </c>
      <c r="J64" s="33">
        <v>72.54</v>
      </c>
      <c r="K64" s="33">
        <v>97.84</v>
      </c>
      <c r="L64" s="33">
        <v>105.94</v>
      </c>
      <c r="M64" s="33">
        <v>170.53</v>
      </c>
      <c r="N64" s="33">
        <v>143.63</v>
      </c>
      <c r="O64" s="33">
        <v>158.04</v>
      </c>
      <c r="P64" s="33">
        <v>175.79</v>
      </c>
      <c r="Q64" s="33">
        <v>154.26</v>
      </c>
      <c r="R64" s="33">
        <v>97.43</v>
      </c>
      <c r="S64" s="33">
        <v>92.54</v>
      </c>
      <c r="T64" s="33">
        <v>106.15</v>
      </c>
      <c r="U64" s="33">
        <v>90.4</v>
      </c>
      <c r="V64" s="33">
        <v>126.06</v>
      </c>
      <c r="W64" s="33">
        <v>124.12</v>
      </c>
      <c r="X64" s="33">
        <v>184.91</v>
      </c>
      <c r="Y64" s="33">
        <v>217.5</v>
      </c>
      <c r="Z64" s="33">
        <v>182.63</v>
      </c>
      <c r="AA64" s="33">
        <v>233.42</v>
      </c>
      <c r="AB64" s="33">
        <v>218.56</v>
      </c>
      <c r="AC64" s="33">
        <v>178.57</v>
      </c>
      <c r="AD64" s="33">
        <v>163.41</v>
      </c>
      <c r="AE64" s="33">
        <v>110.04</v>
      </c>
      <c r="AF64" s="33">
        <v>111.84</v>
      </c>
      <c r="AG64" s="33">
        <v>99.46</v>
      </c>
      <c r="AH64" s="33">
        <v>109.66</v>
      </c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2276</v>
      </c>
      <c r="E65" s="32"/>
      <c r="F65" s="32"/>
      <c r="G65" s="32"/>
      <c r="H65" s="33">
        <v>98.87</v>
      </c>
      <c r="I65" s="33">
        <v>161.12</v>
      </c>
      <c r="J65" s="33">
        <v>127.22</v>
      </c>
      <c r="K65" s="33">
        <v>123.37</v>
      </c>
      <c r="L65" s="33">
        <v>119.44</v>
      </c>
      <c r="M65" s="33">
        <v>26.85</v>
      </c>
      <c r="N65" s="33">
        <v>26.85</v>
      </c>
      <c r="O65" s="33">
        <v>26.85</v>
      </c>
      <c r="P65" s="33">
        <v>26.85</v>
      </c>
      <c r="Q65" s="33">
        <v>26.85</v>
      </c>
      <c r="R65" s="33">
        <v>26.85</v>
      </c>
      <c r="S65" s="33">
        <v>49.88</v>
      </c>
      <c r="T65" s="33">
        <v>46.78</v>
      </c>
      <c r="U65" s="33">
        <v>74.8</v>
      </c>
      <c r="V65" s="33">
        <v>78.34</v>
      </c>
      <c r="W65" s="33">
        <v>79.89</v>
      </c>
      <c r="X65" s="33">
        <v>33.75</v>
      </c>
      <c r="Y65" s="33">
        <v>26.85</v>
      </c>
      <c r="Z65" s="33">
        <v>26.85</v>
      </c>
      <c r="AA65" s="33">
        <v>26.85</v>
      </c>
      <c r="AB65" s="33">
        <v>26.85</v>
      </c>
      <c r="AC65" s="33">
        <v>26.87</v>
      </c>
      <c r="AD65" s="33">
        <v>26.87</v>
      </c>
      <c r="AE65" s="33">
        <v>26.87</v>
      </c>
      <c r="AF65" s="33">
        <v>32.25</v>
      </c>
      <c r="AG65" s="33">
        <v>64.14</v>
      </c>
      <c r="AH65" s="33">
        <v>78.64</v>
      </c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2277</v>
      </c>
      <c r="E66" s="32"/>
      <c r="F66" s="32"/>
      <c r="G66" s="32"/>
      <c r="H66" s="33">
        <v>26.85</v>
      </c>
      <c r="I66" s="33">
        <v>26.85</v>
      </c>
      <c r="J66" s="33">
        <v>26.85</v>
      </c>
      <c r="K66" s="33">
        <v>26.85</v>
      </c>
      <c r="L66" s="33">
        <v>26.85</v>
      </c>
      <c r="M66" s="33">
        <v>26.85</v>
      </c>
      <c r="N66" s="33">
        <v>26.85</v>
      </c>
      <c r="O66" s="33">
        <v>26.85</v>
      </c>
      <c r="P66" s="33">
        <v>26.85</v>
      </c>
      <c r="Q66" s="33">
        <v>26.85</v>
      </c>
      <c r="R66" s="33">
        <v>26.85</v>
      </c>
      <c r="S66" s="33">
        <v>26.85</v>
      </c>
      <c r="T66" s="33">
        <v>26.85</v>
      </c>
      <c r="U66" s="33">
        <v>26.85</v>
      </c>
      <c r="V66" s="33">
        <v>26.85</v>
      </c>
      <c r="W66" s="33">
        <v>26.85</v>
      </c>
      <c r="X66" s="33">
        <v>26.85</v>
      </c>
      <c r="Y66" s="33">
        <v>26.85</v>
      </c>
      <c r="Z66" s="33">
        <v>26.85</v>
      </c>
      <c r="AA66" s="33">
        <v>26.85</v>
      </c>
      <c r="AB66" s="33">
        <v>26.85</v>
      </c>
      <c r="AC66" s="33">
        <v>26.87</v>
      </c>
      <c r="AD66" s="33">
        <v>26.87</v>
      </c>
      <c r="AE66" s="33">
        <v>26.87</v>
      </c>
      <c r="AF66" s="33">
        <v>32.25</v>
      </c>
      <c r="AG66" s="33">
        <v>32.25</v>
      </c>
      <c r="AH66" s="33">
        <v>32.19</v>
      </c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2278</v>
      </c>
      <c r="E67" s="32"/>
      <c r="F67" s="32"/>
      <c r="G67" s="32"/>
      <c r="H67" s="33">
        <v>34.93</v>
      </c>
      <c r="I67" s="33">
        <v>52.13</v>
      </c>
      <c r="J67" s="33">
        <v>52.8</v>
      </c>
      <c r="K67" s="33">
        <v>86.5</v>
      </c>
      <c r="L67" s="33">
        <v>40.79</v>
      </c>
      <c r="M67" s="33">
        <v>29.49</v>
      </c>
      <c r="N67" s="33">
        <v>26.85</v>
      </c>
      <c r="O67" s="33">
        <v>26.85</v>
      </c>
      <c r="P67" s="33">
        <v>26.85</v>
      </c>
      <c r="Q67" s="33">
        <v>26.85</v>
      </c>
      <c r="R67" s="33">
        <v>32.38</v>
      </c>
      <c r="S67" s="33">
        <v>100.58</v>
      </c>
      <c r="T67" s="33">
        <v>91.86</v>
      </c>
      <c r="U67" s="33">
        <v>86.38</v>
      </c>
      <c r="V67" s="33">
        <v>102.79</v>
      </c>
      <c r="W67" s="33">
        <v>116.44</v>
      </c>
      <c r="X67" s="33">
        <v>45.81</v>
      </c>
      <c r="Y67" s="33">
        <v>26.85</v>
      </c>
      <c r="Z67" s="33">
        <v>26.85</v>
      </c>
      <c r="AA67" s="33">
        <v>26.85</v>
      </c>
      <c r="AB67" s="33">
        <v>26.85</v>
      </c>
      <c r="AC67" s="33">
        <v>26.87</v>
      </c>
      <c r="AD67" s="33">
        <v>33.78</v>
      </c>
      <c r="AE67" s="33">
        <v>110.15</v>
      </c>
      <c r="AF67" s="33">
        <v>106.46</v>
      </c>
      <c r="AG67" s="33">
        <v>122.67</v>
      </c>
      <c r="AH67" s="33">
        <v>111.24</v>
      </c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2279</v>
      </c>
      <c r="E68" s="32"/>
      <c r="F68" s="32"/>
      <c r="G68" s="32"/>
      <c r="H68" s="33">
        <v>100.57</v>
      </c>
      <c r="I68" s="33">
        <v>103.37</v>
      </c>
      <c r="J68" s="33">
        <v>106.8</v>
      </c>
      <c r="K68" s="33">
        <v>127.73</v>
      </c>
      <c r="L68" s="33">
        <v>135.37</v>
      </c>
      <c r="M68" s="33">
        <v>128.32</v>
      </c>
      <c r="N68" s="33">
        <v>85.77</v>
      </c>
      <c r="O68" s="33">
        <v>28.78</v>
      </c>
      <c r="P68" s="33">
        <v>29.72</v>
      </c>
      <c r="Q68" s="33">
        <v>86.71</v>
      </c>
      <c r="R68" s="33">
        <v>98.93</v>
      </c>
      <c r="S68" s="33">
        <v>98.6</v>
      </c>
      <c r="T68" s="33">
        <v>99</v>
      </c>
      <c r="U68" s="33">
        <v>98.48</v>
      </c>
      <c r="V68" s="33">
        <v>105.88</v>
      </c>
      <c r="W68" s="33">
        <v>111.61</v>
      </c>
      <c r="X68" s="33">
        <v>154.6</v>
      </c>
      <c r="Y68" s="33">
        <v>196.14</v>
      </c>
      <c r="Z68" s="33">
        <v>143.83</v>
      </c>
      <c r="AA68" s="33">
        <v>26.85</v>
      </c>
      <c r="AB68" s="33">
        <v>32.06</v>
      </c>
      <c r="AC68" s="33">
        <v>52.76</v>
      </c>
      <c r="AD68" s="33">
        <v>35.8</v>
      </c>
      <c r="AE68" s="33">
        <v>34.16</v>
      </c>
      <c r="AF68" s="33">
        <v>75.6</v>
      </c>
      <c r="AG68" s="33">
        <v>58.51</v>
      </c>
      <c r="AH68" s="33">
        <v>42.8</v>
      </c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2280</v>
      </c>
      <c r="E69" s="32"/>
      <c r="F69" s="32"/>
      <c r="G69" s="32"/>
      <c r="H69" s="33">
        <v>33.37</v>
      </c>
      <c r="I69" s="33">
        <v>80.99</v>
      </c>
      <c r="J69" s="33">
        <v>80.58</v>
      </c>
      <c r="K69" s="33">
        <v>125.24</v>
      </c>
      <c r="L69" s="33">
        <v>66.9</v>
      </c>
      <c r="M69" s="33">
        <v>26.85</v>
      </c>
      <c r="N69" s="33">
        <v>26.85</v>
      </c>
      <c r="O69" s="33">
        <v>65.72</v>
      </c>
      <c r="P69" s="33">
        <v>62.71</v>
      </c>
      <c r="Q69" s="33">
        <v>56.17</v>
      </c>
      <c r="R69" s="33">
        <v>40.44</v>
      </c>
      <c r="S69" s="33">
        <v>29.49</v>
      </c>
      <c r="T69" s="33">
        <v>42.61</v>
      </c>
      <c r="U69" s="33">
        <v>87.32</v>
      </c>
      <c r="V69" s="33">
        <v>82.48</v>
      </c>
      <c r="W69" s="33">
        <v>99.65</v>
      </c>
      <c r="X69" s="33">
        <v>26.85</v>
      </c>
      <c r="Y69" s="33">
        <v>35.98</v>
      </c>
      <c r="Z69" s="33">
        <v>26.85</v>
      </c>
      <c r="AA69" s="33">
        <v>26.85</v>
      </c>
      <c r="AB69" s="33">
        <v>26.85</v>
      </c>
      <c r="AC69" s="33">
        <v>26.87</v>
      </c>
      <c r="AD69" s="33">
        <v>26.87</v>
      </c>
      <c r="AE69" s="33">
        <v>87.89</v>
      </c>
      <c r="AF69" s="33">
        <v>75.09</v>
      </c>
      <c r="AG69" s="33">
        <v>89.71</v>
      </c>
      <c r="AH69" s="33">
        <v>107.7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2281</v>
      </c>
      <c r="E70" s="32"/>
      <c r="F70" s="32"/>
      <c r="G70" s="32"/>
      <c r="H70" s="33">
        <v>26.85</v>
      </c>
      <c r="I70" s="33">
        <v>38.96</v>
      </c>
      <c r="J70" s="33">
        <v>41.19</v>
      </c>
      <c r="K70" s="33">
        <v>74.16</v>
      </c>
      <c r="L70" s="33">
        <v>33.77</v>
      </c>
      <c r="M70" s="33">
        <v>26.85</v>
      </c>
      <c r="N70" s="33">
        <v>26.85</v>
      </c>
      <c r="O70" s="33">
        <v>26.85</v>
      </c>
      <c r="P70" s="33">
        <v>26.85</v>
      </c>
      <c r="Q70" s="33">
        <v>26.85</v>
      </c>
      <c r="R70" s="33">
        <v>26.85</v>
      </c>
      <c r="S70" s="33">
        <v>26.85</v>
      </c>
      <c r="T70" s="33">
        <v>26.85</v>
      </c>
      <c r="U70" s="33">
        <v>48.54</v>
      </c>
      <c r="V70" s="33">
        <v>72.22</v>
      </c>
      <c r="W70" s="33">
        <v>29.67</v>
      </c>
      <c r="X70" s="33">
        <v>26.85</v>
      </c>
      <c r="Y70" s="33">
        <v>26.85</v>
      </c>
      <c r="Z70" s="33">
        <v>26.85</v>
      </c>
      <c r="AA70" s="33">
        <v>26.85</v>
      </c>
      <c r="AB70" s="33">
        <v>26.85</v>
      </c>
      <c r="AC70" s="33">
        <v>26.87</v>
      </c>
      <c r="AD70" s="33">
        <v>26.87</v>
      </c>
      <c r="AE70" s="33">
        <v>37.81</v>
      </c>
      <c r="AF70" s="33">
        <v>56.64</v>
      </c>
      <c r="AG70" s="33">
        <v>73.77</v>
      </c>
      <c r="AH70" s="33">
        <v>80.6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2282</v>
      </c>
      <c r="E71" s="32"/>
      <c r="F71" s="32"/>
      <c r="G71" s="32"/>
      <c r="H71" s="33">
        <v>107.29</v>
      </c>
      <c r="I71" s="33">
        <v>123.13</v>
      </c>
      <c r="J71" s="33">
        <v>123.27</v>
      </c>
      <c r="K71" s="33">
        <v>140.54</v>
      </c>
      <c r="L71" s="33">
        <v>56.4</v>
      </c>
      <c r="M71" s="33">
        <v>26.85</v>
      </c>
      <c r="N71" s="33">
        <v>26.85</v>
      </c>
      <c r="O71" s="33">
        <v>26.85</v>
      </c>
      <c r="P71" s="33">
        <v>26.85</v>
      </c>
      <c r="Q71" s="33">
        <v>26.85</v>
      </c>
      <c r="R71" s="33">
        <v>26.85</v>
      </c>
      <c r="S71" s="33">
        <v>88.69</v>
      </c>
      <c r="T71" s="33">
        <v>130.05</v>
      </c>
      <c r="U71" s="33">
        <v>129.42</v>
      </c>
      <c r="V71" s="33">
        <v>123.57</v>
      </c>
      <c r="W71" s="33">
        <v>137.63</v>
      </c>
      <c r="X71" s="33">
        <v>65.59</v>
      </c>
      <c r="Y71" s="33">
        <v>26.85</v>
      </c>
      <c r="Z71" s="33">
        <v>26.85</v>
      </c>
      <c r="AA71" s="33">
        <v>26.85</v>
      </c>
      <c r="AB71" s="33">
        <v>26.85</v>
      </c>
      <c r="AC71" s="33">
        <v>100.12</v>
      </c>
      <c r="AD71" s="33">
        <v>69.02</v>
      </c>
      <c r="AE71" s="33">
        <v>52.62</v>
      </c>
      <c r="AF71" s="33">
        <v>43.52</v>
      </c>
      <c r="AG71" s="33">
        <v>42.64</v>
      </c>
      <c r="AH71" s="33">
        <v>55.88</v>
      </c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2283</v>
      </c>
      <c r="E72" s="32"/>
      <c r="F72" s="32"/>
      <c r="G72" s="32"/>
      <c r="H72" s="33">
        <v>195.47</v>
      </c>
      <c r="I72" s="33">
        <v>134.73</v>
      </c>
      <c r="J72" s="33">
        <v>228.2</v>
      </c>
      <c r="K72" s="33">
        <v>79.16</v>
      </c>
      <c r="L72" s="33">
        <v>72.25</v>
      </c>
      <c r="M72" s="33">
        <v>73.41</v>
      </c>
      <c r="N72" s="33">
        <v>32.81</v>
      </c>
      <c r="O72" s="33">
        <v>26.85</v>
      </c>
      <c r="P72" s="33">
        <v>26.85</v>
      </c>
      <c r="Q72" s="33">
        <v>31.14</v>
      </c>
      <c r="R72" s="33">
        <v>39.84</v>
      </c>
      <c r="S72" s="33">
        <v>26.85</v>
      </c>
      <c r="T72" s="33">
        <v>26.85</v>
      </c>
      <c r="U72" s="33">
        <v>63.89</v>
      </c>
      <c r="V72" s="33">
        <v>44.25</v>
      </c>
      <c r="W72" s="33">
        <v>43.36</v>
      </c>
      <c r="X72" s="33">
        <v>165.51</v>
      </c>
      <c r="Y72" s="33">
        <v>209.17</v>
      </c>
      <c r="Z72" s="33">
        <v>148.85</v>
      </c>
      <c r="AA72" s="33">
        <v>69.87</v>
      </c>
      <c r="AB72" s="33">
        <v>39.94</v>
      </c>
      <c r="AC72" s="33">
        <v>33</v>
      </c>
      <c r="AD72" s="33">
        <v>28.32</v>
      </c>
      <c r="AE72" s="33">
        <v>47.3</v>
      </c>
      <c r="AF72" s="33">
        <v>55.19</v>
      </c>
      <c r="AG72" s="33">
        <v>59.13</v>
      </c>
      <c r="AH72" s="33">
        <v>53.38</v>
      </c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2284</v>
      </c>
      <c r="E73" s="32"/>
      <c r="F73" s="32"/>
      <c r="G73" s="32"/>
      <c r="H73" s="33">
        <v>122.43</v>
      </c>
      <c r="I73" s="33">
        <v>113.39</v>
      </c>
      <c r="J73" s="33">
        <v>44.89</v>
      </c>
      <c r="K73" s="33">
        <v>74.43</v>
      </c>
      <c r="L73" s="33">
        <v>134.52</v>
      </c>
      <c r="M73" s="33">
        <v>235.97</v>
      </c>
      <c r="N73" s="33">
        <v>74.01</v>
      </c>
      <c r="O73" s="33">
        <v>30.64</v>
      </c>
      <c r="P73" s="33">
        <v>77.51</v>
      </c>
      <c r="Q73" s="33">
        <v>91.02</v>
      </c>
      <c r="R73" s="33">
        <v>31.09</v>
      </c>
      <c r="S73" s="33">
        <v>29.45</v>
      </c>
      <c r="T73" s="33">
        <v>137.08</v>
      </c>
      <c r="U73" s="33">
        <v>90.05</v>
      </c>
      <c r="V73" s="33">
        <v>70.14</v>
      </c>
      <c r="W73" s="33">
        <v>72.73</v>
      </c>
      <c r="X73" s="33">
        <v>96.77</v>
      </c>
      <c r="Y73" s="33">
        <v>110.44</v>
      </c>
      <c r="Z73" s="33">
        <v>33.16</v>
      </c>
      <c r="AA73" s="33">
        <v>26.85</v>
      </c>
      <c r="AB73" s="33">
        <v>178.69</v>
      </c>
      <c r="AC73" s="33">
        <v>134.74</v>
      </c>
      <c r="AD73" s="33">
        <v>33</v>
      </c>
      <c r="AE73" s="33">
        <v>60.44</v>
      </c>
      <c r="AF73" s="33">
        <v>54.4</v>
      </c>
      <c r="AG73" s="33">
        <v>44.65</v>
      </c>
      <c r="AH73" s="33">
        <v>42.56</v>
      </c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2285</v>
      </c>
      <c r="E74" s="32"/>
      <c r="F74" s="32"/>
      <c r="G74" s="32"/>
      <c r="H74" s="33">
        <v>38.94</v>
      </c>
      <c r="I74" s="33">
        <v>72.43</v>
      </c>
      <c r="J74" s="33">
        <v>93.49</v>
      </c>
      <c r="K74" s="33">
        <v>108.43</v>
      </c>
      <c r="L74" s="33">
        <v>69.7</v>
      </c>
      <c r="M74" s="33">
        <v>57.34</v>
      </c>
      <c r="N74" s="33">
        <v>59.54</v>
      </c>
      <c r="O74" s="33">
        <v>39.18</v>
      </c>
      <c r="P74" s="33">
        <v>26.85</v>
      </c>
      <c r="Q74" s="33">
        <v>26.85</v>
      </c>
      <c r="R74" s="33">
        <v>28.05</v>
      </c>
      <c r="S74" s="33">
        <v>98</v>
      </c>
      <c r="T74" s="33">
        <v>46.12</v>
      </c>
      <c r="U74" s="33">
        <v>99.38</v>
      </c>
      <c r="V74" s="33">
        <v>93.8</v>
      </c>
      <c r="W74" s="33">
        <v>119.8</v>
      </c>
      <c r="X74" s="33">
        <v>64.4</v>
      </c>
      <c r="Y74" s="33">
        <v>26.85</v>
      </c>
      <c r="Z74" s="33">
        <v>26.85</v>
      </c>
      <c r="AA74" s="33">
        <v>26.85</v>
      </c>
      <c r="AB74" s="33">
        <v>26.85</v>
      </c>
      <c r="AC74" s="33">
        <v>27.34</v>
      </c>
      <c r="AD74" s="33">
        <v>33.47</v>
      </c>
      <c r="AE74" s="33">
        <v>82.96</v>
      </c>
      <c r="AF74" s="33">
        <v>79.58</v>
      </c>
      <c r="AG74" s="33">
        <v>69.42</v>
      </c>
      <c r="AH74" s="33">
        <v>59.17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2286</v>
      </c>
      <c r="E75" s="32"/>
      <c r="F75" s="32"/>
      <c r="G75" s="32"/>
      <c r="H75" s="33">
        <v>83.99</v>
      </c>
      <c r="I75" s="33">
        <v>68.09</v>
      </c>
      <c r="J75" s="33">
        <v>89.26</v>
      </c>
      <c r="K75" s="33">
        <v>128.98</v>
      </c>
      <c r="L75" s="33">
        <v>82.75</v>
      </c>
      <c r="M75" s="33">
        <v>125.05</v>
      </c>
      <c r="N75" s="33">
        <v>123.41</v>
      </c>
      <c r="O75" s="33">
        <v>111.17</v>
      </c>
      <c r="P75" s="33">
        <v>153.3</v>
      </c>
      <c r="Q75" s="33">
        <v>125.88</v>
      </c>
      <c r="R75" s="33">
        <v>98.1</v>
      </c>
      <c r="S75" s="33">
        <v>121.54</v>
      </c>
      <c r="T75" s="33">
        <v>114.21</v>
      </c>
      <c r="U75" s="33">
        <v>111.74</v>
      </c>
      <c r="V75" s="33">
        <v>114.09</v>
      </c>
      <c r="W75" s="33">
        <v>122.54</v>
      </c>
      <c r="X75" s="33">
        <v>127.88</v>
      </c>
      <c r="Y75" s="33">
        <v>114.2</v>
      </c>
      <c r="Z75" s="33">
        <v>118.64</v>
      </c>
      <c r="AA75" s="33">
        <v>119.68</v>
      </c>
      <c r="AB75" s="33">
        <v>127.07</v>
      </c>
      <c r="AC75" s="33">
        <v>111.85</v>
      </c>
      <c r="AD75" s="33">
        <v>98.18</v>
      </c>
      <c r="AE75" s="33">
        <v>91.3</v>
      </c>
      <c r="AF75" s="33">
        <v>110.66</v>
      </c>
      <c r="AG75" s="33">
        <v>100.54</v>
      </c>
      <c r="AH75" s="33">
        <v>107.3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2287</v>
      </c>
      <c r="E76" s="32"/>
      <c r="F76" s="32"/>
      <c r="G76" s="32"/>
      <c r="H76" s="33">
        <v>120.33</v>
      </c>
      <c r="I76" s="33">
        <v>112.99</v>
      </c>
      <c r="J76" s="33">
        <v>129.83</v>
      </c>
      <c r="K76" s="33">
        <v>144.33</v>
      </c>
      <c r="L76" s="33">
        <v>137.85</v>
      </c>
      <c r="M76" s="33">
        <v>26.85</v>
      </c>
      <c r="N76" s="33">
        <v>26.85</v>
      </c>
      <c r="O76" s="33">
        <v>26.85</v>
      </c>
      <c r="P76" s="33">
        <v>26.85</v>
      </c>
      <c r="Q76" s="33">
        <v>26.85</v>
      </c>
      <c r="R76" s="33">
        <v>28.08</v>
      </c>
      <c r="S76" s="33">
        <v>26.85</v>
      </c>
      <c r="T76" s="33">
        <v>85.08</v>
      </c>
      <c r="U76" s="33">
        <v>84.3</v>
      </c>
      <c r="V76" s="33">
        <v>82.74</v>
      </c>
      <c r="W76" s="33">
        <v>94.58</v>
      </c>
      <c r="X76" s="33">
        <v>116.16</v>
      </c>
      <c r="Y76" s="33">
        <v>26.85</v>
      </c>
      <c r="Z76" s="33">
        <v>26.85</v>
      </c>
      <c r="AA76" s="33">
        <v>26.85</v>
      </c>
      <c r="AB76" s="33">
        <v>26.85</v>
      </c>
      <c r="AC76" s="33">
        <v>26.87</v>
      </c>
      <c r="AD76" s="33">
        <v>26.87</v>
      </c>
      <c r="AE76" s="33">
        <v>26.87</v>
      </c>
      <c r="AF76" s="33">
        <v>44.52</v>
      </c>
      <c r="AG76" s="33">
        <v>53.63</v>
      </c>
      <c r="AH76" s="33">
        <v>53.12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2288</v>
      </c>
      <c r="E77" s="32"/>
      <c r="F77" s="32"/>
      <c r="G77" s="32"/>
      <c r="H77" s="33">
        <v>45.57</v>
      </c>
      <c r="I77" s="33">
        <v>70.31</v>
      </c>
      <c r="J77" s="33">
        <v>88.75</v>
      </c>
      <c r="K77" s="33">
        <v>70.92</v>
      </c>
      <c r="L77" s="33">
        <v>34.1</v>
      </c>
      <c r="M77" s="33">
        <v>50.81</v>
      </c>
      <c r="N77" s="33">
        <v>36.01</v>
      </c>
      <c r="O77" s="33">
        <v>44.9</v>
      </c>
      <c r="P77" s="33">
        <v>47.31</v>
      </c>
      <c r="Q77" s="33">
        <v>46.63</v>
      </c>
      <c r="R77" s="33">
        <v>32.31</v>
      </c>
      <c r="S77" s="33">
        <v>73.78</v>
      </c>
      <c r="T77" s="33">
        <v>77.95</v>
      </c>
      <c r="U77" s="33">
        <v>71.68</v>
      </c>
      <c r="V77" s="33">
        <v>68.44</v>
      </c>
      <c r="W77" s="33">
        <v>34.65</v>
      </c>
      <c r="X77" s="33">
        <v>95.09</v>
      </c>
      <c r="Y77" s="33">
        <v>27.55</v>
      </c>
      <c r="Z77" s="33">
        <v>65.59</v>
      </c>
      <c r="AA77" s="33">
        <v>85.09</v>
      </c>
      <c r="AB77" s="33">
        <v>77.54</v>
      </c>
      <c r="AC77" s="33">
        <v>62.92</v>
      </c>
      <c r="AD77" s="33">
        <v>50.68</v>
      </c>
      <c r="AE77" s="33">
        <v>68.64</v>
      </c>
      <c r="AF77" s="33">
        <v>72.44</v>
      </c>
      <c r="AG77" s="33">
        <v>75.23</v>
      </c>
      <c r="AH77" s="33">
        <v>97.32</v>
      </c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2289</v>
      </c>
      <c r="E78" s="32"/>
      <c r="F78" s="32"/>
      <c r="G78" s="32"/>
      <c r="H78" s="33">
        <v>82.17</v>
      </c>
      <c r="I78" s="33">
        <v>128.24</v>
      </c>
      <c r="J78" s="33">
        <v>142.42</v>
      </c>
      <c r="K78" s="33">
        <v>121.65</v>
      </c>
      <c r="L78" s="33">
        <v>135.77</v>
      </c>
      <c r="M78" s="33">
        <v>26.85</v>
      </c>
      <c r="N78" s="33">
        <v>44.52</v>
      </c>
      <c r="O78" s="33">
        <v>27.58</v>
      </c>
      <c r="P78" s="33">
        <v>84.49</v>
      </c>
      <c r="Q78" s="33">
        <v>114.09</v>
      </c>
      <c r="R78" s="33">
        <v>71.79</v>
      </c>
      <c r="S78" s="33">
        <v>108.62</v>
      </c>
      <c r="T78" s="33">
        <v>86.39</v>
      </c>
      <c r="U78" s="33">
        <v>151.73</v>
      </c>
      <c r="V78" s="33">
        <v>138.01</v>
      </c>
      <c r="W78" s="33">
        <v>143.98</v>
      </c>
      <c r="X78" s="33">
        <v>149.29</v>
      </c>
      <c r="Y78" s="33">
        <v>26.85</v>
      </c>
      <c r="Z78" s="33">
        <v>34.34</v>
      </c>
      <c r="AA78" s="33">
        <v>28.38</v>
      </c>
      <c r="AB78" s="33">
        <v>26.85</v>
      </c>
      <c r="AC78" s="33">
        <v>116.79</v>
      </c>
      <c r="AD78" s="33">
        <v>32.65</v>
      </c>
      <c r="AE78" s="33">
        <v>63.3</v>
      </c>
      <c r="AF78" s="33">
        <v>83.79</v>
      </c>
      <c r="AG78" s="33">
        <v>99.34</v>
      </c>
      <c r="AH78" s="33">
        <v>93.63</v>
      </c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2290</v>
      </c>
      <c r="E79" s="32"/>
      <c r="F79" s="32"/>
      <c r="G79" s="32"/>
      <c r="H79" s="33">
        <v>69.66</v>
      </c>
      <c r="I79" s="33">
        <v>72.27</v>
      </c>
      <c r="J79" s="33">
        <v>67.43</v>
      </c>
      <c r="K79" s="33">
        <v>65.94</v>
      </c>
      <c r="L79" s="33">
        <v>70.49</v>
      </c>
      <c r="M79" s="33">
        <v>141.16</v>
      </c>
      <c r="N79" s="33">
        <v>107.9</v>
      </c>
      <c r="O79" s="33">
        <v>118.06</v>
      </c>
      <c r="P79" s="33">
        <v>135.37</v>
      </c>
      <c r="Q79" s="33">
        <v>49.98</v>
      </c>
      <c r="R79" s="33">
        <v>32.81</v>
      </c>
      <c r="S79" s="33">
        <v>37.53</v>
      </c>
      <c r="T79" s="33">
        <v>64.56</v>
      </c>
      <c r="U79" s="33">
        <v>59.99</v>
      </c>
      <c r="V79" s="33">
        <v>56.76</v>
      </c>
      <c r="W79" s="33">
        <v>64.69</v>
      </c>
      <c r="X79" s="33">
        <v>42.97</v>
      </c>
      <c r="Y79" s="33">
        <v>26.85</v>
      </c>
      <c r="Z79" s="33">
        <v>26.85</v>
      </c>
      <c r="AA79" s="33">
        <v>26.85</v>
      </c>
      <c r="AB79" s="33">
        <v>26.85</v>
      </c>
      <c r="AC79" s="33">
        <v>26.87</v>
      </c>
      <c r="AD79" s="33">
        <v>26.87</v>
      </c>
      <c r="AE79" s="33">
        <v>26.87</v>
      </c>
      <c r="AF79" s="33">
        <v>32.72</v>
      </c>
      <c r="AG79" s="33">
        <v>42.83</v>
      </c>
      <c r="AH79" s="33">
        <v>76.39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2291</v>
      </c>
      <c r="E80" s="32"/>
      <c r="F80" s="32"/>
      <c r="G80" s="32"/>
      <c r="H80" s="33">
        <v>87.56</v>
      </c>
      <c r="I80" s="33">
        <v>93.63</v>
      </c>
      <c r="J80" s="33">
        <v>97.06</v>
      </c>
      <c r="K80" s="33">
        <v>113.32</v>
      </c>
      <c r="L80" s="33">
        <v>33.03</v>
      </c>
      <c r="M80" s="33">
        <v>26.85</v>
      </c>
      <c r="N80" s="33">
        <v>26.85</v>
      </c>
      <c r="O80" s="33">
        <v>26.85</v>
      </c>
      <c r="P80" s="33">
        <v>26.85</v>
      </c>
      <c r="Q80" s="33">
        <v>26.85</v>
      </c>
      <c r="R80" s="33">
        <v>26.85</v>
      </c>
      <c r="S80" s="33">
        <v>26.85</v>
      </c>
      <c r="T80" s="33">
        <v>26.85</v>
      </c>
      <c r="U80" s="33">
        <v>39.7</v>
      </c>
      <c r="V80" s="33">
        <v>69.24</v>
      </c>
      <c r="W80" s="33">
        <v>43.49</v>
      </c>
      <c r="X80" s="33">
        <v>27.64</v>
      </c>
      <c r="Y80" s="33">
        <v>26.85</v>
      </c>
      <c r="Z80" s="33">
        <v>26.85</v>
      </c>
      <c r="AA80" s="33">
        <v>26.85</v>
      </c>
      <c r="AB80" s="33">
        <v>26.85</v>
      </c>
      <c r="AC80" s="33">
        <v>26.87</v>
      </c>
      <c r="AD80" s="33">
        <v>26.87</v>
      </c>
      <c r="AE80" s="33">
        <v>26.87</v>
      </c>
      <c r="AF80" s="33">
        <v>32.25</v>
      </c>
      <c r="AG80" s="33">
        <v>72.19</v>
      </c>
      <c r="AH80" s="33">
        <v>76.01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2292</v>
      </c>
      <c r="E81" s="32"/>
      <c r="F81" s="32"/>
      <c r="G81" s="32"/>
      <c r="H81" s="33">
        <v>34.88</v>
      </c>
      <c r="I81" s="33">
        <v>33.19</v>
      </c>
      <c r="J81" s="33">
        <v>33.03</v>
      </c>
      <c r="K81" s="33">
        <v>35.75</v>
      </c>
      <c r="L81" s="33">
        <v>27.53</v>
      </c>
      <c r="M81" s="33">
        <v>26.85</v>
      </c>
      <c r="N81" s="33">
        <v>26.85</v>
      </c>
      <c r="O81" s="33">
        <v>26.85</v>
      </c>
      <c r="P81" s="33">
        <v>26.85</v>
      </c>
      <c r="Q81" s="33">
        <v>26.85</v>
      </c>
      <c r="R81" s="33">
        <v>27.77</v>
      </c>
      <c r="S81" s="33">
        <v>49.88</v>
      </c>
      <c r="T81" s="33">
        <v>40.4</v>
      </c>
      <c r="U81" s="33">
        <v>58.57</v>
      </c>
      <c r="V81" s="33">
        <v>55.45</v>
      </c>
      <c r="W81" s="33">
        <v>57.91</v>
      </c>
      <c r="X81" s="33">
        <v>34.34</v>
      </c>
      <c r="Y81" s="33">
        <v>26.85</v>
      </c>
      <c r="Z81" s="33">
        <v>26.85</v>
      </c>
      <c r="AA81" s="33">
        <v>26.85</v>
      </c>
      <c r="AB81" s="33">
        <v>26.85</v>
      </c>
      <c r="AC81" s="33">
        <v>26.87</v>
      </c>
      <c r="AD81" s="33">
        <v>26.87</v>
      </c>
      <c r="AE81" s="33">
        <v>26.87</v>
      </c>
      <c r="AF81" s="33">
        <v>35.01</v>
      </c>
      <c r="AG81" s="33">
        <v>80.36</v>
      </c>
      <c r="AH81" s="33">
        <v>75.6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3</v>
      </c>
      <c r="D82" s="32" t="s">
        <v>2293</v>
      </c>
      <c r="E82" s="32"/>
      <c r="F82" s="32"/>
      <c r="G82" s="32"/>
      <c r="H82" s="33">
        <v>40.7</v>
      </c>
      <c r="I82" s="33">
        <v>69.91</v>
      </c>
      <c r="J82" s="33">
        <v>77.17</v>
      </c>
      <c r="K82" s="33">
        <v>77.78</v>
      </c>
      <c r="L82" s="33">
        <v>35.23</v>
      </c>
      <c r="M82" s="33">
        <v>51.96</v>
      </c>
      <c r="N82" s="33">
        <v>26.85</v>
      </c>
      <c r="O82" s="33">
        <v>26.85</v>
      </c>
      <c r="P82" s="33">
        <v>26.85</v>
      </c>
      <c r="Q82" s="33">
        <v>30.43</v>
      </c>
      <c r="R82" s="33">
        <v>76.57</v>
      </c>
      <c r="S82" s="33">
        <v>114.32</v>
      </c>
      <c r="T82" s="33">
        <v>126.42</v>
      </c>
      <c r="U82" s="33">
        <v>131.37</v>
      </c>
      <c r="V82" s="33">
        <v>112.91</v>
      </c>
      <c r="W82" s="33">
        <v>117.34</v>
      </c>
      <c r="X82" s="33">
        <v>142.01</v>
      </c>
      <c r="Y82" s="33">
        <v>182.63</v>
      </c>
      <c r="Z82" s="33">
        <v>162.93</v>
      </c>
      <c r="AA82" s="33">
        <v>199.15</v>
      </c>
      <c r="AB82" s="33">
        <v>183.54</v>
      </c>
      <c r="AC82" s="33">
        <v>69.94</v>
      </c>
      <c r="AD82" s="33">
        <v>26.87</v>
      </c>
      <c r="AE82" s="33">
        <v>26.87</v>
      </c>
      <c r="AF82" s="33">
        <v>33.67</v>
      </c>
      <c r="AG82" s="33">
        <v>64.28</v>
      </c>
      <c r="AH82" s="33">
        <v>78.23</v>
      </c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3</v>
      </c>
      <c r="D83" s="32" t="s">
        <v>2294</v>
      </c>
      <c r="E83" s="32"/>
      <c r="F83" s="32"/>
      <c r="G83" s="32"/>
      <c r="H83" s="33">
        <v>34.46</v>
      </c>
      <c r="I83" s="33">
        <v>49.25</v>
      </c>
      <c r="J83" s="33">
        <v>43.45</v>
      </c>
      <c r="K83" s="33">
        <v>46.63</v>
      </c>
      <c r="L83" s="33">
        <v>70.28</v>
      </c>
      <c r="M83" s="33">
        <v>82.05</v>
      </c>
      <c r="N83" s="33">
        <v>194.42</v>
      </c>
      <c r="O83" s="33">
        <v>89.83</v>
      </c>
      <c r="P83" s="33">
        <v>68.18</v>
      </c>
      <c r="Q83" s="33">
        <v>28.21</v>
      </c>
      <c r="R83" s="33">
        <v>27.77</v>
      </c>
      <c r="S83" s="33">
        <v>27.8</v>
      </c>
      <c r="T83" s="33">
        <v>42.76</v>
      </c>
      <c r="U83" s="33">
        <v>56.1</v>
      </c>
      <c r="V83" s="33">
        <v>59.34</v>
      </c>
      <c r="W83" s="33">
        <v>62.2</v>
      </c>
      <c r="X83" s="33">
        <v>35.87</v>
      </c>
      <c r="Y83" s="33">
        <v>52.57</v>
      </c>
      <c r="Z83" s="33">
        <v>27.75</v>
      </c>
      <c r="AA83" s="33">
        <v>28.01</v>
      </c>
      <c r="AB83" s="33">
        <v>27.59</v>
      </c>
      <c r="AC83" s="33">
        <v>28.09</v>
      </c>
      <c r="AD83" s="33">
        <v>28.46</v>
      </c>
      <c r="AE83" s="33">
        <v>51.98</v>
      </c>
      <c r="AF83" s="33">
        <v>73.77</v>
      </c>
      <c r="AG83" s="33">
        <v>60.45</v>
      </c>
      <c r="AH83" s="33">
        <v>60.75</v>
      </c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3</v>
      </c>
      <c r="D84" s="32" t="s">
        <v>2295</v>
      </c>
      <c r="E84" s="32"/>
      <c r="F84" s="32"/>
      <c r="G84" s="32"/>
      <c r="H84" s="33">
        <v>106.38</v>
      </c>
      <c r="I84" s="33">
        <v>150.7</v>
      </c>
      <c r="J84" s="33">
        <v>182.43</v>
      </c>
      <c r="K84" s="33">
        <v>205.23</v>
      </c>
      <c r="L84" s="33">
        <v>215.66</v>
      </c>
      <c r="M84" s="33">
        <v>44.3</v>
      </c>
      <c r="N84" s="33">
        <v>31.46</v>
      </c>
      <c r="O84" s="33">
        <v>26.85</v>
      </c>
      <c r="P84" s="33">
        <v>26.85</v>
      </c>
      <c r="Q84" s="33">
        <v>30.55</v>
      </c>
      <c r="R84" s="33">
        <v>52.09</v>
      </c>
      <c r="S84" s="33">
        <v>38.8</v>
      </c>
      <c r="T84" s="33">
        <v>31.73</v>
      </c>
      <c r="U84" s="33">
        <v>31.26</v>
      </c>
      <c r="V84" s="33">
        <v>30.66</v>
      </c>
      <c r="W84" s="33">
        <v>41.14</v>
      </c>
      <c r="X84" s="33">
        <v>75.86</v>
      </c>
      <c r="Y84" s="33">
        <v>97.32</v>
      </c>
      <c r="Z84" s="33">
        <v>84.3</v>
      </c>
      <c r="AA84" s="33">
        <v>62.86</v>
      </c>
      <c r="AB84" s="33">
        <v>71.68</v>
      </c>
      <c r="AC84" s="33">
        <v>62.52</v>
      </c>
      <c r="AD84" s="33">
        <v>54.84</v>
      </c>
      <c r="AE84" s="33">
        <v>43.77</v>
      </c>
      <c r="AF84" s="33">
        <v>45.05</v>
      </c>
      <c r="AG84" s="33">
        <v>35.95</v>
      </c>
      <c r="AH84" s="33">
        <v>37.24</v>
      </c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3</v>
      </c>
      <c r="D85" s="32" t="s">
        <v>2296</v>
      </c>
      <c r="E85" s="32"/>
      <c r="F85" s="32"/>
      <c r="G85" s="32"/>
      <c r="H85" s="33">
        <v>63.07</v>
      </c>
      <c r="I85" s="33">
        <v>90.62</v>
      </c>
      <c r="J85" s="33">
        <v>91.27</v>
      </c>
      <c r="K85" s="33">
        <v>118.27</v>
      </c>
      <c r="L85" s="33">
        <v>26.85</v>
      </c>
      <c r="M85" s="33">
        <v>26.85</v>
      </c>
      <c r="N85" s="33">
        <v>26.85</v>
      </c>
      <c r="O85" s="33">
        <v>26.85</v>
      </c>
      <c r="P85" s="33">
        <v>26.85</v>
      </c>
      <c r="Q85" s="33">
        <v>26.85</v>
      </c>
      <c r="R85" s="33">
        <v>26.85</v>
      </c>
      <c r="S85" s="33">
        <v>140.04</v>
      </c>
      <c r="T85" s="33">
        <v>73.28</v>
      </c>
      <c r="U85" s="33">
        <v>108.24</v>
      </c>
      <c r="V85" s="33">
        <v>97.95</v>
      </c>
      <c r="W85" s="33">
        <v>99.65</v>
      </c>
      <c r="X85" s="33">
        <v>70.53</v>
      </c>
      <c r="Y85" s="33">
        <v>26.85</v>
      </c>
      <c r="Z85" s="33">
        <v>26.85</v>
      </c>
      <c r="AA85" s="33">
        <v>31.14</v>
      </c>
      <c r="AB85" s="33">
        <v>26.85</v>
      </c>
      <c r="AC85" s="33">
        <v>26.87</v>
      </c>
      <c r="AD85" s="33">
        <v>27.82</v>
      </c>
      <c r="AE85" s="33">
        <v>68.51</v>
      </c>
      <c r="AF85" s="33">
        <v>51.36</v>
      </c>
      <c r="AG85" s="33">
        <v>85.48</v>
      </c>
      <c r="AH85" s="33">
        <v>92.31</v>
      </c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3</v>
      </c>
      <c r="D86" s="32" t="s">
        <v>2297</v>
      </c>
      <c r="E86" s="32"/>
      <c r="F86" s="32"/>
      <c r="G86" s="32"/>
      <c r="H86" s="33">
        <v>30.47</v>
      </c>
      <c r="I86" s="33">
        <v>56.36</v>
      </c>
      <c r="J86" s="33">
        <v>65.31</v>
      </c>
      <c r="K86" s="33">
        <v>66.82</v>
      </c>
      <c r="L86" s="33">
        <v>55.7</v>
      </c>
      <c r="M86" s="33">
        <v>26.85</v>
      </c>
      <c r="N86" s="33">
        <v>26.85</v>
      </c>
      <c r="O86" s="33">
        <v>26.85</v>
      </c>
      <c r="P86" s="33">
        <v>26.85</v>
      </c>
      <c r="Q86" s="33">
        <v>26.85</v>
      </c>
      <c r="R86" s="33">
        <v>28.16</v>
      </c>
      <c r="S86" s="33">
        <v>33.6</v>
      </c>
      <c r="T86" s="33">
        <v>30.22</v>
      </c>
      <c r="U86" s="33">
        <v>59.09</v>
      </c>
      <c r="V86" s="33">
        <v>72.87</v>
      </c>
      <c r="W86" s="33">
        <v>45.05</v>
      </c>
      <c r="X86" s="33">
        <v>54</v>
      </c>
      <c r="Y86" s="33">
        <v>27.43</v>
      </c>
      <c r="Z86" s="33">
        <v>26.85</v>
      </c>
      <c r="AA86" s="33">
        <v>30.14</v>
      </c>
      <c r="AB86" s="33">
        <v>27.43</v>
      </c>
      <c r="AC86" s="33">
        <v>26.87</v>
      </c>
      <c r="AD86" s="33">
        <v>33.99</v>
      </c>
      <c r="AE86" s="33">
        <v>64.75</v>
      </c>
      <c r="AF86" s="33">
        <v>37.21</v>
      </c>
      <c r="AG86" s="33">
        <v>67.84</v>
      </c>
      <c r="AH86" s="33">
        <v>68.77</v>
      </c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3</v>
      </c>
      <c r="D87" s="32" t="s">
        <v>2298</v>
      </c>
      <c r="E87" s="32"/>
      <c r="F87" s="32"/>
      <c r="G87" s="32"/>
      <c r="H87" s="33">
        <v>47.7</v>
      </c>
      <c r="I87" s="33">
        <v>47.28</v>
      </c>
      <c r="J87" s="33">
        <v>67.39</v>
      </c>
      <c r="K87" s="33">
        <v>63.94</v>
      </c>
      <c r="L87" s="33">
        <v>70.3</v>
      </c>
      <c r="M87" s="33">
        <v>107.87</v>
      </c>
      <c r="N87" s="33">
        <v>71.44</v>
      </c>
      <c r="O87" s="33">
        <v>77.39</v>
      </c>
      <c r="P87" s="36">
        <f>82.41+0.00</f>
        <v>82.41</v>
      </c>
      <c r="Q87" s="33">
        <v>72.09</v>
      </c>
      <c r="R87" s="33">
        <v>43.67</v>
      </c>
      <c r="S87" s="33">
        <v>43.14</v>
      </c>
      <c r="T87" s="33">
        <v>47.7</v>
      </c>
      <c r="U87" s="33">
        <v>49.57</v>
      </c>
      <c r="V87" s="33">
        <v>70.91</v>
      </c>
      <c r="W87" s="33">
        <v>62.65</v>
      </c>
      <c r="X87" s="33">
        <v>77.01</v>
      </c>
      <c r="Y87" s="33">
        <v>112.73</v>
      </c>
      <c r="Z87" s="33">
        <v>82.29</v>
      </c>
      <c r="AA87" s="33">
        <v>99.64</v>
      </c>
      <c r="AB87" s="33">
        <v>91.54</v>
      </c>
      <c r="AC87" s="33">
        <v>79.65</v>
      </c>
      <c r="AD87" s="33">
        <v>69.27</v>
      </c>
      <c r="AE87" s="33">
        <v>53.73</v>
      </c>
      <c r="AF87" s="33">
        <v>61.03</v>
      </c>
      <c r="AG87" s="33">
        <v>63.64</v>
      </c>
      <c r="AH87" s="33">
        <v>44.59</v>
      </c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3</v>
      </c>
      <c r="D88" s="32" t="s">
        <v>2299</v>
      </c>
      <c r="E88" s="32"/>
      <c r="F88" s="32"/>
      <c r="G88" s="32"/>
      <c r="H88" s="33">
        <v>65.72</v>
      </c>
      <c r="I88" s="33">
        <v>65.56</v>
      </c>
      <c r="J88" s="33">
        <v>63.34</v>
      </c>
      <c r="K88" s="33">
        <v>72.92</v>
      </c>
      <c r="L88" s="33">
        <v>43.84</v>
      </c>
      <c r="M88" s="33">
        <v>27.21</v>
      </c>
      <c r="N88" s="33">
        <v>27.16</v>
      </c>
      <c r="O88" s="33">
        <v>27.2</v>
      </c>
      <c r="P88" s="33">
        <v>55.7</v>
      </c>
      <c r="Q88" s="33">
        <v>69.7</v>
      </c>
      <c r="R88" s="33">
        <v>36.84</v>
      </c>
      <c r="S88" s="33">
        <v>33.42</v>
      </c>
      <c r="T88" s="33">
        <v>65.07</v>
      </c>
      <c r="U88" s="33">
        <v>67.53</v>
      </c>
      <c r="V88" s="33">
        <v>66.22</v>
      </c>
      <c r="W88" s="33">
        <v>79.49</v>
      </c>
      <c r="X88" s="33">
        <v>70.4</v>
      </c>
      <c r="Y88" s="33">
        <v>75.21</v>
      </c>
      <c r="Z88" s="33">
        <v>83.65</v>
      </c>
      <c r="AA88" s="33">
        <v>85.61</v>
      </c>
      <c r="AB88" s="33">
        <v>77.42</v>
      </c>
      <c r="AC88" s="33">
        <v>62.12</v>
      </c>
      <c r="AD88" s="33">
        <v>62.64</v>
      </c>
      <c r="AE88" s="33">
        <v>80.35</v>
      </c>
      <c r="AF88" s="33">
        <v>70.47</v>
      </c>
      <c r="AG88" s="33">
        <v>82.59</v>
      </c>
      <c r="AH88" s="33">
        <v>68.64</v>
      </c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3</v>
      </c>
      <c r="D89" s="32" t="s">
        <v>2300</v>
      </c>
      <c r="E89" s="32"/>
      <c r="F89" s="32"/>
      <c r="G89" s="32"/>
      <c r="H89" s="33">
        <v>104.54</v>
      </c>
      <c r="I89" s="33">
        <v>124.59</v>
      </c>
      <c r="J89" s="33">
        <v>127.08</v>
      </c>
      <c r="K89" s="33">
        <v>154.84</v>
      </c>
      <c r="L89" s="33">
        <v>162.67</v>
      </c>
      <c r="M89" s="33">
        <v>273.38</v>
      </c>
      <c r="N89" s="33">
        <v>270.2</v>
      </c>
      <c r="O89" s="33">
        <v>259.85</v>
      </c>
      <c r="P89" s="33">
        <v>287.69</v>
      </c>
      <c r="Q89" s="33">
        <v>225.47</v>
      </c>
      <c r="R89" s="33">
        <v>95.09</v>
      </c>
      <c r="S89" s="33">
        <v>43.47</v>
      </c>
      <c r="T89" s="33">
        <v>38.13</v>
      </c>
      <c r="U89" s="33">
        <v>36.21</v>
      </c>
      <c r="V89" s="33">
        <v>56.61</v>
      </c>
      <c r="W89" s="33">
        <v>86.26</v>
      </c>
      <c r="X89" s="33">
        <v>144.45</v>
      </c>
      <c r="Y89" s="33">
        <v>54.91</v>
      </c>
      <c r="Z89" s="33">
        <v>26.85</v>
      </c>
      <c r="AA89" s="33">
        <v>26.85</v>
      </c>
      <c r="AB89" s="33">
        <v>26.85</v>
      </c>
      <c r="AC89" s="33">
        <v>26.87</v>
      </c>
      <c r="AD89" s="33">
        <v>91.8</v>
      </c>
      <c r="AE89" s="33">
        <v>70.07</v>
      </c>
      <c r="AF89" s="33">
        <v>62.82</v>
      </c>
      <c r="AG89" s="33">
        <v>58.23</v>
      </c>
      <c r="AH89" s="33">
        <v>73.23</v>
      </c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3</v>
      </c>
      <c r="D90" s="32" t="s">
        <v>2301</v>
      </c>
      <c r="E90" s="32"/>
      <c r="F90" s="32"/>
      <c r="G90" s="32"/>
      <c r="H90" s="33">
        <v>102.42</v>
      </c>
      <c r="I90" s="33">
        <v>93.24</v>
      </c>
      <c r="J90" s="33">
        <v>101.27</v>
      </c>
      <c r="K90" s="33">
        <v>89.62</v>
      </c>
      <c r="L90" s="33">
        <v>87.75</v>
      </c>
      <c r="M90" s="33">
        <v>139.35</v>
      </c>
      <c r="N90" s="33">
        <v>58.97</v>
      </c>
      <c r="O90" s="33">
        <v>59.62</v>
      </c>
      <c r="P90" s="33">
        <v>63.97</v>
      </c>
      <c r="Q90" s="33">
        <v>108.51</v>
      </c>
      <c r="R90" s="33">
        <v>81.8</v>
      </c>
      <c r="S90" s="33">
        <v>93.59</v>
      </c>
      <c r="T90" s="33">
        <v>92.38</v>
      </c>
      <c r="U90" s="33">
        <v>117.99</v>
      </c>
      <c r="V90" s="33">
        <v>114.75</v>
      </c>
      <c r="W90" s="33">
        <v>109</v>
      </c>
      <c r="X90" s="33">
        <v>123.45</v>
      </c>
      <c r="Y90" s="33">
        <v>144.89</v>
      </c>
      <c r="Z90" s="33">
        <v>70.66</v>
      </c>
      <c r="AA90" s="33">
        <v>119.8</v>
      </c>
      <c r="AB90" s="33">
        <v>116.3</v>
      </c>
      <c r="AC90" s="33">
        <v>105.72</v>
      </c>
      <c r="AD90" s="33">
        <v>161.41</v>
      </c>
      <c r="AE90" s="33">
        <v>116.91</v>
      </c>
      <c r="AF90" s="33">
        <v>118.19</v>
      </c>
      <c r="AG90" s="33">
        <v>142.95</v>
      </c>
      <c r="AH90" s="33">
        <v>125.05</v>
      </c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3</v>
      </c>
      <c r="D91" s="32" t="s">
        <v>2302</v>
      </c>
      <c r="E91" s="32"/>
      <c r="F91" s="32"/>
      <c r="G91" s="32"/>
      <c r="H91" s="33">
        <v>51.12</v>
      </c>
      <c r="I91" s="33">
        <v>57.39</v>
      </c>
      <c r="J91" s="33">
        <v>62.95</v>
      </c>
      <c r="K91" s="33">
        <v>74.16</v>
      </c>
      <c r="L91" s="33">
        <v>58.63</v>
      </c>
      <c r="M91" s="33">
        <v>91.96</v>
      </c>
      <c r="N91" s="33">
        <v>75.17</v>
      </c>
      <c r="O91" s="33">
        <v>79.5</v>
      </c>
      <c r="P91" s="33">
        <v>73.3</v>
      </c>
      <c r="Q91" s="33">
        <v>65.38</v>
      </c>
      <c r="R91" s="33">
        <v>50.58</v>
      </c>
      <c r="S91" s="33">
        <v>58.97</v>
      </c>
      <c r="T91" s="33">
        <v>54.94</v>
      </c>
      <c r="U91" s="33">
        <v>65.59</v>
      </c>
      <c r="V91" s="33">
        <v>60.51</v>
      </c>
      <c r="W91" s="33">
        <v>91.33</v>
      </c>
      <c r="X91" s="33">
        <v>73.25</v>
      </c>
      <c r="Y91" s="33">
        <v>77.8</v>
      </c>
      <c r="Z91" s="33">
        <v>71.18</v>
      </c>
      <c r="AA91" s="33">
        <v>95.09</v>
      </c>
      <c r="AB91" s="33">
        <v>87.16</v>
      </c>
      <c r="AC91" s="33">
        <v>74.62</v>
      </c>
      <c r="AD91" s="33">
        <v>82.17</v>
      </c>
      <c r="AE91" s="33">
        <v>95.07</v>
      </c>
      <c r="AF91" s="33">
        <v>58.88</v>
      </c>
      <c r="AG91" s="33">
        <v>113.03</v>
      </c>
      <c r="AH91" s="33">
        <v>72.98</v>
      </c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3</v>
      </c>
      <c r="D92" s="32" t="s">
        <v>2303</v>
      </c>
      <c r="E92" s="32"/>
      <c r="F92" s="32"/>
      <c r="G92" s="32"/>
      <c r="H92" s="33">
        <v>45.17</v>
      </c>
      <c r="I92" s="33">
        <v>43.69</v>
      </c>
      <c r="J92" s="33">
        <v>67.8</v>
      </c>
      <c r="K92" s="33">
        <v>92.37</v>
      </c>
      <c r="L92" s="33">
        <v>84.84</v>
      </c>
      <c r="M92" s="33">
        <v>81.46</v>
      </c>
      <c r="N92" s="33">
        <v>62.33</v>
      </c>
      <c r="O92" s="33">
        <v>69.39</v>
      </c>
      <c r="P92" s="33">
        <v>72.02</v>
      </c>
      <c r="Q92" s="33">
        <v>71.79</v>
      </c>
      <c r="R92" s="33">
        <v>39.74</v>
      </c>
      <c r="S92" s="33">
        <v>34.86</v>
      </c>
      <c r="T92" s="33">
        <v>37.28</v>
      </c>
      <c r="U92" s="33">
        <v>100.83</v>
      </c>
      <c r="V92" s="33">
        <v>45.44</v>
      </c>
      <c r="W92" s="33">
        <v>39.19</v>
      </c>
      <c r="X92" s="33">
        <v>29.78</v>
      </c>
      <c r="Y92" s="33">
        <v>26.85</v>
      </c>
      <c r="Z92" s="33">
        <v>26.85</v>
      </c>
      <c r="AA92" s="33">
        <v>26.85</v>
      </c>
      <c r="AB92" s="33">
        <v>26.85</v>
      </c>
      <c r="AC92" s="33">
        <v>26.87</v>
      </c>
      <c r="AD92" s="33">
        <v>26.87</v>
      </c>
      <c r="AE92" s="33">
        <v>33.04</v>
      </c>
      <c r="AF92" s="33">
        <v>38.63</v>
      </c>
      <c r="AG92" s="33">
        <v>78.25</v>
      </c>
      <c r="AH92" s="33">
        <v>40.56</v>
      </c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3</v>
      </c>
      <c r="D93" s="32" t="s">
        <v>2304</v>
      </c>
      <c r="E93" s="32"/>
      <c r="F93" s="32"/>
      <c r="G93" s="32"/>
      <c r="H93" s="33">
        <v>41.63</v>
      </c>
      <c r="I93" s="33">
        <v>43.86</v>
      </c>
      <c r="J93" s="33">
        <v>52.92</v>
      </c>
      <c r="K93" s="33">
        <v>57.1</v>
      </c>
      <c r="L93" s="33">
        <v>52.45</v>
      </c>
      <c r="M93" s="33">
        <v>32.62</v>
      </c>
      <c r="N93" s="33">
        <v>26.85</v>
      </c>
      <c r="O93" s="33">
        <v>26.85</v>
      </c>
      <c r="P93" s="33">
        <v>26.85</v>
      </c>
      <c r="Q93" s="33">
        <v>26.85</v>
      </c>
      <c r="R93" s="33">
        <v>26.85</v>
      </c>
      <c r="S93" s="33">
        <v>51.28</v>
      </c>
      <c r="T93" s="33">
        <v>34.65</v>
      </c>
      <c r="U93" s="33">
        <v>40.23</v>
      </c>
      <c r="V93" s="33">
        <v>36.77</v>
      </c>
      <c r="W93" s="33">
        <v>48.54</v>
      </c>
      <c r="X93" s="33">
        <v>33.75</v>
      </c>
      <c r="Y93" s="33">
        <v>26.85</v>
      </c>
      <c r="Z93" s="33">
        <v>26.85</v>
      </c>
      <c r="AA93" s="33">
        <v>26.85</v>
      </c>
      <c r="AB93" s="33">
        <v>26.85</v>
      </c>
      <c r="AC93" s="33">
        <v>26.87</v>
      </c>
      <c r="AD93" s="33">
        <v>26.87</v>
      </c>
      <c r="AE93" s="33">
        <v>26.87</v>
      </c>
      <c r="AF93" s="33">
        <v>42.64</v>
      </c>
      <c r="AG93" s="33">
        <v>74.82</v>
      </c>
      <c r="AH93" s="33">
        <v>66.65</v>
      </c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3</v>
      </c>
      <c r="D94" s="32" t="s">
        <v>2305</v>
      </c>
      <c r="E94" s="32"/>
      <c r="F94" s="32"/>
      <c r="G94" s="32"/>
      <c r="H94" s="33">
        <v>38.23</v>
      </c>
      <c r="I94" s="33">
        <v>37.97</v>
      </c>
      <c r="J94" s="33">
        <v>40.15</v>
      </c>
      <c r="K94" s="33">
        <v>54.98</v>
      </c>
      <c r="L94" s="33">
        <v>55.35</v>
      </c>
      <c r="M94" s="33">
        <v>90.08</v>
      </c>
      <c r="N94" s="33">
        <v>82.27</v>
      </c>
      <c r="O94" s="33">
        <v>80.4</v>
      </c>
      <c r="P94" s="33">
        <v>94.63</v>
      </c>
      <c r="Q94" s="33">
        <v>88.12</v>
      </c>
      <c r="R94" s="33">
        <v>53.16</v>
      </c>
      <c r="S94" s="33">
        <v>49.78</v>
      </c>
      <c r="T94" s="33">
        <v>36.9</v>
      </c>
      <c r="U94" s="33">
        <v>37.62</v>
      </c>
      <c r="V94" s="33">
        <v>33.6</v>
      </c>
      <c r="W94" s="33">
        <v>43.49</v>
      </c>
      <c r="X94" s="33">
        <v>55.96</v>
      </c>
      <c r="Y94" s="33">
        <v>83.54</v>
      </c>
      <c r="Z94" s="33">
        <v>33.01</v>
      </c>
      <c r="AA94" s="33">
        <v>31.42</v>
      </c>
      <c r="AB94" s="33">
        <v>29.88</v>
      </c>
      <c r="AC94" s="33">
        <v>29.09</v>
      </c>
      <c r="AD94" s="33">
        <v>29.17</v>
      </c>
      <c r="AE94" s="33">
        <v>29.09</v>
      </c>
      <c r="AF94" s="33">
        <v>52.66</v>
      </c>
      <c r="AG94" s="33">
        <v>89.71</v>
      </c>
      <c r="AH94" s="33">
        <v>108.75</v>
      </c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3</v>
      </c>
      <c r="D95" s="32" t="s">
        <v>2306</v>
      </c>
      <c r="E95" s="32"/>
      <c r="F95" s="32"/>
      <c r="G95" s="32"/>
      <c r="H95" s="33">
        <v>66.78</v>
      </c>
      <c r="I95" s="33">
        <v>62.01</v>
      </c>
      <c r="J95" s="33">
        <v>75.99</v>
      </c>
      <c r="K95" s="33">
        <v>63.57</v>
      </c>
      <c r="L95" s="33">
        <v>65.85</v>
      </c>
      <c r="M95" s="33">
        <v>96.72</v>
      </c>
      <c r="N95" s="33">
        <v>79.96</v>
      </c>
      <c r="O95" s="33">
        <v>86.49</v>
      </c>
      <c r="P95" s="33">
        <v>91.96</v>
      </c>
      <c r="Q95" s="33">
        <v>84.36</v>
      </c>
      <c r="R95" s="33">
        <v>72.6</v>
      </c>
      <c r="S95" s="33">
        <v>65.51</v>
      </c>
      <c r="T95" s="33">
        <v>57.7</v>
      </c>
      <c r="U95" s="33">
        <v>52.42</v>
      </c>
      <c r="V95" s="33">
        <v>72.99</v>
      </c>
      <c r="W95" s="33">
        <v>78.59</v>
      </c>
      <c r="X95" s="33">
        <v>95.46</v>
      </c>
      <c r="Y95" s="33">
        <v>90.29</v>
      </c>
      <c r="Z95" s="33">
        <v>75.59</v>
      </c>
      <c r="AA95" s="33">
        <v>95.35</v>
      </c>
      <c r="AB95" s="33">
        <v>88.98</v>
      </c>
      <c r="AC95" s="33">
        <v>80.09</v>
      </c>
      <c r="AD95" s="33">
        <v>74.62</v>
      </c>
      <c r="AE95" s="33">
        <v>68.51</v>
      </c>
      <c r="AF95" s="33">
        <v>62.42</v>
      </c>
      <c r="AG95" s="33">
        <v>60.86</v>
      </c>
      <c r="AH95" s="33">
        <v>58.25</v>
      </c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3</v>
      </c>
      <c r="D96" s="32" t="s">
        <v>2307</v>
      </c>
      <c r="E96" s="32"/>
      <c r="F96" s="32"/>
      <c r="G96" s="32"/>
      <c r="H96" s="33">
        <v>29.81</v>
      </c>
      <c r="I96" s="33">
        <v>58.45</v>
      </c>
      <c r="J96" s="33">
        <v>71.1</v>
      </c>
      <c r="K96" s="33">
        <v>71.42</v>
      </c>
      <c r="L96" s="33">
        <v>75.28</v>
      </c>
      <c r="M96" s="33">
        <v>27.7</v>
      </c>
      <c r="N96" s="33">
        <v>27.53</v>
      </c>
      <c r="O96" s="33">
        <v>27.54</v>
      </c>
      <c r="P96" s="33">
        <v>27.61</v>
      </c>
      <c r="Q96" s="33">
        <v>27.49</v>
      </c>
      <c r="R96" s="33">
        <v>44.76</v>
      </c>
      <c r="S96" s="33">
        <v>56.76</v>
      </c>
      <c r="T96" s="33">
        <v>56.78</v>
      </c>
      <c r="U96" s="33">
        <v>68.06</v>
      </c>
      <c r="V96" s="33">
        <v>64.94</v>
      </c>
      <c r="W96" s="33">
        <v>32.2</v>
      </c>
      <c r="X96" s="33">
        <v>30.36</v>
      </c>
      <c r="Y96" s="33">
        <v>26.85</v>
      </c>
      <c r="Z96" s="33">
        <v>26.85</v>
      </c>
      <c r="AA96" s="33">
        <v>26.85</v>
      </c>
      <c r="AB96" s="33">
        <v>26.85</v>
      </c>
      <c r="AC96" s="33">
        <v>26.87</v>
      </c>
      <c r="AD96" s="33">
        <v>26.87</v>
      </c>
      <c r="AE96" s="33">
        <v>26.87</v>
      </c>
      <c r="AF96" s="33">
        <v>34.42</v>
      </c>
      <c r="AG96" s="33">
        <v>41.55</v>
      </c>
      <c r="AH96" s="33">
        <v>77.85</v>
      </c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3</v>
      </c>
      <c r="D97" s="32" t="s">
        <v>2308</v>
      </c>
      <c r="E97" s="32"/>
      <c r="F97" s="32"/>
      <c r="G97" s="32"/>
      <c r="H97" s="33">
        <v>117.96</v>
      </c>
      <c r="I97" s="33">
        <v>93.77</v>
      </c>
      <c r="J97" s="33">
        <v>118.64</v>
      </c>
      <c r="K97" s="33">
        <v>121.12</v>
      </c>
      <c r="L97" s="33">
        <v>82.27</v>
      </c>
      <c r="M97" s="33">
        <v>56.28</v>
      </c>
      <c r="N97" s="33">
        <v>46.74</v>
      </c>
      <c r="O97" s="33">
        <v>57.91</v>
      </c>
      <c r="P97" s="33">
        <v>60.84</v>
      </c>
      <c r="Q97" s="33">
        <v>56.28</v>
      </c>
      <c r="R97" s="33">
        <v>36.57</v>
      </c>
      <c r="S97" s="33">
        <v>119.91</v>
      </c>
      <c r="T97" s="33">
        <v>82.24</v>
      </c>
      <c r="U97" s="33">
        <v>97.32</v>
      </c>
      <c r="V97" s="33">
        <v>116.8</v>
      </c>
      <c r="W97" s="33">
        <v>126.06</v>
      </c>
      <c r="X97" s="33">
        <v>114.75</v>
      </c>
      <c r="Y97" s="33">
        <v>39.57</v>
      </c>
      <c r="Z97" s="33">
        <v>26.85</v>
      </c>
      <c r="AA97" s="33">
        <v>27.17</v>
      </c>
      <c r="AB97" s="33">
        <v>26.85</v>
      </c>
      <c r="AC97" s="33">
        <v>27.09</v>
      </c>
      <c r="AD97" s="33">
        <v>27.15</v>
      </c>
      <c r="AE97" s="33">
        <v>27.25</v>
      </c>
      <c r="AF97" s="33">
        <v>174.06</v>
      </c>
      <c r="AG97" s="33">
        <v>191.82</v>
      </c>
      <c r="AH97" s="33">
        <v>181.2</v>
      </c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3</v>
      </c>
      <c r="D98" s="32" t="s">
        <v>2309</v>
      </c>
      <c r="E98" s="32"/>
      <c r="F98" s="32"/>
      <c r="G98" s="32"/>
      <c r="H98" s="33">
        <v>37.82</v>
      </c>
      <c r="I98" s="33">
        <v>79.53</v>
      </c>
      <c r="J98" s="33">
        <v>82.94</v>
      </c>
      <c r="K98" s="33">
        <v>90.6</v>
      </c>
      <c r="L98" s="33">
        <v>41.24</v>
      </c>
      <c r="M98" s="33">
        <v>26.85</v>
      </c>
      <c r="N98" s="33">
        <v>26.85</v>
      </c>
      <c r="O98" s="33">
        <v>26.85</v>
      </c>
      <c r="P98" s="33">
        <v>26.85</v>
      </c>
      <c r="Q98" s="33">
        <v>26.85</v>
      </c>
      <c r="R98" s="33">
        <v>26.85</v>
      </c>
      <c r="S98" s="33">
        <v>88.82</v>
      </c>
      <c r="T98" s="33">
        <v>57.15</v>
      </c>
      <c r="U98" s="33">
        <v>137.24</v>
      </c>
      <c r="V98" s="33">
        <v>119.15</v>
      </c>
      <c r="W98" s="33">
        <v>128.13</v>
      </c>
      <c r="X98" s="33">
        <v>60.11</v>
      </c>
      <c r="Y98" s="33">
        <v>26.85</v>
      </c>
      <c r="Z98" s="33">
        <v>27.55</v>
      </c>
      <c r="AA98" s="33">
        <v>33.96</v>
      </c>
      <c r="AB98" s="33">
        <v>26.85</v>
      </c>
      <c r="AC98" s="33">
        <v>26.87</v>
      </c>
      <c r="AD98" s="33">
        <v>29.25</v>
      </c>
      <c r="AE98" s="33">
        <v>69.94</v>
      </c>
      <c r="AF98" s="33">
        <v>50.43</v>
      </c>
      <c r="AG98" s="33">
        <v>144.93</v>
      </c>
      <c r="AH98" s="33">
        <v>137.17</v>
      </c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3</v>
      </c>
      <c r="D99" s="32" t="s">
        <v>2310</v>
      </c>
      <c r="E99" s="32"/>
      <c r="F99" s="32"/>
      <c r="G99" s="32"/>
      <c r="H99" s="33">
        <v>59.39</v>
      </c>
      <c r="I99" s="33">
        <v>85.46</v>
      </c>
      <c r="J99" s="33">
        <v>94.43</v>
      </c>
      <c r="K99" s="33">
        <v>108.17</v>
      </c>
      <c r="L99" s="33">
        <v>80.4</v>
      </c>
      <c r="M99" s="33">
        <v>27.49</v>
      </c>
      <c r="N99" s="33">
        <v>26.85</v>
      </c>
      <c r="O99" s="33">
        <v>26.85</v>
      </c>
      <c r="P99" s="33">
        <v>26.85</v>
      </c>
      <c r="Q99" s="33">
        <v>26.85</v>
      </c>
      <c r="R99" s="33">
        <v>33.6</v>
      </c>
      <c r="S99" s="33">
        <v>83.89</v>
      </c>
      <c r="T99" s="33">
        <v>28.93</v>
      </c>
      <c r="U99" s="33">
        <v>64.14</v>
      </c>
      <c r="V99" s="33">
        <v>48.17</v>
      </c>
      <c r="W99" s="33">
        <v>58.68</v>
      </c>
      <c r="X99" s="33">
        <v>62.32</v>
      </c>
      <c r="Y99" s="33">
        <v>29.02</v>
      </c>
      <c r="Z99" s="33">
        <v>26.85</v>
      </c>
      <c r="AA99" s="33">
        <v>26.85</v>
      </c>
      <c r="AB99" s="33">
        <v>26.85</v>
      </c>
      <c r="AC99" s="33">
        <v>26.87</v>
      </c>
      <c r="AD99" s="33">
        <v>30.82</v>
      </c>
      <c r="AE99" s="33">
        <v>41.97</v>
      </c>
      <c r="AF99" s="33">
        <v>103.15</v>
      </c>
      <c r="AG99" s="33">
        <v>111.72</v>
      </c>
      <c r="AH99" s="33">
        <v>76.25</v>
      </c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3</v>
      </c>
      <c r="D100" s="32" t="s">
        <v>2311</v>
      </c>
      <c r="E100" s="32"/>
      <c r="F100" s="32"/>
      <c r="G100" s="32"/>
      <c r="H100" s="33">
        <v>79.26</v>
      </c>
      <c r="I100" s="33">
        <v>91.27</v>
      </c>
      <c r="J100" s="33">
        <v>97.84</v>
      </c>
      <c r="K100" s="33">
        <v>96.22</v>
      </c>
      <c r="L100" s="33">
        <v>72.6</v>
      </c>
      <c r="M100" s="33">
        <v>26.85</v>
      </c>
      <c r="N100" s="33">
        <v>26.85</v>
      </c>
      <c r="O100" s="33">
        <v>26.85</v>
      </c>
      <c r="P100" s="33">
        <v>26.85</v>
      </c>
      <c r="Q100" s="33">
        <v>28.6</v>
      </c>
      <c r="R100" s="33">
        <v>77.74</v>
      </c>
      <c r="S100" s="33">
        <v>77.03</v>
      </c>
      <c r="T100" s="33">
        <v>68.84</v>
      </c>
      <c r="U100" s="33">
        <v>84.84</v>
      </c>
      <c r="V100" s="33">
        <v>65.98</v>
      </c>
      <c r="W100" s="33">
        <v>78.99</v>
      </c>
      <c r="X100" s="33">
        <v>40.73</v>
      </c>
      <c r="Y100" s="33">
        <v>26.85</v>
      </c>
      <c r="Z100" s="33">
        <v>26.85</v>
      </c>
      <c r="AA100" s="33">
        <v>26.85</v>
      </c>
      <c r="AB100" s="33">
        <v>26.85</v>
      </c>
      <c r="AC100" s="33">
        <v>26.87</v>
      </c>
      <c r="AD100" s="33">
        <v>26.87</v>
      </c>
      <c r="AE100" s="33">
        <v>33.15</v>
      </c>
      <c r="AF100" s="33">
        <v>77.73</v>
      </c>
      <c r="AG100" s="33">
        <v>60.32</v>
      </c>
      <c r="AH100" s="33">
        <v>68.11</v>
      </c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3</v>
      </c>
      <c r="D101" s="32" t="s">
        <v>2312</v>
      </c>
      <c r="E101" s="32"/>
      <c r="F101" s="32"/>
      <c r="G101" s="32"/>
      <c r="H101" s="33">
        <v>62.94</v>
      </c>
      <c r="I101" s="33">
        <v>64.77</v>
      </c>
      <c r="J101" s="33">
        <v>64.64</v>
      </c>
      <c r="K101" s="33">
        <v>99.47</v>
      </c>
      <c r="L101" s="33">
        <v>54.19</v>
      </c>
      <c r="M101" s="33">
        <v>46.63</v>
      </c>
      <c r="N101" s="33">
        <v>60.02</v>
      </c>
      <c r="O101" s="33">
        <v>90.05</v>
      </c>
      <c r="P101" s="33">
        <v>26.85</v>
      </c>
      <c r="Q101" s="33">
        <v>26.85</v>
      </c>
      <c r="R101" s="33">
        <v>26.85</v>
      </c>
      <c r="S101" s="33">
        <v>32.77</v>
      </c>
      <c r="T101" s="33">
        <v>39.87</v>
      </c>
      <c r="U101" s="33">
        <v>56.1</v>
      </c>
      <c r="V101" s="33">
        <v>130.32</v>
      </c>
      <c r="W101" s="33">
        <v>30.41</v>
      </c>
      <c r="X101" s="33">
        <v>30.14</v>
      </c>
      <c r="Y101" s="33">
        <v>34.34</v>
      </c>
      <c r="Z101" s="33">
        <v>26.85</v>
      </c>
      <c r="AA101" s="33">
        <v>26.85</v>
      </c>
      <c r="AB101" s="33">
        <v>26.85</v>
      </c>
      <c r="AC101" s="33">
        <v>26.87</v>
      </c>
      <c r="AD101" s="33">
        <v>29.35</v>
      </c>
      <c r="AE101" s="33">
        <v>33.1</v>
      </c>
      <c r="AF101" s="33">
        <v>50.18</v>
      </c>
      <c r="AG101" s="33">
        <v>46.1</v>
      </c>
      <c r="AH101" s="33">
        <v>133.21</v>
      </c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3</v>
      </c>
      <c r="D102" s="32" t="s">
        <v>2313</v>
      </c>
      <c r="E102" s="32"/>
      <c r="F102" s="32"/>
      <c r="G102" s="32"/>
      <c r="H102" s="33">
        <v>163.8</v>
      </c>
      <c r="I102" s="33">
        <v>139.19</v>
      </c>
      <c r="J102" s="33">
        <v>186.09</v>
      </c>
      <c r="K102" s="33">
        <v>171.78</v>
      </c>
      <c r="L102" s="33">
        <v>191.94</v>
      </c>
      <c r="M102" s="33">
        <v>31.4</v>
      </c>
      <c r="N102" s="33">
        <v>27.01</v>
      </c>
      <c r="O102" s="33">
        <v>27.12</v>
      </c>
      <c r="P102" s="33">
        <v>27.25</v>
      </c>
      <c r="Q102" s="33">
        <v>27.16</v>
      </c>
      <c r="R102" s="33">
        <v>32.38</v>
      </c>
      <c r="S102" s="33">
        <v>95.45</v>
      </c>
      <c r="T102" s="33">
        <v>128.5</v>
      </c>
      <c r="U102" s="33">
        <v>149.91</v>
      </c>
      <c r="V102" s="33">
        <v>123.05</v>
      </c>
      <c r="W102" s="33">
        <v>132.02</v>
      </c>
      <c r="X102" s="33">
        <v>131.77</v>
      </c>
      <c r="Y102" s="33">
        <v>184.15</v>
      </c>
      <c r="Z102" s="33">
        <v>167.33</v>
      </c>
      <c r="AA102" s="33">
        <v>215.08</v>
      </c>
      <c r="AB102" s="33">
        <v>191.14</v>
      </c>
      <c r="AC102" s="33">
        <v>156.26</v>
      </c>
      <c r="AD102" s="33">
        <v>122.39</v>
      </c>
      <c r="AE102" s="33">
        <v>68.64</v>
      </c>
      <c r="AF102" s="33">
        <v>59.28</v>
      </c>
      <c r="AG102" s="33">
        <v>62.17</v>
      </c>
      <c r="AH102" s="33">
        <v>57.83</v>
      </c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3</v>
      </c>
      <c r="D103" s="32" t="s">
        <v>2314</v>
      </c>
      <c r="E103" s="32"/>
      <c r="F103" s="32"/>
      <c r="G103" s="32"/>
      <c r="H103" s="33">
        <v>30.97</v>
      </c>
      <c r="I103" s="33">
        <v>35.65</v>
      </c>
      <c r="J103" s="33">
        <v>33.26</v>
      </c>
      <c r="K103" s="33">
        <v>53.49</v>
      </c>
      <c r="L103" s="33">
        <v>34.07</v>
      </c>
      <c r="M103" s="33">
        <v>43.95</v>
      </c>
      <c r="N103" s="33">
        <v>72.13</v>
      </c>
      <c r="O103" s="33">
        <v>46.97</v>
      </c>
      <c r="P103" s="33">
        <v>28.71</v>
      </c>
      <c r="Q103" s="33">
        <v>32.03</v>
      </c>
      <c r="R103" s="33">
        <v>37.63</v>
      </c>
      <c r="S103" s="33">
        <v>38.45</v>
      </c>
      <c r="T103" s="33">
        <v>34.45</v>
      </c>
      <c r="U103" s="33">
        <v>56.36</v>
      </c>
      <c r="V103" s="33">
        <v>37.84</v>
      </c>
      <c r="W103" s="33">
        <v>41.93</v>
      </c>
      <c r="X103" s="33">
        <v>54.54</v>
      </c>
      <c r="Y103" s="33">
        <v>26.85</v>
      </c>
      <c r="Z103" s="33">
        <v>26.85</v>
      </c>
      <c r="AA103" s="33">
        <v>28.11</v>
      </c>
      <c r="AB103" s="33">
        <v>27.13</v>
      </c>
      <c r="AC103" s="33">
        <v>37.66</v>
      </c>
      <c r="AD103" s="33">
        <v>27.34</v>
      </c>
      <c r="AE103" s="33">
        <v>32.71</v>
      </c>
      <c r="AF103" s="33">
        <v>41.04</v>
      </c>
      <c r="AG103" s="33">
        <v>52.29</v>
      </c>
      <c r="AH103" s="33">
        <v>46.28</v>
      </c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3</v>
      </c>
      <c r="D104" s="32" t="s">
        <v>2315</v>
      </c>
      <c r="E104" s="32"/>
      <c r="F104" s="32"/>
      <c r="G104" s="32"/>
      <c r="H104" s="33">
        <v>120.33</v>
      </c>
      <c r="I104" s="33">
        <v>117.85</v>
      </c>
      <c r="J104" s="33">
        <v>140.64</v>
      </c>
      <c r="K104" s="33">
        <v>150.61</v>
      </c>
      <c r="L104" s="33">
        <v>165.72</v>
      </c>
      <c r="M104" s="33">
        <v>164.62</v>
      </c>
      <c r="N104" s="33">
        <v>26.85</v>
      </c>
      <c r="O104" s="33">
        <v>26.85</v>
      </c>
      <c r="P104" s="33">
        <v>26.85</v>
      </c>
      <c r="Q104" s="33">
        <v>26.85</v>
      </c>
      <c r="R104" s="33">
        <v>26.85</v>
      </c>
      <c r="S104" s="33">
        <v>34.6</v>
      </c>
      <c r="T104" s="33">
        <v>133.17</v>
      </c>
      <c r="U104" s="33">
        <v>161.26</v>
      </c>
      <c r="V104" s="33">
        <v>144.12</v>
      </c>
      <c r="W104" s="33">
        <v>201.42</v>
      </c>
      <c r="X104" s="33">
        <v>257.22</v>
      </c>
      <c r="Y104" s="33">
        <v>190.51</v>
      </c>
      <c r="Z104" s="33">
        <v>26.85</v>
      </c>
      <c r="AA104" s="33">
        <v>26.85</v>
      </c>
      <c r="AB104" s="33">
        <v>29.22</v>
      </c>
      <c r="AC104" s="33">
        <v>28.37</v>
      </c>
      <c r="AD104" s="33">
        <v>28.62</v>
      </c>
      <c r="AE104" s="33">
        <v>60.97</v>
      </c>
      <c r="AF104" s="33">
        <v>104.08</v>
      </c>
      <c r="AG104" s="33">
        <v>104.48</v>
      </c>
      <c r="AH104" s="33">
        <v>106.76</v>
      </c>
      <c r="AI104" s="32"/>
      <c r="AJ104" s="34">
        <f>SUM(E104:AI104)</f>
      </c>
      <c r="AK104" s="35"/>
    </row>
    <row r="105" ht="12.75" customHeight="1" spans="2:37" x14ac:dyDescent="0.25">
      <c r="B105" s="30" t="s">
        <v>42</v>
      </c>
      <c r="C105" s="31" t="s">
        <v>3</v>
      </c>
      <c r="D105" s="32" t="s">
        <v>2316</v>
      </c>
      <c r="E105" s="32"/>
      <c r="F105" s="32"/>
      <c r="G105" s="32"/>
      <c r="H105" s="33">
        <v>27.28</v>
      </c>
      <c r="I105" s="33">
        <v>38.56</v>
      </c>
      <c r="J105" s="33">
        <v>64.64</v>
      </c>
      <c r="K105" s="33">
        <v>91.99</v>
      </c>
      <c r="L105" s="33">
        <v>109.57</v>
      </c>
      <c r="M105" s="33">
        <v>118.16</v>
      </c>
      <c r="N105" s="33">
        <v>86.81</v>
      </c>
      <c r="O105" s="33">
        <v>98.66</v>
      </c>
      <c r="P105" s="33">
        <v>105.81</v>
      </c>
      <c r="Q105" s="33">
        <v>98.6</v>
      </c>
      <c r="R105" s="33">
        <v>55.95</v>
      </c>
      <c r="S105" s="33">
        <v>56.4</v>
      </c>
      <c r="T105" s="33">
        <v>89.51</v>
      </c>
      <c r="U105" s="33">
        <v>92.36</v>
      </c>
      <c r="V105" s="33">
        <v>101.35</v>
      </c>
      <c r="W105" s="33">
        <v>119.68</v>
      </c>
      <c r="X105" s="33">
        <v>33.91</v>
      </c>
      <c r="Y105" s="33">
        <v>50.75</v>
      </c>
      <c r="Z105" s="33">
        <v>44.91</v>
      </c>
      <c r="AA105" s="33">
        <v>61.56</v>
      </c>
      <c r="AB105" s="33">
        <v>57.38</v>
      </c>
      <c r="AC105" s="33">
        <v>44.43</v>
      </c>
      <c r="AD105" s="33">
        <v>35.8</v>
      </c>
      <c r="AE105" s="33">
        <v>127.47</v>
      </c>
      <c r="AF105" s="33">
        <v>83.5</v>
      </c>
      <c r="AG105" s="33">
        <v>116.21</v>
      </c>
      <c r="AH105" s="33">
        <v>118.2</v>
      </c>
      <c r="AI105" s="32"/>
      <c r="AJ105" s="34">
        <f>SUM(E105:AI105)</f>
      </c>
      <c r="AK105" s="35"/>
    </row>
    <row r="106" ht="12.75" customHeight="1" spans="2:37" x14ac:dyDescent="0.25">
      <c r="B106" s="30" t="s">
        <v>42</v>
      </c>
      <c r="C106" s="31" t="s">
        <v>3</v>
      </c>
      <c r="D106" s="32" t="s">
        <v>2317</v>
      </c>
      <c r="E106" s="32"/>
      <c r="F106" s="32"/>
      <c r="G106" s="32"/>
      <c r="H106" s="33">
        <v>274.88</v>
      </c>
      <c r="I106" s="33">
        <v>262.67</v>
      </c>
      <c r="J106" s="33">
        <v>280.43</v>
      </c>
      <c r="K106" s="33">
        <v>274.47</v>
      </c>
      <c r="L106" s="33">
        <v>283</v>
      </c>
      <c r="M106" s="33">
        <v>411.39</v>
      </c>
      <c r="N106" s="33">
        <v>366.79</v>
      </c>
      <c r="O106" s="33">
        <v>340.81</v>
      </c>
      <c r="P106" s="33">
        <v>253.21</v>
      </c>
      <c r="Q106" s="33">
        <v>237.21</v>
      </c>
      <c r="R106" s="33">
        <v>215.4</v>
      </c>
      <c r="S106" s="33">
        <v>212.34</v>
      </c>
      <c r="T106" s="33">
        <v>283.87</v>
      </c>
      <c r="U106" s="33">
        <v>293.9</v>
      </c>
      <c r="V106" s="33">
        <v>258.73</v>
      </c>
      <c r="W106" s="33">
        <v>265.55</v>
      </c>
      <c r="X106" s="33">
        <v>291.47</v>
      </c>
      <c r="Y106" s="33">
        <v>26.85</v>
      </c>
      <c r="Z106" s="33">
        <v>34.27</v>
      </c>
      <c r="AA106" s="33">
        <v>120.97</v>
      </c>
      <c r="AB106" s="33">
        <v>63.35</v>
      </c>
      <c r="AC106" s="33">
        <v>41.97</v>
      </c>
      <c r="AD106" s="33">
        <v>101.82</v>
      </c>
      <c r="AE106" s="33">
        <v>30.56</v>
      </c>
      <c r="AF106" s="33">
        <v>36.38</v>
      </c>
      <c r="AG106" s="33">
        <v>84.31</v>
      </c>
      <c r="AH106" s="33">
        <v>87.03</v>
      </c>
      <c r="AI106" s="32"/>
      <c r="AJ106" s="34">
        <f>SUM(E106:AI106)</f>
      </c>
      <c r="AK106" s="35"/>
    </row>
    <row r="107" ht="12.75" customHeight="1" spans="2:37" x14ac:dyDescent="0.25">
      <c r="B107" s="30" t="s">
        <v>42</v>
      </c>
      <c r="C107" s="31" t="s">
        <v>3</v>
      </c>
      <c r="D107" s="32" t="s">
        <v>2318</v>
      </c>
      <c r="E107" s="32"/>
      <c r="F107" s="32"/>
      <c r="G107" s="32"/>
      <c r="H107" s="33">
        <v>47.29</v>
      </c>
      <c r="I107" s="33">
        <v>63.19</v>
      </c>
      <c r="J107" s="33">
        <v>75.2</v>
      </c>
      <c r="K107" s="33">
        <v>84.39</v>
      </c>
      <c r="L107" s="33">
        <v>85.77</v>
      </c>
      <c r="M107" s="33">
        <v>120.25</v>
      </c>
      <c r="N107" s="33">
        <v>132.58</v>
      </c>
      <c r="O107" s="33">
        <v>108.09</v>
      </c>
      <c r="P107" s="33">
        <v>42.2</v>
      </c>
      <c r="Q107" s="33">
        <v>26.85</v>
      </c>
      <c r="R107" s="33">
        <v>26.85</v>
      </c>
      <c r="S107" s="33">
        <v>26.85</v>
      </c>
      <c r="T107" s="33">
        <v>27.96</v>
      </c>
      <c r="U107" s="33">
        <v>57.51</v>
      </c>
      <c r="V107" s="33">
        <v>76.24</v>
      </c>
      <c r="W107" s="33">
        <v>40.73</v>
      </c>
      <c r="X107" s="33">
        <v>26.85</v>
      </c>
      <c r="Y107" s="33">
        <v>26.85</v>
      </c>
      <c r="Z107" s="33">
        <v>26.85</v>
      </c>
      <c r="AA107" s="33">
        <v>26.85</v>
      </c>
      <c r="AB107" s="33">
        <v>26.85</v>
      </c>
      <c r="AC107" s="33">
        <v>26.87</v>
      </c>
      <c r="AD107" s="33">
        <v>30.82</v>
      </c>
      <c r="AE107" s="33">
        <v>42.1</v>
      </c>
      <c r="AF107" s="33">
        <v>107.24</v>
      </c>
      <c r="AG107" s="33">
        <v>107.24</v>
      </c>
      <c r="AH107" s="33">
        <v>80.99</v>
      </c>
      <c r="AI107" s="32"/>
      <c r="AJ107" s="34">
        <f>SUM(E107:AI107)</f>
      </c>
      <c r="AK107" s="35"/>
    </row>
    <row r="108" ht="12.75" customHeight="1" spans="2:37" x14ac:dyDescent="0.25">
      <c r="B108" s="30" t="s">
        <v>42</v>
      </c>
      <c r="C108" s="31" t="s">
        <v>3</v>
      </c>
      <c r="D108" s="32" t="s">
        <v>2319</v>
      </c>
      <c r="E108" s="32"/>
      <c r="F108" s="32"/>
      <c r="G108" s="32"/>
      <c r="H108" s="33">
        <v>116.24</v>
      </c>
      <c r="I108" s="33">
        <v>111.67</v>
      </c>
      <c r="J108" s="33">
        <v>136.56</v>
      </c>
      <c r="K108" s="33">
        <v>124.5</v>
      </c>
      <c r="L108" s="33">
        <v>109.57</v>
      </c>
      <c r="M108" s="33">
        <v>148.18</v>
      </c>
      <c r="N108" s="33">
        <v>112.48</v>
      </c>
      <c r="O108" s="33">
        <v>118.62</v>
      </c>
      <c r="P108" s="33">
        <v>116.89</v>
      </c>
      <c r="Q108" s="33">
        <v>111.17</v>
      </c>
      <c r="R108" s="33">
        <v>85.41</v>
      </c>
      <c r="S108" s="33">
        <v>73.3</v>
      </c>
      <c r="T108" s="33">
        <v>66.67</v>
      </c>
      <c r="U108" s="33">
        <v>60.63</v>
      </c>
      <c r="V108" s="33">
        <v>67.27</v>
      </c>
      <c r="W108" s="33">
        <v>69.61</v>
      </c>
      <c r="X108" s="33">
        <v>97.95</v>
      </c>
      <c r="Y108" s="33">
        <v>151.73</v>
      </c>
      <c r="Z108" s="33">
        <v>125.13</v>
      </c>
      <c r="AA108" s="33">
        <v>172.34</v>
      </c>
      <c r="AB108" s="33">
        <v>141.27</v>
      </c>
      <c r="AC108" s="33">
        <v>130.98</v>
      </c>
      <c r="AD108" s="33">
        <v>110.67</v>
      </c>
      <c r="AE108" s="33">
        <v>77.75</v>
      </c>
      <c r="AF108" s="33">
        <v>79.44</v>
      </c>
      <c r="AG108" s="33">
        <v>79.17</v>
      </c>
      <c r="AH108" s="33">
        <v>62.83</v>
      </c>
      <c r="AI108" s="32"/>
      <c r="AJ108" s="34">
        <f>SUM(E108:AI108)</f>
      </c>
      <c r="AK108" s="35"/>
    </row>
    <row r="109" ht="12.75" customHeight="1" spans="2:37" x14ac:dyDescent="0.25">
      <c r="B109" s="30" t="s">
        <v>42</v>
      </c>
      <c r="C109" s="31" t="s">
        <v>3</v>
      </c>
      <c r="D109" s="32" t="s">
        <v>2320</v>
      </c>
      <c r="E109" s="32"/>
      <c r="F109" s="32"/>
      <c r="G109" s="32"/>
      <c r="H109" s="33">
        <v>207.87</v>
      </c>
      <c r="I109" s="33">
        <v>172.43</v>
      </c>
      <c r="J109" s="33">
        <v>129.19</v>
      </c>
      <c r="K109" s="33">
        <v>180.85</v>
      </c>
      <c r="L109" s="33">
        <v>202.96</v>
      </c>
      <c r="M109" s="33">
        <v>330.36</v>
      </c>
      <c r="N109" s="33">
        <v>265.77</v>
      </c>
      <c r="O109" s="33">
        <v>260.92</v>
      </c>
      <c r="P109" s="33">
        <v>284.67</v>
      </c>
      <c r="Q109" s="33">
        <v>256.54</v>
      </c>
      <c r="R109" s="33">
        <v>165.15</v>
      </c>
      <c r="S109" s="33">
        <v>209.33</v>
      </c>
      <c r="T109" s="33">
        <v>196.36</v>
      </c>
      <c r="U109" s="33">
        <v>174.16</v>
      </c>
      <c r="V109" s="33">
        <v>186.73</v>
      </c>
      <c r="W109" s="33">
        <v>201.27</v>
      </c>
      <c r="X109" s="33">
        <v>271.9</v>
      </c>
      <c r="Y109" s="33">
        <v>356.49</v>
      </c>
      <c r="Z109" s="33">
        <v>308.28</v>
      </c>
      <c r="AA109" s="33">
        <v>384.85</v>
      </c>
      <c r="AB109" s="33">
        <v>378.18</v>
      </c>
      <c r="AC109" s="33">
        <v>337.27</v>
      </c>
      <c r="AD109" s="33">
        <v>312.05</v>
      </c>
      <c r="AE109" s="33">
        <v>243.36</v>
      </c>
      <c r="AF109" s="33">
        <v>261.11</v>
      </c>
      <c r="AG109" s="33">
        <v>237.5</v>
      </c>
      <c r="AH109" s="33">
        <v>234.46</v>
      </c>
      <c r="AI109" s="32"/>
      <c r="AJ109" s="34">
        <f>SUM(E109:AI109)</f>
      </c>
      <c r="AK109" s="35"/>
    </row>
    <row r="110" ht="12.75" customHeight="1" spans="2:37" x14ac:dyDescent="0.25">
      <c r="B110" s="30" t="s">
        <v>42</v>
      </c>
      <c r="C110" s="31" t="s">
        <v>3</v>
      </c>
      <c r="D110" s="32" t="s">
        <v>2321</v>
      </c>
      <c r="E110" s="32"/>
      <c r="F110" s="32"/>
      <c r="G110" s="32"/>
      <c r="H110" s="33">
        <v>87.56</v>
      </c>
      <c r="I110" s="33">
        <v>116.67</v>
      </c>
      <c r="J110" s="33">
        <v>156.06</v>
      </c>
      <c r="K110" s="33">
        <v>190.63</v>
      </c>
      <c r="L110" s="33">
        <v>177.59</v>
      </c>
      <c r="M110" s="33">
        <v>281.64</v>
      </c>
      <c r="N110" s="33">
        <v>249.19</v>
      </c>
      <c r="O110" s="33">
        <v>37.81</v>
      </c>
      <c r="P110" s="33">
        <v>26.85</v>
      </c>
      <c r="Q110" s="33">
        <v>26.85</v>
      </c>
      <c r="R110" s="33">
        <v>28.66</v>
      </c>
      <c r="S110" s="33">
        <v>99.42</v>
      </c>
      <c r="T110" s="33">
        <v>50.93</v>
      </c>
      <c r="U110" s="33">
        <v>85.74</v>
      </c>
      <c r="V110" s="33">
        <v>88.08</v>
      </c>
      <c r="W110" s="33">
        <v>89.76</v>
      </c>
      <c r="X110" s="33">
        <v>104.97</v>
      </c>
      <c r="Y110" s="33">
        <v>26.85</v>
      </c>
      <c r="Z110" s="33">
        <v>26.85</v>
      </c>
      <c r="AA110" s="33">
        <v>26.85</v>
      </c>
      <c r="AB110" s="33">
        <v>26.85</v>
      </c>
      <c r="AC110" s="33">
        <v>26.87</v>
      </c>
      <c r="AD110" s="33">
        <v>26.87</v>
      </c>
      <c r="AE110" s="33">
        <v>29.97</v>
      </c>
      <c r="AF110" s="33">
        <v>108.16</v>
      </c>
      <c r="AG110" s="33">
        <v>62.32</v>
      </c>
      <c r="AH110" s="33">
        <v>83.89</v>
      </c>
      <c r="AI110" s="32"/>
      <c r="AJ110" s="34">
        <f>SUM(E110:AI110)</f>
      </c>
      <c r="AK110" s="35"/>
    </row>
    <row r="111" ht="12.75" customHeight="1" spans="2:37" x14ac:dyDescent="0.25">
      <c r="B111" s="30" t="s">
        <v>42</v>
      </c>
      <c r="C111" s="31" t="s">
        <v>3</v>
      </c>
      <c r="D111" s="32" t="s">
        <v>2322</v>
      </c>
      <c r="E111" s="32"/>
      <c r="F111" s="32"/>
      <c r="G111" s="32"/>
      <c r="H111" s="33">
        <v>62.94</v>
      </c>
      <c r="I111" s="33">
        <v>100.47</v>
      </c>
      <c r="J111" s="33">
        <v>112.47</v>
      </c>
      <c r="K111" s="33">
        <v>111.05</v>
      </c>
      <c r="L111" s="33">
        <v>66.66</v>
      </c>
      <c r="M111" s="33">
        <v>27.7</v>
      </c>
      <c r="N111" s="33">
        <v>26.85</v>
      </c>
      <c r="O111" s="33">
        <v>26.85</v>
      </c>
      <c r="P111" s="33">
        <v>26.85</v>
      </c>
      <c r="Q111" s="33">
        <v>26.85</v>
      </c>
      <c r="R111" s="33">
        <v>27.61</v>
      </c>
      <c r="S111" s="33">
        <v>88.82</v>
      </c>
      <c r="T111" s="33">
        <v>72.1</v>
      </c>
      <c r="U111" s="33">
        <v>96.13</v>
      </c>
      <c r="V111" s="33">
        <v>102.25</v>
      </c>
      <c r="W111" s="33">
        <v>119.68</v>
      </c>
      <c r="X111" s="33">
        <v>64.94</v>
      </c>
      <c r="Y111" s="33">
        <v>76.5</v>
      </c>
      <c r="Z111" s="33">
        <v>63.63</v>
      </c>
      <c r="AA111" s="33">
        <v>83.4</v>
      </c>
      <c r="AB111" s="33">
        <v>80.41</v>
      </c>
      <c r="AC111" s="33">
        <v>66.43</v>
      </c>
      <c r="AD111" s="33">
        <v>101.82</v>
      </c>
      <c r="AE111" s="33">
        <v>89.36</v>
      </c>
      <c r="AF111" s="33">
        <v>69.54</v>
      </c>
      <c r="AG111" s="33">
        <v>117.53</v>
      </c>
      <c r="AH111" s="33">
        <v>73.36</v>
      </c>
      <c r="AI111" s="32"/>
      <c r="AJ111" s="34">
        <f>SUM(E111:AI111)</f>
      </c>
      <c r="AK111" s="35"/>
    </row>
    <row r="112" ht="12.75" customHeight="1" spans="2:37" x14ac:dyDescent="0.25">
      <c r="B112" s="30" t="s">
        <v>42</v>
      </c>
      <c r="C112" s="31" t="s">
        <v>3</v>
      </c>
      <c r="D112" s="32" t="s">
        <v>2323</v>
      </c>
      <c r="E112" s="32"/>
      <c r="F112" s="32"/>
      <c r="G112" s="32"/>
      <c r="H112" s="33">
        <v>117.16</v>
      </c>
      <c r="I112" s="33">
        <v>108.91</v>
      </c>
      <c r="J112" s="33">
        <v>119.82</v>
      </c>
      <c r="K112" s="33">
        <v>113.9</v>
      </c>
      <c r="L112" s="33">
        <v>106.86</v>
      </c>
      <c r="M112" s="33">
        <v>26.85</v>
      </c>
      <c r="N112" s="33">
        <v>26.85</v>
      </c>
      <c r="O112" s="33">
        <v>26.85</v>
      </c>
      <c r="P112" s="33">
        <v>26.85</v>
      </c>
      <c r="Q112" s="33">
        <v>26.85</v>
      </c>
      <c r="R112" s="33">
        <v>55.25</v>
      </c>
      <c r="S112" s="33">
        <v>115.51</v>
      </c>
      <c r="T112" s="33">
        <v>119.91</v>
      </c>
      <c r="U112" s="33">
        <v>137.36</v>
      </c>
      <c r="V112" s="33">
        <v>116.44</v>
      </c>
      <c r="W112" s="33">
        <v>128.91</v>
      </c>
      <c r="X112" s="33">
        <v>140.49</v>
      </c>
      <c r="Y112" s="33">
        <v>26.85</v>
      </c>
      <c r="Z112" s="33">
        <v>26.85</v>
      </c>
      <c r="AA112" s="33">
        <v>26.85</v>
      </c>
      <c r="AB112" s="33">
        <v>26.85</v>
      </c>
      <c r="AC112" s="33">
        <v>26.87</v>
      </c>
      <c r="AD112" s="33">
        <v>26.87</v>
      </c>
      <c r="AE112" s="33">
        <v>121.86</v>
      </c>
      <c r="AF112" s="33">
        <v>142.82</v>
      </c>
      <c r="AG112" s="33">
        <v>142.03</v>
      </c>
      <c r="AH112" s="33">
        <v>137.43</v>
      </c>
      <c r="AI112" s="32"/>
      <c r="AJ112" s="34">
        <f>SUM(E112:AI112)</f>
      </c>
      <c r="AK112" s="35"/>
    </row>
    <row r="113" ht="12.75" customHeight="1" spans="2:37" x14ac:dyDescent="0.25">
      <c r="B113" s="30" t="s">
        <v>42</v>
      </c>
      <c r="C113" s="31" t="s">
        <v>3</v>
      </c>
      <c r="D113" s="32" t="s">
        <v>2324</v>
      </c>
      <c r="E113" s="32"/>
      <c r="F113" s="32"/>
      <c r="G113" s="32"/>
      <c r="H113" s="33">
        <v>94.26</v>
      </c>
      <c r="I113" s="33">
        <v>101</v>
      </c>
      <c r="J113" s="33">
        <v>108.91</v>
      </c>
      <c r="K113" s="33">
        <v>124</v>
      </c>
      <c r="L113" s="33">
        <v>102.91</v>
      </c>
      <c r="M113" s="33">
        <v>26.85</v>
      </c>
      <c r="N113" s="33">
        <v>33.42</v>
      </c>
      <c r="O113" s="33">
        <v>26.85</v>
      </c>
      <c r="P113" s="33">
        <v>26.85</v>
      </c>
      <c r="Q113" s="33">
        <v>30.08</v>
      </c>
      <c r="R113" s="33">
        <v>183.79</v>
      </c>
      <c r="S113" s="33">
        <v>195.4</v>
      </c>
      <c r="T113" s="33">
        <v>165.93</v>
      </c>
      <c r="U113" s="33">
        <v>122.27</v>
      </c>
      <c r="V113" s="33">
        <v>137.5</v>
      </c>
      <c r="W113" s="33">
        <v>192.8</v>
      </c>
      <c r="X113" s="33">
        <v>150.07</v>
      </c>
      <c r="Y113" s="33">
        <v>65.72</v>
      </c>
      <c r="Z113" s="33">
        <v>58.45</v>
      </c>
      <c r="AA113" s="33">
        <v>46.21</v>
      </c>
      <c r="AB113" s="33">
        <v>162.63</v>
      </c>
      <c r="AC113" s="33">
        <v>151.26</v>
      </c>
      <c r="AD113" s="33">
        <v>142.76</v>
      </c>
      <c r="AE113" s="33">
        <v>119.4</v>
      </c>
      <c r="AF113" s="33">
        <v>127.55</v>
      </c>
      <c r="AG113" s="33">
        <v>142.82</v>
      </c>
      <c r="AH113" s="33">
        <v>138.34</v>
      </c>
      <c r="AI113" s="32"/>
      <c r="AJ113" s="34">
        <f>SUM(E113:AI113)</f>
      </c>
      <c r="AK113" s="35"/>
    </row>
    <row r="114" ht="12.75" customHeight="1" spans="2:37" x14ac:dyDescent="0.25">
      <c r="B114" s="30" t="s">
        <v>42</v>
      </c>
      <c r="C114" s="31" t="s">
        <v>3</v>
      </c>
      <c r="D114" s="32" t="s">
        <v>2325</v>
      </c>
      <c r="E114" s="32"/>
      <c r="F114" s="32"/>
      <c r="G114" s="32"/>
      <c r="H114" s="33">
        <v>50.7</v>
      </c>
      <c r="I114" s="33">
        <v>55.82</v>
      </c>
      <c r="J114" s="33">
        <v>60.82</v>
      </c>
      <c r="K114" s="33">
        <v>81.27</v>
      </c>
      <c r="L114" s="33">
        <v>30.86</v>
      </c>
      <c r="M114" s="33">
        <v>26.85</v>
      </c>
      <c r="N114" s="33">
        <v>26.85</v>
      </c>
      <c r="O114" s="33">
        <v>31.5</v>
      </c>
      <c r="P114" s="33">
        <v>26.85</v>
      </c>
      <c r="Q114" s="33">
        <v>26.85</v>
      </c>
      <c r="R114" s="33">
        <v>26.85</v>
      </c>
      <c r="S114" s="33">
        <v>28.24</v>
      </c>
      <c r="T114" s="33">
        <v>43.65</v>
      </c>
      <c r="U114" s="33">
        <v>51.79</v>
      </c>
      <c r="V114" s="33">
        <v>51.67</v>
      </c>
      <c r="W114" s="33">
        <v>68.58</v>
      </c>
      <c r="X114" s="33">
        <v>32.56</v>
      </c>
      <c r="Y114" s="33">
        <v>30.88</v>
      </c>
      <c r="Z114" s="33">
        <v>26.85</v>
      </c>
      <c r="AA114" s="33">
        <v>26.85</v>
      </c>
      <c r="AB114" s="33">
        <v>26.85</v>
      </c>
      <c r="AC114" s="33">
        <v>26.87</v>
      </c>
      <c r="AD114" s="33">
        <v>26.87</v>
      </c>
      <c r="AE114" s="33">
        <v>33.78</v>
      </c>
      <c r="AF114" s="33">
        <v>74.18</v>
      </c>
      <c r="AG114" s="33">
        <v>84.7</v>
      </c>
      <c r="AH114" s="33">
        <v>79.02</v>
      </c>
      <c r="AI114" s="32"/>
      <c r="AJ114" s="34">
        <f>SUM(E114:AI114)</f>
      </c>
      <c r="AK114" s="35"/>
    </row>
    <row r="115" ht="12.75" customHeight="1" spans="2:37" x14ac:dyDescent="0.25">
      <c r="B115" s="30" t="s">
        <v>42</v>
      </c>
      <c r="C115" s="31" t="s">
        <v>3</v>
      </c>
      <c r="D115" s="32" t="s">
        <v>2326</v>
      </c>
      <c r="E115" s="32"/>
      <c r="F115" s="32"/>
      <c r="G115" s="32"/>
      <c r="H115" s="33">
        <v>49.53</v>
      </c>
      <c r="I115" s="33">
        <v>66.89</v>
      </c>
      <c r="J115" s="33">
        <v>85.46</v>
      </c>
      <c r="K115" s="33">
        <v>101.83</v>
      </c>
      <c r="L115" s="33">
        <v>33.6</v>
      </c>
      <c r="M115" s="33">
        <v>26.85</v>
      </c>
      <c r="N115" s="33">
        <v>26.85</v>
      </c>
      <c r="O115" s="33">
        <v>26.85</v>
      </c>
      <c r="P115" s="33">
        <v>26.85</v>
      </c>
      <c r="Q115" s="33">
        <v>26.85</v>
      </c>
      <c r="R115" s="33">
        <v>26.85</v>
      </c>
      <c r="S115" s="33">
        <v>57.79</v>
      </c>
      <c r="T115" s="33">
        <v>87.42</v>
      </c>
      <c r="U115" s="33">
        <v>81.44</v>
      </c>
      <c r="V115" s="33">
        <v>97.04</v>
      </c>
      <c r="W115" s="33">
        <v>111.23</v>
      </c>
      <c r="X115" s="33">
        <v>58.96</v>
      </c>
      <c r="Y115" s="33">
        <v>26.85</v>
      </c>
      <c r="Z115" s="33">
        <v>26.85</v>
      </c>
      <c r="AA115" s="33">
        <v>26.85</v>
      </c>
      <c r="AB115" s="33">
        <v>26.85</v>
      </c>
      <c r="AC115" s="33">
        <v>26.87</v>
      </c>
      <c r="AD115" s="33">
        <v>26.87</v>
      </c>
      <c r="AE115" s="33">
        <v>26.87</v>
      </c>
      <c r="AF115" s="33">
        <v>69.03</v>
      </c>
      <c r="AG115" s="33">
        <v>94.85</v>
      </c>
      <c r="AH115" s="33">
        <v>86.79</v>
      </c>
      <c r="AI115" s="32"/>
      <c r="AJ115" s="34">
        <f>SUM(E115:AI115)</f>
      </c>
      <c r="AK115" s="35"/>
    </row>
    <row r="116" ht="12.75" customHeight="1" spans="2:37" x14ac:dyDescent="0.25">
      <c r="B116" s="30" t="s">
        <v>42</v>
      </c>
      <c r="C116" s="31" t="s">
        <v>3</v>
      </c>
      <c r="D116" s="32" t="s">
        <v>2327</v>
      </c>
      <c r="E116" s="32"/>
      <c r="F116" s="32"/>
      <c r="G116" s="32"/>
      <c r="H116" s="33">
        <v>105.19</v>
      </c>
      <c r="I116" s="33">
        <v>97.58</v>
      </c>
      <c r="J116" s="33">
        <v>92.84</v>
      </c>
      <c r="K116" s="33">
        <v>125.62</v>
      </c>
      <c r="L116" s="33">
        <v>103.84</v>
      </c>
      <c r="M116" s="33">
        <v>26.85</v>
      </c>
      <c r="N116" s="33">
        <v>26.85</v>
      </c>
      <c r="O116" s="33">
        <v>26.85</v>
      </c>
      <c r="P116" s="33">
        <v>26.85</v>
      </c>
      <c r="Q116" s="33">
        <v>26.85</v>
      </c>
      <c r="R116" s="33">
        <v>26.85</v>
      </c>
      <c r="S116" s="33">
        <v>115.71</v>
      </c>
      <c r="T116" s="33">
        <v>99</v>
      </c>
      <c r="U116" s="33">
        <v>100.03</v>
      </c>
      <c r="V116" s="33">
        <v>121.24</v>
      </c>
      <c r="W116" s="33">
        <v>125.79</v>
      </c>
      <c r="X116" s="33">
        <v>177.48</v>
      </c>
      <c r="Y116" s="33">
        <v>85.98</v>
      </c>
      <c r="Z116" s="33">
        <v>77.68</v>
      </c>
      <c r="AA116" s="33">
        <v>91.86</v>
      </c>
      <c r="AB116" s="33">
        <v>86.26</v>
      </c>
      <c r="AC116" s="33">
        <v>81.67</v>
      </c>
      <c r="AD116" s="33">
        <v>76.42</v>
      </c>
      <c r="AE116" s="33">
        <v>127.85</v>
      </c>
      <c r="AF116" s="33">
        <v>128.47</v>
      </c>
      <c r="AG116" s="33">
        <v>110.39</v>
      </c>
      <c r="AH116" s="33">
        <v>112.02</v>
      </c>
      <c r="AI116" s="32"/>
      <c r="AJ116" s="34">
        <f>SUM(E116:AI116)</f>
      </c>
      <c r="AK116" s="35"/>
    </row>
    <row r="117" ht="12.75" customHeight="1" spans="2:37" x14ac:dyDescent="0.25">
      <c r="B117" s="30" t="s">
        <v>42</v>
      </c>
      <c r="C117" s="31" t="s">
        <v>3</v>
      </c>
      <c r="D117" s="32" t="s">
        <v>2328</v>
      </c>
      <c r="E117" s="32"/>
      <c r="F117" s="32"/>
      <c r="G117" s="32"/>
      <c r="H117" s="33">
        <v>76.09</v>
      </c>
      <c r="I117" s="33">
        <v>91.4</v>
      </c>
      <c r="J117" s="33">
        <v>108.24</v>
      </c>
      <c r="K117" s="33">
        <v>125.24</v>
      </c>
      <c r="L117" s="33">
        <v>136.19</v>
      </c>
      <c r="M117" s="33">
        <v>26.85</v>
      </c>
      <c r="N117" s="33">
        <v>26.85</v>
      </c>
      <c r="O117" s="33">
        <v>26.85</v>
      </c>
      <c r="P117" s="33">
        <v>26.85</v>
      </c>
      <c r="Q117" s="33">
        <v>26.85</v>
      </c>
      <c r="R117" s="33">
        <v>26.85</v>
      </c>
      <c r="S117" s="33">
        <v>73.64</v>
      </c>
      <c r="T117" s="33">
        <v>83.55</v>
      </c>
      <c r="U117" s="33">
        <v>101.21</v>
      </c>
      <c r="V117" s="33">
        <v>95.46</v>
      </c>
      <c r="W117" s="33">
        <v>115.91</v>
      </c>
      <c r="X117" s="33">
        <v>148.85</v>
      </c>
      <c r="Y117" s="33">
        <v>31.38</v>
      </c>
      <c r="Z117" s="33">
        <v>26.85</v>
      </c>
      <c r="AA117" s="33">
        <v>26.85</v>
      </c>
      <c r="AB117" s="33">
        <v>26.85</v>
      </c>
      <c r="AC117" s="33">
        <v>26.87</v>
      </c>
      <c r="AD117" s="33">
        <v>26.87</v>
      </c>
      <c r="AE117" s="33">
        <v>98.44</v>
      </c>
      <c r="AF117" s="33">
        <v>96.58</v>
      </c>
      <c r="AG117" s="33">
        <v>75.23</v>
      </c>
      <c r="AH117" s="33">
        <v>90.34</v>
      </c>
      <c r="AI117" s="32"/>
      <c r="AJ117" s="34">
        <f>SUM(E117:AI117)</f>
      </c>
      <c r="AK117" s="35"/>
    </row>
    <row r="118" ht="12.75" customHeight="1" spans="2:37" x14ac:dyDescent="0.25">
      <c r="B118" s="30" t="s">
        <v>42</v>
      </c>
      <c r="C118" s="31" t="s">
        <v>3</v>
      </c>
      <c r="D118" s="32" t="s">
        <v>2329</v>
      </c>
      <c r="E118" s="32"/>
      <c r="F118" s="32"/>
      <c r="G118" s="32"/>
      <c r="H118" s="33">
        <v>41.88</v>
      </c>
      <c r="I118" s="33">
        <v>86.37</v>
      </c>
      <c r="J118" s="33">
        <v>98.76</v>
      </c>
      <c r="K118" s="33">
        <v>105.17</v>
      </c>
      <c r="L118" s="33">
        <v>100.35</v>
      </c>
      <c r="M118" s="33">
        <v>27.61</v>
      </c>
      <c r="N118" s="33">
        <v>32.31</v>
      </c>
      <c r="O118" s="33">
        <v>27.54</v>
      </c>
      <c r="P118" s="33">
        <v>27.61</v>
      </c>
      <c r="Q118" s="33">
        <v>27.49</v>
      </c>
      <c r="R118" s="33">
        <v>28.34</v>
      </c>
      <c r="S118" s="33">
        <v>122.48</v>
      </c>
      <c r="T118" s="33">
        <v>60.17</v>
      </c>
      <c r="U118" s="33">
        <v>78.2</v>
      </c>
      <c r="V118" s="33">
        <v>79.1</v>
      </c>
      <c r="W118" s="33">
        <v>119.29</v>
      </c>
      <c r="X118" s="33">
        <v>128.38</v>
      </c>
      <c r="Y118" s="33">
        <v>27.8</v>
      </c>
      <c r="Z118" s="33">
        <v>27.75</v>
      </c>
      <c r="AA118" s="33">
        <v>27.86</v>
      </c>
      <c r="AB118" s="33">
        <v>27.75</v>
      </c>
      <c r="AC118" s="33">
        <v>27.82</v>
      </c>
      <c r="AD118" s="33">
        <v>27.82</v>
      </c>
      <c r="AE118" s="33">
        <v>47.3</v>
      </c>
      <c r="AF118" s="33">
        <v>61.25</v>
      </c>
      <c r="AG118" s="33">
        <v>77.08</v>
      </c>
      <c r="AH118" s="33">
        <v>40.67</v>
      </c>
      <c r="AI118" s="32"/>
      <c r="AJ118" s="34">
        <f>SUM(E118:AI118)</f>
      </c>
      <c r="AK118" s="35"/>
    </row>
    <row r="119" ht="12.75" customHeight="1" spans="2:37" x14ac:dyDescent="0.25">
      <c r="B119" s="30" t="s">
        <v>42</v>
      </c>
      <c r="C119" s="31" t="s">
        <v>3</v>
      </c>
      <c r="D119" s="32" t="s">
        <v>2330</v>
      </c>
      <c r="E119" s="32"/>
      <c r="F119" s="32"/>
      <c r="G119" s="32"/>
      <c r="H119" s="33">
        <v>28.85</v>
      </c>
      <c r="I119" s="33">
        <v>28.85</v>
      </c>
      <c r="J119" s="33">
        <v>28.85</v>
      </c>
      <c r="K119" s="33">
        <v>28.85</v>
      </c>
      <c r="L119" s="33">
        <v>28.85</v>
      </c>
      <c r="M119" s="33">
        <v>28.85</v>
      </c>
      <c r="N119" s="33">
        <v>28.85</v>
      </c>
      <c r="O119" s="33">
        <v>28.85</v>
      </c>
      <c r="P119" s="36">
        <f>0.00+28.85</f>
        <v>28.85</v>
      </c>
      <c r="Q119" s="33">
        <v>28.85</v>
      </c>
      <c r="R119" s="33">
        <v>28.85</v>
      </c>
      <c r="S119" s="33">
        <v>28.85</v>
      </c>
      <c r="T119" s="33">
        <v>28.85</v>
      </c>
      <c r="U119" s="33">
        <v>28.85</v>
      </c>
      <c r="V119" s="33">
        <v>28.85</v>
      </c>
      <c r="W119" s="33">
        <v>28.85</v>
      </c>
      <c r="X119" s="33">
        <v>28.85</v>
      </c>
      <c r="Y119" s="33">
        <v>28.85</v>
      </c>
      <c r="Z119" s="33">
        <v>28.85</v>
      </c>
      <c r="AA119" s="33">
        <v>28.85</v>
      </c>
      <c r="AB119" s="33">
        <v>28.85</v>
      </c>
      <c r="AC119" s="33">
        <v>28.87</v>
      </c>
      <c r="AD119" s="33">
        <v>28.87</v>
      </c>
      <c r="AE119" s="33">
        <v>28.87</v>
      </c>
      <c r="AF119" s="33">
        <v>34.65</v>
      </c>
      <c r="AG119" s="33">
        <v>34.65</v>
      </c>
      <c r="AH119" s="33">
        <v>34.59</v>
      </c>
      <c r="AI119" s="32"/>
      <c r="AJ119" s="34">
        <f>SUM(E119:AI119)</f>
      </c>
      <c r="AK119" s="35"/>
    </row>
    <row r="120" ht="12.75" customHeight="1" spans="2:37" x14ac:dyDescent="0.25">
      <c r="B120" s="30" t="s">
        <v>42</v>
      </c>
      <c r="C120" s="31" t="s">
        <v>3</v>
      </c>
      <c r="D120" s="32" t="s">
        <v>2331</v>
      </c>
      <c r="E120" s="32"/>
      <c r="F120" s="32"/>
      <c r="G120" s="32"/>
      <c r="H120" s="33">
        <v>158.28</v>
      </c>
      <c r="I120" s="33">
        <v>168.17</v>
      </c>
      <c r="J120" s="33">
        <v>184.25</v>
      </c>
      <c r="K120" s="33">
        <v>203.91</v>
      </c>
      <c r="L120" s="33">
        <v>190.41</v>
      </c>
      <c r="M120" s="33">
        <v>300.97</v>
      </c>
      <c r="N120" s="33">
        <v>26.85</v>
      </c>
      <c r="O120" s="33">
        <v>26.85</v>
      </c>
      <c r="P120" s="33">
        <v>26.85</v>
      </c>
      <c r="Q120" s="33">
        <v>26.85</v>
      </c>
      <c r="R120" s="33">
        <v>28.41</v>
      </c>
      <c r="S120" s="33">
        <v>72.02</v>
      </c>
      <c r="T120" s="33">
        <v>58.46</v>
      </c>
      <c r="U120" s="33">
        <v>49.84</v>
      </c>
      <c r="V120" s="33">
        <v>63.75</v>
      </c>
      <c r="W120" s="33">
        <v>88.08</v>
      </c>
      <c r="X120" s="33">
        <v>70.14</v>
      </c>
      <c r="Y120" s="33">
        <v>42.84</v>
      </c>
      <c r="Z120" s="33">
        <v>33.16</v>
      </c>
      <c r="AA120" s="33">
        <v>26.85</v>
      </c>
      <c r="AB120" s="33">
        <v>29.06</v>
      </c>
      <c r="AC120" s="33">
        <v>26.87</v>
      </c>
      <c r="AD120" s="33">
        <v>29.58</v>
      </c>
      <c r="AE120" s="33">
        <v>83.35</v>
      </c>
      <c r="AF120" s="33">
        <v>54</v>
      </c>
      <c r="AG120" s="33">
        <v>82.08</v>
      </c>
      <c r="AH120" s="33">
        <v>92.71</v>
      </c>
      <c r="AI120" s="32"/>
      <c r="AJ120" s="34">
        <f>SUM(E120:AI120)</f>
      </c>
      <c r="AK120" s="35"/>
    </row>
    <row r="121" ht="12.75" customHeight="1" spans="2:37" x14ac:dyDescent="0.25">
      <c r="B121" s="30" t="s">
        <v>42</v>
      </c>
      <c r="C121" s="31" t="s">
        <v>3</v>
      </c>
      <c r="D121" s="32" t="s">
        <v>2332</v>
      </c>
      <c r="E121" s="32"/>
      <c r="F121" s="32"/>
      <c r="G121" s="32"/>
      <c r="H121" s="33">
        <v>46.23</v>
      </c>
      <c r="I121" s="33">
        <v>43.86</v>
      </c>
      <c r="J121" s="33">
        <v>57.29</v>
      </c>
      <c r="K121" s="33">
        <v>96.48</v>
      </c>
      <c r="L121" s="33">
        <v>90.32</v>
      </c>
      <c r="M121" s="33">
        <v>106.05</v>
      </c>
      <c r="N121" s="33">
        <v>83.56</v>
      </c>
      <c r="O121" s="33">
        <v>70.3</v>
      </c>
      <c r="P121" s="33">
        <v>94.52</v>
      </c>
      <c r="Q121" s="33">
        <v>87.06</v>
      </c>
      <c r="R121" s="33">
        <v>77.97</v>
      </c>
      <c r="S121" s="33">
        <v>64.8</v>
      </c>
      <c r="T121" s="33">
        <v>48.45</v>
      </c>
      <c r="U121" s="33">
        <v>62.58</v>
      </c>
      <c r="V121" s="33">
        <v>94.06</v>
      </c>
      <c r="W121" s="33">
        <v>82.09</v>
      </c>
      <c r="X121" s="33">
        <v>91.99</v>
      </c>
      <c r="Y121" s="33">
        <v>111.74</v>
      </c>
      <c r="Z121" s="33">
        <v>93.02</v>
      </c>
      <c r="AA121" s="33">
        <v>112.65</v>
      </c>
      <c r="AB121" s="33">
        <v>105.37</v>
      </c>
      <c r="AC121" s="33">
        <v>93.38</v>
      </c>
      <c r="AD121" s="33">
        <v>85.17</v>
      </c>
      <c r="AE121" s="33">
        <v>56.81</v>
      </c>
      <c r="AF121" s="33">
        <v>63.51</v>
      </c>
      <c r="AG121" s="33">
        <v>63.63</v>
      </c>
      <c r="AH121" s="33">
        <v>49.03</v>
      </c>
      <c r="AI121" s="32"/>
      <c r="AJ121" s="34">
        <f>SUM(E121:AI121)</f>
      </c>
      <c r="AK121" s="35"/>
    </row>
    <row r="122" ht="12.75" customHeight="1" spans="2:37" x14ac:dyDescent="0.25">
      <c r="B122" s="30" t="s">
        <v>42</v>
      </c>
      <c r="C122" s="31" t="s">
        <v>3</v>
      </c>
      <c r="D122" s="32" t="s">
        <v>2333</v>
      </c>
      <c r="E122" s="32"/>
      <c r="F122" s="32"/>
      <c r="G122" s="32"/>
      <c r="H122" s="33">
        <v>84.65</v>
      </c>
      <c r="I122" s="33">
        <v>86.91</v>
      </c>
      <c r="J122" s="33">
        <v>94.54</v>
      </c>
      <c r="K122" s="33">
        <v>108.3</v>
      </c>
      <c r="L122" s="33">
        <v>46.39</v>
      </c>
      <c r="M122" s="33">
        <v>26.85</v>
      </c>
      <c r="N122" s="33">
        <v>26.85</v>
      </c>
      <c r="O122" s="33">
        <v>42.98</v>
      </c>
      <c r="P122" s="33">
        <v>26.85</v>
      </c>
      <c r="Q122" s="33">
        <v>53.02</v>
      </c>
      <c r="R122" s="33">
        <v>27.01</v>
      </c>
      <c r="S122" s="33">
        <v>69.58</v>
      </c>
      <c r="T122" s="33">
        <v>71.58</v>
      </c>
      <c r="U122" s="33">
        <v>117.2</v>
      </c>
      <c r="V122" s="33">
        <v>90.4</v>
      </c>
      <c r="W122" s="33">
        <v>98.88</v>
      </c>
      <c r="X122" s="33">
        <v>26.85</v>
      </c>
      <c r="Y122" s="33">
        <v>29.78</v>
      </c>
      <c r="Z122" s="33">
        <v>26.85</v>
      </c>
      <c r="AA122" s="33">
        <v>26.85</v>
      </c>
      <c r="AB122" s="33">
        <v>26.85</v>
      </c>
      <c r="AC122" s="33">
        <v>26.87</v>
      </c>
      <c r="AD122" s="33">
        <v>26.87</v>
      </c>
      <c r="AE122" s="33">
        <v>69.81</v>
      </c>
      <c r="AF122" s="33">
        <v>72.44</v>
      </c>
      <c r="AG122" s="33">
        <v>114.36</v>
      </c>
      <c r="AH122" s="33">
        <v>100.2</v>
      </c>
      <c r="AI122" s="32"/>
      <c r="AJ122" s="34">
        <f>SUM(E122:AI122)</f>
      </c>
      <c r="AK122" s="35"/>
    </row>
    <row r="123" ht="12.75" customHeight="1" spans="2:37" x14ac:dyDescent="0.25">
      <c r="B123" s="30" t="s">
        <v>42</v>
      </c>
      <c r="C123" s="31" t="s">
        <v>3</v>
      </c>
      <c r="D123" s="32" t="s">
        <v>2334</v>
      </c>
      <c r="E123" s="32"/>
      <c r="F123" s="32"/>
      <c r="G123" s="32"/>
      <c r="H123" s="33">
        <v>66.78</v>
      </c>
      <c r="I123" s="33">
        <v>70.97</v>
      </c>
      <c r="J123" s="33">
        <v>75.99</v>
      </c>
      <c r="K123" s="33">
        <v>93.6</v>
      </c>
      <c r="L123" s="33">
        <v>30.67</v>
      </c>
      <c r="M123" s="33">
        <v>26.85</v>
      </c>
      <c r="N123" s="33">
        <v>107.46</v>
      </c>
      <c r="O123" s="33">
        <v>75.69</v>
      </c>
      <c r="P123" s="33">
        <v>115.02</v>
      </c>
      <c r="Q123" s="33">
        <v>72.13</v>
      </c>
      <c r="R123" s="33">
        <v>54.55</v>
      </c>
      <c r="S123" s="33">
        <v>28.6</v>
      </c>
      <c r="T123" s="33">
        <v>75.61</v>
      </c>
      <c r="U123" s="33">
        <v>75.86</v>
      </c>
      <c r="V123" s="33">
        <v>90.81</v>
      </c>
      <c r="W123" s="33">
        <v>97.95</v>
      </c>
      <c r="X123" s="33">
        <v>26.85</v>
      </c>
      <c r="Y123" s="33">
        <v>26.85</v>
      </c>
      <c r="Z123" s="33">
        <v>26.85</v>
      </c>
      <c r="AA123" s="33">
        <v>26.85</v>
      </c>
      <c r="AB123" s="33">
        <v>47.11</v>
      </c>
      <c r="AC123" s="33">
        <v>32.14</v>
      </c>
      <c r="AD123" s="33">
        <v>26.87</v>
      </c>
      <c r="AE123" s="33">
        <v>26.87</v>
      </c>
      <c r="AF123" s="33">
        <v>65.72</v>
      </c>
      <c r="AG123" s="33">
        <v>85.23</v>
      </c>
      <c r="AH123" s="33">
        <v>76.25</v>
      </c>
      <c r="AI123" s="32"/>
      <c r="AJ123" s="34">
        <f>SUM(E123:AI123)</f>
      </c>
      <c r="AK123" s="35"/>
    </row>
    <row r="124" ht="12.75" customHeight="1" spans="2:37" x14ac:dyDescent="0.25">
      <c r="B124" s="30" t="s">
        <v>42</v>
      </c>
      <c r="C124" s="31" t="s">
        <v>3</v>
      </c>
      <c r="D124" s="32" t="s">
        <v>2335</v>
      </c>
      <c r="E124" s="32"/>
      <c r="F124" s="32"/>
      <c r="G124" s="32"/>
      <c r="H124" s="33">
        <v>103.34</v>
      </c>
      <c r="I124" s="33">
        <v>94.68</v>
      </c>
      <c r="J124" s="33">
        <v>111.15</v>
      </c>
      <c r="K124" s="33">
        <v>108.93</v>
      </c>
      <c r="L124" s="33">
        <v>64.33</v>
      </c>
      <c r="M124" s="33">
        <v>242.59</v>
      </c>
      <c r="N124" s="33">
        <v>275.44</v>
      </c>
      <c r="O124" s="33">
        <v>133.38</v>
      </c>
      <c r="P124" s="33">
        <v>241.91</v>
      </c>
      <c r="Q124" s="33">
        <v>217.88</v>
      </c>
      <c r="R124" s="33">
        <v>95.45</v>
      </c>
      <c r="S124" s="33">
        <v>126.34</v>
      </c>
      <c r="T124" s="33">
        <v>116.53</v>
      </c>
      <c r="U124" s="33">
        <v>149.14</v>
      </c>
      <c r="V124" s="33">
        <v>138.8</v>
      </c>
      <c r="W124" s="33">
        <v>155.97</v>
      </c>
      <c r="X124" s="33">
        <v>52.32</v>
      </c>
      <c r="Y124" s="33">
        <v>160.37</v>
      </c>
      <c r="Z124" s="33">
        <v>217.5</v>
      </c>
      <c r="AA124" s="33">
        <v>307.68</v>
      </c>
      <c r="AB124" s="33">
        <v>220.98</v>
      </c>
      <c r="AC124" s="33">
        <v>81.67</v>
      </c>
      <c r="AD124" s="33">
        <v>124.75</v>
      </c>
      <c r="AE124" s="33">
        <v>87.62</v>
      </c>
      <c r="AF124" s="33">
        <v>52.66</v>
      </c>
      <c r="AG124" s="33">
        <v>124.51</v>
      </c>
      <c r="AH124" s="33">
        <v>122.43</v>
      </c>
      <c r="AI124" s="32"/>
      <c r="AJ124" s="34">
        <f>SUM(E124:AI124)</f>
      </c>
      <c r="AK124" s="35"/>
    </row>
    <row r="125" ht="12.75" customHeight="1" spans="2:37" x14ac:dyDescent="0.25">
      <c r="B125" s="30" t="s">
        <v>42</v>
      </c>
      <c r="C125" s="31" t="s">
        <v>3</v>
      </c>
      <c r="D125" s="32" t="s">
        <v>2336</v>
      </c>
      <c r="E125" s="32"/>
      <c r="F125" s="32"/>
      <c r="G125" s="32"/>
      <c r="H125" s="33">
        <v>48.46</v>
      </c>
      <c r="I125" s="33">
        <v>65.56</v>
      </c>
      <c r="J125" s="33">
        <v>68.21</v>
      </c>
      <c r="K125" s="33">
        <v>95.23</v>
      </c>
      <c r="L125" s="33">
        <v>59.18</v>
      </c>
      <c r="M125" s="33">
        <v>96.62</v>
      </c>
      <c r="N125" s="33">
        <v>82.5</v>
      </c>
      <c r="O125" s="33">
        <v>92.58</v>
      </c>
      <c r="P125" s="33">
        <v>100.48</v>
      </c>
      <c r="Q125" s="33">
        <v>90.32</v>
      </c>
      <c r="R125" s="33">
        <v>69</v>
      </c>
      <c r="S125" s="33">
        <v>74.11</v>
      </c>
      <c r="T125" s="33">
        <v>81.6</v>
      </c>
      <c r="U125" s="33">
        <v>100.3</v>
      </c>
      <c r="V125" s="33">
        <v>73.25</v>
      </c>
      <c r="W125" s="33">
        <v>82.74</v>
      </c>
      <c r="X125" s="33">
        <v>83.65</v>
      </c>
      <c r="Y125" s="33">
        <v>93.16</v>
      </c>
      <c r="Z125" s="33">
        <v>83.27</v>
      </c>
      <c r="AA125" s="33">
        <v>107.58</v>
      </c>
      <c r="AB125" s="33">
        <v>100.43</v>
      </c>
      <c r="AC125" s="33">
        <v>89.47</v>
      </c>
      <c r="AD125" s="33">
        <v>82.69</v>
      </c>
      <c r="AE125" s="33">
        <v>78.28</v>
      </c>
      <c r="AF125" s="33">
        <v>90.51</v>
      </c>
      <c r="AG125" s="33">
        <v>72.84</v>
      </c>
      <c r="AH125" s="33">
        <v>63.51</v>
      </c>
      <c r="AI125" s="32"/>
      <c r="AJ125" s="34">
        <f>SUM(E125:AI125)</f>
      </c>
      <c r="AK125" s="35"/>
    </row>
    <row r="126" ht="12.75" customHeight="1" spans="2:37" x14ac:dyDescent="0.25">
      <c r="B126" s="30" t="s">
        <v>42</v>
      </c>
      <c r="C126" s="31" t="s">
        <v>3</v>
      </c>
      <c r="D126" s="32" t="s">
        <v>2337</v>
      </c>
      <c r="E126" s="32"/>
      <c r="F126" s="32"/>
      <c r="G126" s="32"/>
      <c r="H126" s="33">
        <v>780.58</v>
      </c>
      <c r="I126" s="33">
        <v>763.86</v>
      </c>
      <c r="J126" s="33">
        <v>806.66</v>
      </c>
      <c r="K126" s="33">
        <v>644.76</v>
      </c>
      <c r="L126" s="33">
        <v>755.26</v>
      </c>
      <c r="M126" s="33">
        <v>845.41</v>
      </c>
      <c r="N126" s="33">
        <v>713.41</v>
      </c>
      <c r="O126" s="33">
        <v>754.03</v>
      </c>
      <c r="P126" s="36">
        <f>812.72+0.00</f>
        <v>812.72</v>
      </c>
      <c r="Q126" s="33">
        <v>650.28</v>
      </c>
      <c r="R126" s="33">
        <v>708.9</v>
      </c>
      <c r="S126" s="33">
        <v>634.11</v>
      </c>
      <c r="T126" s="33">
        <v>663.96</v>
      </c>
      <c r="U126" s="33">
        <v>690.18</v>
      </c>
      <c r="V126" s="33">
        <v>681.66</v>
      </c>
      <c r="W126" s="33">
        <v>684.48</v>
      </c>
      <c r="X126" s="33">
        <v>793.2</v>
      </c>
      <c r="Y126" s="33">
        <v>852.79</v>
      </c>
      <c r="Z126" s="33">
        <v>629.88</v>
      </c>
      <c r="AA126" s="33">
        <v>830.62</v>
      </c>
      <c r="AB126" s="33">
        <v>726.91</v>
      </c>
      <c r="AC126" s="33">
        <v>796.92</v>
      </c>
      <c r="AD126" s="33">
        <v>765.04</v>
      </c>
      <c r="AE126" s="33">
        <v>658.81</v>
      </c>
      <c r="AF126" s="33">
        <v>711.73</v>
      </c>
      <c r="AG126" s="33">
        <v>687.44</v>
      </c>
      <c r="AH126" s="33">
        <v>673</v>
      </c>
      <c r="AI126" s="32"/>
      <c r="AJ126" s="34">
        <f>SUM(E126:AI126)</f>
      </c>
      <c r="AK126" s="35"/>
    </row>
    <row r="127" ht="12.75" customHeight="1" spans="2:37" x14ac:dyDescent="0.25">
      <c r="B127" s="30" t="s">
        <v>42</v>
      </c>
      <c r="C127" s="31" t="s">
        <v>3</v>
      </c>
      <c r="D127" s="32" t="s">
        <v>2338</v>
      </c>
      <c r="E127" s="32"/>
      <c r="F127" s="32"/>
      <c r="G127" s="32"/>
      <c r="H127" s="33">
        <v>62.15</v>
      </c>
      <c r="I127" s="33">
        <v>65.18</v>
      </c>
      <c r="J127" s="33">
        <v>74.53</v>
      </c>
      <c r="K127" s="33">
        <v>72.05</v>
      </c>
      <c r="L127" s="33">
        <v>66.78</v>
      </c>
      <c r="M127" s="33">
        <v>26.85</v>
      </c>
      <c r="N127" s="33">
        <v>26.85</v>
      </c>
      <c r="O127" s="33">
        <v>26.85</v>
      </c>
      <c r="P127" s="33">
        <v>26.85</v>
      </c>
      <c r="Q127" s="33">
        <v>26.85</v>
      </c>
      <c r="R127" s="33">
        <v>33.13</v>
      </c>
      <c r="S127" s="33">
        <v>80.54</v>
      </c>
      <c r="T127" s="33">
        <v>75.86</v>
      </c>
      <c r="U127" s="33">
        <v>81.96</v>
      </c>
      <c r="V127" s="33">
        <v>75.71</v>
      </c>
      <c r="W127" s="33">
        <v>80.01</v>
      </c>
      <c r="X127" s="33">
        <v>96.67</v>
      </c>
      <c r="Y127" s="33">
        <v>35.87</v>
      </c>
      <c r="Z127" s="33">
        <v>26.85</v>
      </c>
      <c r="AA127" s="33">
        <v>26.85</v>
      </c>
      <c r="AB127" s="33">
        <v>26.85</v>
      </c>
      <c r="AC127" s="33">
        <v>26.87</v>
      </c>
      <c r="AD127" s="33">
        <v>26.87</v>
      </c>
      <c r="AE127" s="33">
        <v>71.75</v>
      </c>
      <c r="AF127" s="33">
        <v>80.49</v>
      </c>
      <c r="AG127" s="33">
        <v>89.19</v>
      </c>
      <c r="AH127" s="33">
        <v>72.06</v>
      </c>
      <c r="AI127" s="32"/>
      <c r="AJ127" s="34">
        <f>SUM(E127:AI127)</f>
      </c>
      <c r="AK127" s="35"/>
    </row>
    <row r="128" ht="12.75" customHeight="1" spans="2:37" x14ac:dyDescent="0.25">
      <c r="B128" s="30" t="s">
        <v>42</v>
      </c>
      <c r="C128" s="31" t="s">
        <v>3</v>
      </c>
      <c r="D128" s="32" t="s">
        <v>2339</v>
      </c>
      <c r="E128" s="32"/>
      <c r="F128" s="32"/>
      <c r="G128" s="32"/>
      <c r="H128" s="33">
        <v>93.48</v>
      </c>
      <c r="I128" s="33">
        <v>66.51</v>
      </c>
      <c r="J128" s="33">
        <v>71.37</v>
      </c>
      <c r="K128" s="33">
        <v>234.45</v>
      </c>
      <c r="L128" s="33">
        <v>247.27</v>
      </c>
      <c r="M128" s="33">
        <v>387.61</v>
      </c>
      <c r="N128" s="33">
        <v>324.71</v>
      </c>
      <c r="O128" s="33">
        <v>318.72</v>
      </c>
      <c r="P128" s="33">
        <v>284.54</v>
      </c>
      <c r="Q128" s="33">
        <v>254.88</v>
      </c>
      <c r="R128" s="33">
        <v>103.5</v>
      </c>
      <c r="S128" s="33">
        <v>82.17</v>
      </c>
      <c r="T128" s="33">
        <v>106.79</v>
      </c>
      <c r="U128" s="33">
        <v>132.43</v>
      </c>
      <c r="V128" s="33">
        <v>102.51</v>
      </c>
      <c r="W128" s="33">
        <v>113.31</v>
      </c>
      <c r="X128" s="33">
        <v>138.01</v>
      </c>
      <c r="Y128" s="33">
        <v>164.59</v>
      </c>
      <c r="Z128" s="33">
        <v>160.37</v>
      </c>
      <c r="AA128" s="33">
        <v>175.06</v>
      </c>
      <c r="AB128" s="33">
        <v>155.82</v>
      </c>
      <c r="AC128" s="33">
        <v>152.47</v>
      </c>
      <c r="AD128" s="33">
        <v>129.03</v>
      </c>
      <c r="AE128" s="33">
        <v>26.87</v>
      </c>
      <c r="AF128" s="33">
        <v>34.38</v>
      </c>
      <c r="AG128" s="33">
        <v>110.66</v>
      </c>
      <c r="AH128" s="33">
        <v>110.06</v>
      </c>
      <c r="AI128" s="32"/>
      <c r="AJ128" s="34">
        <f>SUM(E128:AI128)</f>
      </c>
      <c r="AK128" s="35"/>
    </row>
    <row r="129" ht="12.75" customHeight="1" spans="2:37" x14ac:dyDescent="0.25">
      <c r="B129" s="30" t="s">
        <v>42</v>
      </c>
      <c r="C129" s="31" t="s">
        <v>3</v>
      </c>
      <c r="D129" s="32" t="s">
        <v>2340</v>
      </c>
      <c r="E129" s="32"/>
      <c r="F129" s="32"/>
      <c r="G129" s="32"/>
      <c r="H129" s="33">
        <v>33.37</v>
      </c>
      <c r="I129" s="33">
        <v>60.43</v>
      </c>
      <c r="J129" s="33">
        <v>76.23</v>
      </c>
      <c r="K129" s="33">
        <v>93.6</v>
      </c>
      <c r="L129" s="33">
        <v>80.06</v>
      </c>
      <c r="M129" s="33">
        <v>26.85</v>
      </c>
      <c r="N129" s="33">
        <v>26.85</v>
      </c>
      <c r="O129" s="33">
        <v>26.85</v>
      </c>
      <c r="P129" s="33">
        <v>26.85</v>
      </c>
      <c r="Q129" s="33">
        <v>26.85</v>
      </c>
      <c r="R129" s="33">
        <v>27.25</v>
      </c>
      <c r="S129" s="33">
        <v>40.54</v>
      </c>
      <c r="T129" s="33">
        <v>33.71</v>
      </c>
      <c r="U129" s="33">
        <v>68.19</v>
      </c>
      <c r="V129" s="33">
        <v>84.84</v>
      </c>
      <c r="W129" s="33">
        <v>94.18</v>
      </c>
      <c r="X129" s="33">
        <v>113.31</v>
      </c>
      <c r="Y129" s="33">
        <v>26.85</v>
      </c>
      <c r="Z129" s="33">
        <v>26.85</v>
      </c>
      <c r="AA129" s="33">
        <v>26.85</v>
      </c>
      <c r="AB129" s="33">
        <v>26.85</v>
      </c>
      <c r="AC129" s="33">
        <v>26.87</v>
      </c>
      <c r="AD129" s="33">
        <v>27.34</v>
      </c>
      <c r="AE129" s="33">
        <v>48.72</v>
      </c>
      <c r="AF129" s="33">
        <v>37.86</v>
      </c>
      <c r="AG129" s="33">
        <v>39.13</v>
      </c>
      <c r="AH129" s="33">
        <v>104.54</v>
      </c>
      <c r="AI129" s="32"/>
      <c r="AJ129" s="34">
        <f>SUM(E129:AI129)</f>
      </c>
      <c r="AK129" s="35"/>
    </row>
    <row r="130" ht="12.75" customHeight="1" spans="2:37" x14ac:dyDescent="0.25">
      <c r="B130" s="30" t="s">
        <v>42</v>
      </c>
      <c r="C130" s="31" t="s">
        <v>3</v>
      </c>
      <c r="D130" s="32" t="s">
        <v>2341</v>
      </c>
      <c r="E130" s="32"/>
      <c r="F130" s="32"/>
      <c r="G130" s="32"/>
      <c r="H130" s="33">
        <v>53.99</v>
      </c>
      <c r="I130" s="33">
        <v>54.91</v>
      </c>
      <c r="J130" s="33">
        <v>63.73</v>
      </c>
      <c r="K130" s="33">
        <v>76.4</v>
      </c>
      <c r="L130" s="33">
        <v>86.03</v>
      </c>
      <c r="M130" s="33">
        <v>137.02</v>
      </c>
      <c r="N130" s="33">
        <v>115.51</v>
      </c>
      <c r="O130" s="33">
        <v>134.05</v>
      </c>
      <c r="P130" s="33">
        <v>146.94</v>
      </c>
      <c r="Q130" s="33">
        <v>128.87</v>
      </c>
      <c r="R130" s="33">
        <v>102.45</v>
      </c>
      <c r="S130" s="33">
        <v>83.11</v>
      </c>
      <c r="T130" s="33">
        <v>69.38</v>
      </c>
      <c r="U130" s="33">
        <v>59.86</v>
      </c>
      <c r="V130" s="33">
        <v>77.28</v>
      </c>
      <c r="W130" s="33">
        <v>82.09</v>
      </c>
      <c r="X130" s="33">
        <v>100.15</v>
      </c>
      <c r="Y130" s="33">
        <v>120.46</v>
      </c>
      <c r="Z130" s="33">
        <v>101.48</v>
      </c>
      <c r="AA130" s="33">
        <v>130.2</v>
      </c>
      <c r="AB130" s="33">
        <v>118.09</v>
      </c>
      <c r="AC130" s="33">
        <v>102.1</v>
      </c>
      <c r="AD130" s="33">
        <v>79.57</v>
      </c>
      <c r="AE130" s="33">
        <v>63.95</v>
      </c>
      <c r="AF130" s="33">
        <v>64.01</v>
      </c>
      <c r="AG130" s="33">
        <v>59.13</v>
      </c>
      <c r="AH130" s="33">
        <v>65.88</v>
      </c>
      <c r="AI130" s="32"/>
      <c r="AJ130" s="34">
        <f>SUM(E130:AI130)</f>
      </c>
      <c r="AK130" s="35"/>
    </row>
    <row r="131" ht="12.75" customHeight="1" spans="2:37" x14ac:dyDescent="0.25">
      <c r="B131" s="30" t="s">
        <v>42</v>
      </c>
      <c r="C131" s="31" t="s">
        <v>3</v>
      </c>
      <c r="D131" s="32" t="s">
        <v>2342</v>
      </c>
      <c r="E131" s="32"/>
      <c r="F131" s="32"/>
      <c r="G131" s="32"/>
      <c r="H131" s="33">
        <v>240.12</v>
      </c>
      <c r="I131" s="33">
        <v>205.22</v>
      </c>
      <c r="J131" s="33">
        <v>204</v>
      </c>
      <c r="K131" s="33">
        <v>281.63</v>
      </c>
      <c r="L131" s="33">
        <v>371.91</v>
      </c>
      <c r="M131" s="33">
        <v>140.04</v>
      </c>
      <c r="N131" s="33">
        <v>48.59</v>
      </c>
      <c r="O131" s="33">
        <v>31.26</v>
      </c>
      <c r="P131" s="33">
        <v>140.45</v>
      </c>
      <c r="Q131" s="33">
        <v>207.4</v>
      </c>
      <c r="R131" s="33">
        <v>346.09</v>
      </c>
      <c r="S131" s="33">
        <v>152.05</v>
      </c>
      <c r="T131" s="33">
        <v>207.43</v>
      </c>
      <c r="U131" s="33">
        <v>246.61</v>
      </c>
      <c r="V131" s="33">
        <v>289.65</v>
      </c>
      <c r="W131" s="33">
        <v>323.75</v>
      </c>
      <c r="X131" s="33">
        <v>355.29</v>
      </c>
      <c r="Y131" s="33">
        <v>248.73</v>
      </c>
      <c r="Z131" s="33">
        <v>231.01</v>
      </c>
      <c r="AA131" s="33">
        <v>306.77</v>
      </c>
      <c r="AB131" s="33">
        <v>250.55</v>
      </c>
      <c r="AC131" s="33">
        <v>265.81</v>
      </c>
      <c r="AD131" s="33">
        <v>368.2</v>
      </c>
      <c r="AE131" s="33">
        <v>286.89</v>
      </c>
      <c r="AF131" s="33">
        <v>230.93</v>
      </c>
      <c r="AG131" s="33">
        <v>233.22</v>
      </c>
      <c r="AH131" s="33">
        <v>273.15</v>
      </c>
      <c r="AI131" s="32"/>
      <c r="AJ131" s="34">
        <f>SUM(E131:AI131)</f>
      </c>
      <c r="AK131" s="35"/>
    </row>
    <row r="132" ht="12.75" customHeight="1" spans="2:37" x14ac:dyDescent="0.25">
      <c r="B132" s="30" t="s">
        <v>42</v>
      </c>
      <c r="C132" s="31" t="s">
        <v>3</v>
      </c>
      <c r="D132" s="32" t="s">
        <v>2343</v>
      </c>
      <c r="E132" s="32"/>
      <c r="F132" s="32"/>
      <c r="G132" s="32"/>
      <c r="H132" s="33">
        <v>27.53</v>
      </c>
      <c r="I132" s="33">
        <v>60.95</v>
      </c>
      <c r="J132" s="33">
        <v>143.17</v>
      </c>
      <c r="K132" s="33">
        <v>141.11</v>
      </c>
      <c r="L132" s="33">
        <v>76.32</v>
      </c>
      <c r="M132" s="33">
        <v>89.97</v>
      </c>
      <c r="N132" s="33">
        <v>72.38</v>
      </c>
      <c r="O132" s="33">
        <v>61.35</v>
      </c>
      <c r="P132" s="33">
        <v>92.31</v>
      </c>
      <c r="Q132" s="33">
        <v>65.03</v>
      </c>
      <c r="R132" s="33">
        <v>45.8</v>
      </c>
      <c r="S132" s="33">
        <v>27.57</v>
      </c>
      <c r="T132" s="33">
        <v>31.08</v>
      </c>
      <c r="U132" s="33">
        <v>106.28</v>
      </c>
      <c r="V132" s="33">
        <v>125.4</v>
      </c>
      <c r="W132" s="33">
        <v>137.5</v>
      </c>
      <c r="X132" s="33">
        <v>103.3</v>
      </c>
      <c r="Y132" s="33">
        <v>27.43</v>
      </c>
      <c r="Z132" s="33">
        <v>27.43</v>
      </c>
      <c r="AA132" s="33">
        <v>27.55</v>
      </c>
      <c r="AB132" s="33">
        <v>27.43</v>
      </c>
      <c r="AC132" s="33">
        <v>27.46</v>
      </c>
      <c r="AD132" s="33">
        <v>89.2</v>
      </c>
      <c r="AE132" s="33">
        <v>108.98</v>
      </c>
      <c r="AF132" s="33">
        <v>128.97</v>
      </c>
      <c r="AG132" s="33">
        <v>140.05</v>
      </c>
      <c r="AH132" s="33">
        <v>115.05</v>
      </c>
      <c r="AI132" s="32"/>
      <c r="AJ132" s="34">
        <f>SUM(E132:AI132)</f>
      </c>
      <c r="AK132" s="35"/>
    </row>
    <row r="133" ht="12.75" customHeight="1" spans="2:37" x14ac:dyDescent="0.25">
      <c r="B133" s="30" t="s">
        <v>42</v>
      </c>
      <c r="C133" s="31" t="s">
        <v>3</v>
      </c>
      <c r="D133" s="32" t="s">
        <v>2344</v>
      </c>
      <c r="E133" s="32"/>
      <c r="F133" s="32"/>
      <c r="G133" s="32"/>
      <c r="H133" s="33">
        <v>36.55</v>
      </c>
      <c r="I133" s="33">
        <v>36.15</v>
      </c>
      <c r="J133" s="33">
        <v>40.42</v>
      </c>
      <c r="K133" s="33">
        <v>46.39</v>
      </c>
      <c r="L133" s="33">
        <v>48.23</v>
      </c>
      <c r="M133" s="33">
        <v>29.53</v>
      </c>
      <c r="N133" s="33">
        <v>26.85</v>
      </c>
      <c r="O133" s="33">
        <v>26.85</v>
      </c>
      <c r="P133" s="33">
        <v>26.85</v>
      </c>
      <c r="Q133" s="33">
        <v>26.85</v>
      </c>
      <c r="R133" s="33">
        <v>27.85</v>
      </c>
      <c r="S133" s="33">
        <v>32.95</v>
      </c>
      <c r="T133" s="33">
        <v>31.55</v>
      </c>
      <c r="U133" s="33">
        <v>161.11</v>
      </c>
      <c r="V133" s="33">
        <v>151.86</v>
      </c>
      <c r="W133" s="33">
        <v>37.67</v>
      </c>
      <c r="X133" s="33">
        <v>26.85</v>
      </c>
      <c r="Y133" s="33">
        <v>26.85</v>
      </c>
      <c r="Z133" s="33">
        <v>26.85</v>
      </c>
      <c r="AA133" s="33">
        <v>26.85</v>
      </c>
      <c r="AB133" s="33">
        <v>26.85</v>
      </c>
      <c r="AC133" s="33">
        <v>26.87</v>
      </c>
      <c r="AD133" s="33">
        <v>28.62</v>
      </c>
      <c r="AE133" s="33">
        <v>99.34</v>
      </c>
      <c r="AF133" s="33">
        <v>94.33</v>
      </c>
      <c r="AG133" s="33">
        <v>86.01</v>
      </c>
      <c r="AH133" s="33">
        <v>88.89</v>
      </c>
      <c r="AI133" s="32"/>
      <c r="AJ133" s="34">
        <f>SUM(E133:AI133)</f>
      </c>
      <c r="AK133" s="35"/>
    </row>
    <row r="134" ht="12.75" customHeight="1" spans="2:37" x14ac:dyDescent="0.25">
      <c r="B134" s="30" t="s">
        <v>42</v>
      </c>
      <c r="C134" s="31" t="s">
        <v>3</v>
      </c>
      <c r="D134" s="32" t="s">
        <v>2345</v>
      </c>
      <c r="E134" s="32"/>
      <c r="F134" s="32"/>
      <c r="G134" s="32"/>
      <c r="H134" s="33">
        <v>66.89</v>
      </c>
      <c r="I134" s="33">
        <v>62.53</v>
      </c>
      <c r="J134" s="33">
        <v>61.75</v>
      </c>
      <c r="K134" s="33">
        <v>65.56</v>
      </c>
      <c r="L134" s="33">
        <v>67.13</v>
      </c>
      <c r="M134" s="33">
        <v>101.52</v>
      </c>
      <c r="N134" s="33">
        <v>97.2</v>
      </c>
      <c r="O134" s="33">
        <v>99.01</v>
      </c>
      <c r="P134" s="33">
        <v>80.66</v>
      </c>
      <c r="Q134" s="33">
        <v>69.7</v>
      </c>
      <c r="R134" s="33">
        <v>34.74</v>
      </c>
      <c r="S134" s="33">
        <v>59.43</v>
      </c>
      <c r="T134" s="33">
        <v>55.73</v>
      </c>
      <c r="U134" s="33">
        <v>66.5</v>
      </c>
      <c r="V134" s="33">
        <v>47.88</v>
      </c>
      <c r="W134" s="33">
        <v>51.54</v>
      </c>
      <c r="X134" s="33">
        <v>57.91</v>
      </c>
      <c r="Y134" s="33">
        <v>91.99</v>
      </c>
      <c r="Z134" s="33">
        <v>71.68</v>
      </c>
      <c r="AA134" s="33">
        <v>69.87</v>
      </c>
      <c r="AB134" s="33">
        <v>54</v>
      </c>
      <c r="AC134" s="33">
        <v>53.54</v>
      </c>
      <c r="AD134" s="33">
        <v>51.84</v>
      </c>
      <c r="AE134" s="33">
        <v>53.54</v>
      </c>
      <c r="AF134" s="33">
        <v>43.77</v>
      </c>
      <c r="AG134" s="33">
        <v>71.67</v>
      </c>
      <c r="AH134" s="33">
        <v>61.01</v>
      </c>
      <c r="AI134" s="32"/>
      <c r="AJ134" s="34">
        <f>SUM(E134:AI134)</f>
      </c>
      <c r="AK134" s="35"/>
    </row>
    <row r="135" ht="12.75" customHeight="1" spans="2:37" x14ac:dyDescent="0.25">
      <c r="B135" s="30" t="s">
        <v>42</v>
      </c>
      <c r="C135" s="31" t="s">
        <v>3</v>
      </c>
      <c r="D135" s="32" t="s">
        <v>2346</v>
      </c>
      <c r="E135" s="32"/>
      <c r="F135" s="32"/>
      <c r="G135" s="32"/>
      <c r="H135" s="33">
        <v>119.27</v>
      </c>
      <c r="I135" s="33">
        <v>113.65</v>
      </c>
      <c r="J135" s="33">
        <v>135.64</v>
      </c>
      <c r="K135" s="33">
        <v>146.65</v>
      </c>
      <c r="L135" s="33">
        <v>147.51</v>
      </c>
      <c r="M135" s="33">
        <v>247.13</v>
      </c>
      <c r="N135" s="33">
        <v>210.28</v>
      </c>
      <c r="O135" s="33">
        <v>225.63</v>
      </c>
      <c r="P135" s="33">
        <v>117.8</v>
      </c>
      <c r="Q135" s="33">
        <v>27.77</v>
      </c>
      <c r="R135" s="33">
        <v>27.88</v>
      </c>
      <c r="S135" s="33">
        <v>30.82</v>
      </c>
      <c r="T135" s="33">
        <v>30.1</v>
      </c>
      <c r="U135" s="33">
        <v>48.17</v>
      </c>
      <c r="V135" s="33">
        <v>87.32</v>
      </c>
      <c r="W135" s="33">
        <v>36.3</v>
      </c>
      <c r="X135" s="33">
        <v>31.26</v>
      </c>
      <c r="Y135" s="33">
        <v>28.38</v>
      </c>
      <c r="Z135" s="33">
        <v>28.23</v>
      </c>
      <c r="AA135" s="33">
        <v>28.44</v>
      </c>
      <c r="AB135" s="33">
        <v>28.29</v>
      </c>
      <c r="AC135" s="33">
        <v>28.37</v>
      </c>
      <c r="AD135" s="33">
        <v>32.03</v>
      </c>
      <c r="AE135" s="33">
        <v>31.08</v>
      </c>
      <c r="AF135" s="33">
        <v>37.21</v>
      </c>
      <c r="AG135" s="33">
        <v>124.78</v>
      </c>
      <c r="AH135" s="33">
        <v>100.2</v>
      </c>
      <c r="AI135" s="32"/>
      <c r="AJ135" s="34">
        <f>SUM(E135:AI135)</f>
      </c>
      <c r="AK135" s="35"/>
    </row>
    <row r="136" ht="12.75" customHeight="1" spans="2:37" x14ac:dyDescent="0.25">
      <c r="B136" s="30" t="s">
        <v>42</v>
      </c>
      <c r="C136" s="31" t="s">
        <v>3</v>
      </c>
      <c r="D136" s="32" t="s">
        <v>2347</v>
      </c>
      <c r="E136" s="32"/>
      <c r="F136" s="32"/>
      <c r="G136" s="32"/>
      <c r="H136" s="33">
        <v>85.44</v>
      </c>
      <c r="I136" s="33">
        <v>96.78</v>
      </c>
      <c r="J136" s="33">
        <v>133.15</v>
      </c>
      <c r="K136" s="33">
        <v>132.83</v>
      </c>
      <c r="L136" s="33">
        <v>133.96</v>
      </c>
      <c r="M136" s="33">
        <v>33</v>
      </c>
      <c r="N136" s="33">
        <v>53.27</v>
      </c>
      <c r="O136" s="33">
        <v>31.76</v>
      </c>
      <c r="P136" s="33">
        <v>26.85</v>
      </c>
      <c r="Q136" s="33">
        <v>26.85</v>
      </c>
      <c r="R136" s="33">
        <v>26.85</v>
      </c>
      <c r="S136" s="33">
        <v>26.85</v>
      </c>
      <c r="T136" s="33">
        <v>37.49</v>
      </c>
      <c r="U136" s="33">
        <v>56.36</v>
      </c>
      <c r="V136" s="33">
        <v>106.67</v>
      </c>
      <c r="W136" s="33">
        <v>29.32</v>
      </c>
      <c r="X136" s="33">
        <v>30.31</v>
      </c>
      <c r="Y136" s="33">
        <v>31.14</v>
      </c>
      <c r="Z136" s="33">
        <v>26.85</v>
      </c>
      <c r="AA136" s="33">
        <v>27.86</v>
      </c>
      <c r="AB136" s="33">
        <v>26.85</v>
      </c>
      <c r="AC136" s="33">
        <v>28.14</v>
      </c>
      <c r="AD136" s="33">
        <v>30.06</v>
      </c>
      <c r="AE136" s="33">
        <v>44.3</v>
      </c>
      <c r="AF136" s="33">
        <v>56.64</v>
      </c>
      <c r="AG136" s="33">
        <v>49.91</v>
      </c>
      <c r="AH136" s="33">
        <v>73.23</v>
      </c>
      <c r="AI136" s="32"/>
      <c r="AJ136" s="34">
        <f>SUM(E136:AI136)</f>
      </c>
      <c r="AK136" s="35"/>
    </row>
    <row r="137" ht="12.75" customHeight="1" spans="2:37" x14ac:dyDescent="0.25">
      <c r="B137" s="30" t="s">
        <v>42</v>
      </c>
      <c r="C137" s="31" t="s">
        <v>3</v>
      </c>
      <c r="D137" s="32" t="s">
        <v>2348</v>
      </c>
      <c r="E137" s="32"/>
      <c r="F137" s="32"/>
      <c r="G137" s="32"/>
      <c r="H137" s="33">
        <v>50.7</v>
      </c>
      <c r="I137" s="33">
        <v>48.31</v>
      </c>
      <c r="J137" s="33">
        <v>50.95</v>
      </c>
      <c r="K137" s="33">
        <v>68.92</v>
      </c>
      <c r="L137" s="33">
        <v>28.49</v>
      </c>
      <c r="M137" s="33">
        <v>42.78</v>
      </c>
      <c r="N137" s="33">
        <v>26.85</v>
      </c>
      <c r="O137" s="33">
        <v>26.85</v>
      </c>
      <c r="P137" s="33">
        <v>26.85</v>
      </c>
      <c r="Q137" s="33">
        <v>26.85</v>
      </c>
      <c r="R137" s="33">
        <v>29.73</v>
      </c>
      <c r="S137" s="33">
        <v>65.73</v>
      </c>
      <c r="T137" s="33">
        <v>50.54</v>
      </c>
      <c r="U137" s="33">
        <v>51.79</v>
      </c>
      <c r="V137" s="33">
        <v>54.28</v>
      </c>
      <c r="W137" s="33">
        <v>67.41</v>
      </c>
      <c r="X137" s="33">
        <v>33.38</v>
      </c>
      <c r="Y137" s="33">
        <v>48.28</v>
      </c>
      <c r="Z137" s="33">
        <v>26.85</v>
      </c>
      <c r="AA137" s="33">
        <v>26.85</v>
      </c>
      <c r="AB137" s="33">
        <v>26.85</v>
      </c>
      <c r="AC137" s="33">
        <v>33.15</v>
      </c>
      <c r="AD137" s="33">
        <v>65.65</v>
      </c>
      <c r="AE137" s="33">
        <v>65.4</v>
      </c>
      <c r="AF137" s="33">
        <v>60.59</v>
      </c>
      <c r="AG137" s="33">
        <v>66.78</v>
      </c>
      <c r="AH137" s="33">
        <v>67.71</v>
      </c>
      <c r="AI137" s="32"/>
      <c r="AJ137" s="34">
        <f>SUM(E137:AI137)</f>
      </c>
      <c r="AK137" s="35"/>
    </row>
    <row r="138" ht="12.75" customHeight="1" spans="2:37" x14ac:dyDescent="0.25">
      <c r="B138" s="30" t="s">
        <v>42</v>
      </c>
      <c r="C138" s="31" t="s">
        <v>3</v>
      </c>
      <c r="D138" s="32" t="s">
        <v>2349</v>
      </c>
      <c r="E138" s="32"/>
      <c r="F138" s="32"/>
      <c r="G138" s="32"/>
      <c r="H138" s="33">
        <v>131.37</v>
      </c>
      <c r="I138" s="33">
        <v>65.84</v>
      </c>
      <c r="J138" s="33">
        <v>138.67</v>
      </c>
      <c r="K138" s="33">
        <v>152.37</v>
      </c>
      <c r="L138" s="33">
        <v>143.76</v>
      </c>
      <c r="M138" s="33">
        <v>128.45</v>
      </c>
      <c r="N138" s="33">
        <v>26.85</v>
      </c>
      <c r="O138" s="33">
        <v>26.85</v>
      </c>
      <c r="P138" s="33">
        <v>26.85</v>
      </c>
      <c r="Q138" s="33">
        <v>26.85</v>
      </c>
      <c r="R138" s="33">
        <v>27.45</v>
      </c>
      <c r="S138" s="33">
        <v>47.19</v>
      </c>
      <c r="T138" s="33">
        <v>33.8</v>
      </c>
      <c r="U138" s="33">
        <v>46.87</v>
      </c>
      <c r="V138" s="33">
        <v>50.89</v>
      </c>
      <c r="W138" s="33">
        <v>57.02</v>
      </c>
      <c r="X138" s="33">
        <v>46.74</v>
      </c>
      <c r="Y138" s="33">
        <v>26.85</v>
      </c>
      <c r="Z138" s="33">
        <v>26.85</v>
      </c>
      <c r="AA138" s="33">
        <v>26.85</v>
      </c>
      <c r="AB138" s="33">
        <v>26.85</v>
      </c>
      <c r="AC138" s="33">
        <v>26.87</v>
      </c>
      <c r="AD138" s="33">
        <v>26.87</v>
      </c>
      <c r="AE138" s="33">
        <v>26.87</v>
      </c>
      <c r="AF138" s="33">
        <v>32.83</v>
      </c>
      <c r="AG138" s="33">
        <v>55.73</v>
      </c>
      <c r="AH138" s="33">
        <v>43.27</v>
      </c>
      <c r="AI138" s="32"/>
      <c r="AJ138" s="34">
        <f>SUM(E138:AI138)</f>
      </c>
      <c r="AK138" s="35"/>
    </row>
    <row r="139" ht="12.75" customHeight="1" spans="2:37" x14ac:dyDescent="0.25">
      <c r="B139" s="30" t="s">
        <v>42</v>
      </c>
      <c r="C139" s="31" t="s">
        <v>3</v>
      </c>
      <c r="D139" s="32" t="s">
        <v>2350</v>
      </c>
      <c r="E139" s="32"/>
      <c r="F139" s="32"/>
      <c r="G139" s="32"/>
      <c r="H139" s="33">
        <v>91.26</v>
      </c>
      <c r="I139" s="33">
        <v>82.56</v>
      </c>
      <c r="J139" s="33">
        <v>90.47</v>
      </c>
      <c r="K139" s="33">
        <v>71.8</v>
      </c>
      <c r="L139" s="33">
        <v>63.74</v>
      </c>
      <c r="M139" s="33">
        <v>26.85</v>
      </c>
      <c r="N139" s="33">
        <v>26.85</v>
      </c>
      <c r="O139" s="33">
        <v>26.85</v>
      </c>
      <c r="P139" s="33">
        <v>26.85</v>
      </c>
      <c r="Q139" s="33">
        <v>26.85</v>
      </c>
      <c r="R139" s="33">
        <v>26.85</v>
      </c>
      <c r="S139" s="33">
        <v>61.42</v>
      </c>
      <c r="T139" s="33">
        <v>44.7</v>
      </c>
      <c r="U139" s="33">
        <v>61.29</v>
      </c>
      <c r="V139" s="33">
        <v>55.82</v>
      </c>
      <c r="W139" s="33">
        <v>63.75</v>
      </c>
      <c r="X139" s="33">
        <v>37.84</v>
      </c>
      <c r="Y139" s="33">
        <v>26.85</v>
      </c>
      <c r="Z139" s="33">
        <v>26.85</v>
      </c>
      <c r="AA139" s="33">
        <v>26.85</v>
      </c>
      <c r="AB139" s="33">
        <v>26.85</v>
      </c>
      <c r="AC139" s="33">
        <v>26.87</v>
      </c>
      <c r="AD139" s="33">
        <v>26.87</v>
      </c>
      <c r="AE139" s="33">
        <v>54.33</v>
      </c>
      <c r="AF139" s="33">
        <v>78.25</v>
      </c>
      <c r="AG139" s="33">
        <v>81.55</v>
      </c>
      <c r="AH139" s="33">
        <v>75.6</v>
      </c>
      <c r="AI139" s="32"/>
      <c r="AJ139" s="34">
        <f>SUM(E139:AI139)</f>
      </c>
      <c r="AK139" s="35"/>
    </row>
    <row r="140" ht="12.75" customHeight="1" spans="2:37" x14ac:dyDescent="0.25">
      <c r="B140" s="30" t="s">
        <v>42</v>
      </c>
      <c r="C140" s="31" t="s">
        <v>3</v>
      </c>
      <c r="D140" s="32" t="s">
        <v>2351</v>
      </c>
      <c r="E140" s="32"/>
      <c r="F140" s="32"/>
      <c r="G140" s="32"/>
      <c r="H140" s="33">
        <v>131.23</v>
      </c>
      <c r="I140" s="33">
        <v>173.06</v>
      </c>
      <c r="J140" s="33">
        <v>184.53</v>
      </c>
      <c r="K140" s="33">
        <v>181.14</v>
      </c>
      <c r="L140" s="33">
        <v>34.68</v>
      </c>
      <c r="M140" s="33">
        <v>26.85</v>
      </c>
      <c r="N140" s="33">
        <v>26.85</v>
      </c>
      <c r="O140" s="33">
        <v>26.85</v>
      </c>
      <c r="P140" s="33">
        <v>26.85</v>
      </c>
      <c r="Q140" s="33">
        <v>26.85</v>
      </c>
      <c r="R140" s="33">
        <v>26.85</v>
      </c>
      <c r="S140" s="33">
        <v>70.16</v>
      </c>
      <c r="T140" s="33">
        <v>70.41</v>
      </c>
      <c r="U140" s="33">
        <v>129.82</v>
      </c>
      <c r="V140" s="33">
        <v>125.01</v>
      </c>
      <c r="W140" s="33">
        <v>130.6</v>
      </c>
      <c r="X140" s="33">
        <v>62.58</v>
      </c>
      <c r="Y140" s="33">
        <v>34.4</v>
      </c>
      <c r="Z140" s="33">
        <v>51.54</v>
      </c>
      <c r="AA140" s="33">
        <v>84.45</v>
      </c>
      <c r="AB140" s="33">
        <v>59.09</v>
      </c>
      <c r="AC140" s="33">
        <v>70.6</v>
      </c>
      <c r="AD140" s="33">
        <v>73.06</v>
      </c>
      <c r="AE140" s="33">
        <v>71.64</v>
      </c>
      <c r="AF140" s="33">
        <v>116.21</v>
      </c>
      <c r="AG140" s="33">
        <v>120.15</v>
      </c>
      <c r="AH140" s="33">
        <v>118.34</v>
      </c>
      <c r="AI140" s="32"/>
      <c r="AJ140" s="34">
        <f>SUM(E140:AI140)</f>
      </c>
      <c r="AK140" s="35"/>
    </row>
    <row r="141" ht="12.75" customHeight="1" spans="2:37" x14ac:dyDescent="0.25">
      <c r="B141" s="30" t="s">
        <v>42</v>
      </c>
      <c r="C141" s="31" t="s">
        <v>3</v>
      </c>
      <c r="D141" s="32" t="s">
        <v>2352</v>
      </c>
      <c r="E141" s="32"/>
      <c r="F141" s="32"/>
      <c r="G141" s="32"/>
      <c r="H141" s="33">
        <v>54.65</v>
      </c>
      <c r="I141" s="33">
        <v>65.31</v>
      </c>
      <c r="J141" s="33">
        <v>83.22</v>
      </c>
      <c r="K141" s="33">
        <v>86.62</v>
      </c>
      <c r="L141" s="33">
        <v>43.02</v>
      </c>
      <c r="M141" s="33">
        <v>56.4</v>
      </c>
      <c r="N141" s="33">
        <v>26.85</v>
      </c>
      <c r="O141" s="33">
        <v>26.85</v>
      </c>
      <c r="P141" s="33">
        <v>26.85</v>
      </c>
      <c r="Q141" s="33">
        <v>26.85</v>
      </c>
      <c r="R141" s="33">
        <v>26.85</v>
      </c>
      <c r="S141" s="33">
        <v>33.39</v>
      </c>
      <c r="T141" s="33">
        <v>64.96</v>
      </c>
      <c r="U141" s="33">
        <v>109.66</v>
      </c>
      <c r="V141" s="33">
        <v>105.37</v>
      </c>
      <c r="W141" s="33">
        <v>129.56</v>
      </c>
      <c r="X141" s="33">
        <v>100.3</v>
      </c>
      <c r="Y141" s="33">
        <v>61.4</v>
      </c>
      <c r="Z141" s="33">
        <v>36.6</v>
      </c>
      <c r="AA141" s="33">
        <v>26.85</v>
      </c>
      <c r="AB141" s="33">
        <v>26.85</v>
      </c>
      <c r="AC141" s="33">
        <v>26.87</v>
      </c>
      <c r="AD141" s="33">
        <v>26.87</v>
      </c>
      <c r="AE141" s="33">
        <v>26.87</v>
      </c>
      <c r="AF141" s="33">
        <v>33.91</v>
      </c>
      <c r="AG141" s="33">
        <v>144.62</v>
      </c>
      <c r="AH141" s="33">
        <v>139.27</v>
      </c>
      <c r="AI141" s="32"/>
      <c r="AJ141" s="34">
        <f>SUM(E141:AI141)</f>
      </c>
      <c r="AK141" s="35"/>
    </row>
    <row r="142" ht="12.75" customHeight="1" spans="2:37" x14ac:dyDescent="0.25">
      <c r="B142" s="30" t="s">
        <v>42</v>
      </c>
      <c r="C142" s="31" t="s">
        <v>3</v>
      </c>
      <c r="D142" s="32" t="s">
        <v>2353</v>
      </c>
      <c r="E142" s="32"/>
      <c r="F142" s="32"/>
      <c r="G142" s="32"/>
      <c r="H142" s="33">
        <v>55.98</v>
      </c>
      <c r="I142" s="33">
        <v>97.84</v>
      </c>
      <c r="J142" s="33">
        <v>103.09</v>
      </c>
      <c r="K142" s="33">
        <v>127.49</v>
      </c>
      <c r="L142" s="33">
        <v>72.25</v>
      </c>
      <c r="M142" s="33">
        <v>27.28</v>
      </c>
      <c r="N142" s="33">
        <v>31.81</v>
      </c>
      <c r="O142" s="33">
        <v>26.85</v>
      </c>
      <c r="P142" s="33">
        <v>120.4</v>
      </c>
      <c r="Q142" s="33">
        <v>100.82</v>
      </c>
      <c r="R142" s="33">
        <v>65.96</v>
      </c>
      <c r="S142" s="33">
        <v>152.31</v>
      </c>
      <c r="T142" s="33">
        <v>102.51</v>
      </c>
      <c r="U142" s="33">
        <v>149.57</v>
      </c>
      <c r="V142" s="33">
        <v>133.06</v>
      </c>
      <c r="W142" s="33">
        <v>139.56</v>
      </c>
      <c r="X142" s="33">
        <v>107.71</v>
      </c>
      <c r="Y142" s="33">
        <v>74.31</v>
      </c>
      <c r="Z142" s="33">
        <v>34.13</v>
      </c>
      <c r="AA142" s="33">
        <v>34.23</v>
      </c>
      <c r="AB142" s="33">
        <v>33.79</v>
      </c>
      <c r="AC142" s="33">
        <v>127.85</v>
      </c>
      <c r="AD142" s="33">
        <v>100.66</v>
      </c>
      <c r="AE142" s="33">
        <v>89.36</v>
      </c>
      <c r="AF142" s="33">
        <v>73.11</v>
      </c>
      <c r="AG142" s="33">
        <v>80.61</v>
      </c>
      <c r="AH142" s="33">
        <v>87.7</v>
      </c>
      <c r="AI142" s="32"/>
      <c r="AJ142" s="34">
        <f>SUM(E142:AI142)</f>
      </c>
      <c r="AK142" s="35"/>
    </row>
    <row r="143" ht="12.75" customHeight="1" spans="2:37" x14ac:dyDescent="0.25">
      <c r="B143" s="30" t="s">
        <v>42</v>
      </c>
      <c r="C143" s="31" t="s">
        <v>3</v>
      </c>
      <c r="D143" s="32" t="s">
        <v>2354</v>
      </c>
      <c r="E143" s="32"/>
      <c r="F143" s="32"/>
      <c r="G143" s="32"/>
      <c r="H143" s="33">
        <v>43.47</v>
      </c>
      <c r="I143" s="33">
        <v>53.46</v>
      </c>
      <c r="J143" s="33">
        <v>62.8</v>
      </c>
      <c r="K143" s="33">
        <v>67.81</v>
      </c>
      <c r="L143" s="33">
        <v>34.22</v>
      </c>
      <c r="M143" s="33">
        <v>26.85</v>
      </c>
      <c r="N143" s="33">
        <v>26.85</v>
      </c>
      <c r="O143" s="33">
        <v>26.85</v>
      </c>
      <c r="P143" s="33">
        <v>26.85</v>
      </c>
      <c r="Q143" s="33">
        <v>26.85</v>
      </c>
      <c r="R143" s="33">
        <v>26.85</v>
      </c>
      <c r="S143" s="33">
        <v>61.07</v>
      </c>
      <c r="T143" s="33">
        <v>48.97</v>
      </c>
      <c r="U143" s="33">
        <v>62.46</v>
      </c>
      <c r="V143" s="33">
        <v>57.79</v>
      </c>
      <c r="W143" s="33">
        <v>62.32</v>
      </c>
      <c r="X143" s="33">
        <v>74.31</v>
      </c>
      <c r="Y143" s="33">
        <v>35.51</v>
      </c>
      <c r="Z143" s="33">
        <v>34.27</v>
      </c>
      <c r="AA143" s="33">
        <v>29.98</v>
      </c>
      <c r="AB143" s="33">
        <v>27.8</v>
      </c>
      <c r="AC143" s="33">
        <v>27.2</v>
      </c>
      <c r="AD143" s="33">
        <v>34.72</v>
      </c>
      <c r="AE143" s="33">
        <v>34.21</v>
      </c>
      <c r="AF143" s="33">
        <v>51.24</v>
      </c>
      <c r="AG143" s="33">
        <v>67.56</v>
      </c>
      <c r="AH143" s="33">
        <v>62.43</v>
      </c>
      <c r="AI143" s="32"/>
      <c r="AJ143" s="34">
        <f>SUM(E143:AI143)</f>
      </c>
      <c r="AK143" s="35"/>
    </row>
    <row r="144" ht="12.75" customHeight="1" spans="2:37" x14ac:dyDescent="0.25">
      <c r="B144" s="30" t="s">
        <v>42</v>
      </c>
      <c r="C144" s="31" t="s">
        <v>3</v>
      </c>
      <c r="D144" s="32" t="s">
        <v>2355</v>
      </c>
      <c r="E144" s="32"/>
      <c r="F144" s="32"/>
      <c r="G144" s="32"/>
      <c r="H144" s="33">
        <v>26.85</v>
      </c>
      <c r="I144" s="33">
        <v>26.85</v>
      </c>
      <c r="J144" s="33">
        <v>26.85</v>
      </c>
      <c r="K144" s="33">
        <v>26.85</v>
      </c>
      <c r="L144" s="33">
        <v>26.85</v>
      </c>
      <c r="M144" s="33">
        <v>26.85</v>
      </c>
      <c r="N144" s="33">
        <v>26.85</v>
      </c>
      <c r="O144" s="33">
        <v>26.85</v>
      </c>
      <c r="P144" s="33">
        <v>26.85</v>
      </c>
      <c r="Q144" s="33">
        <v>26.85</v>
      </c>
      <c r="R144" s="33">
        <v>26.85</v>
      </c>
      <c r="S144" s="33">
        <v>26.85</v>
      </c>
      <c r="T144" s="33">
        <v>26.85</v>
      </c>
      <c r="U144" s="33">
        <v>26.85</v>
      </c>
      <c r="V144" s="33">
        <v>26.85</v>
      </c>
      <c r="W144" s="33">
        <v>26.85</v>
      </c>
      <c r="X144" s="33">
        <v>26.85</v>
      </c>
      <c r="Y144" s="33">
        <v>26.85</v>
      </c>
      <c r="Z144" s="33">
        <v>26.85</v>
      </c>
      <c r="AA144" s="33">
        <v>26.85</v>
      </c>
      <c r="AB144" s="33">
        <v>26.85</v>
      </c>
      <c r="AC144" s="33">
        <v>26.87</v>
      </c>
      <c r="AD144" s="33">
        <v>26.87</v>
      </c>
      <c r="AE144" s="33">
        <v>26.87</v>
      </c>
      <c r="AF144" s="33">
        <v>32.25</v>
      </c>
      <c r="AG144" s="33">
        <v>32.25</v>
      </c>
      <c r="AH144" s="33">
        <v>32.19</v>
      </c>
      <c r="AI144" s="32"/>
      <c r="AJ144" s="34">
        <f>SUM(E144:AI144)</f>
      </c>
      <c r="AK144" s="35"/>
    </row>
    <row r="145" ht="12.75" customHeight="1" spans="2:37" x14ac:dyDescent="0.25">
      <c r="B145" s="30" t="s">
        <v>42</v>
      </c>
      <c r="C145" s="31" t="s">
        <v>3</v>
      </c>
      <c r="D145" s="32" t="s">
        <v>2356</v>
      </c>
      <c r="E145" s="32"/>
      <c r="F145" s="32"/>
      <c r="G145" s="32"/>
      <c r="H145" s="33">
        <v>56.63</v>
      </c>
      <c r="I145" s="33">
        <v>119.32</v>
      </c>
      <c r="J145" s="33">
        <v>136.82</v>
      </c>
      <c r="K145" s="33">
        <v>137.47</v>
      </c>
      <c r="L145" s="33">
        <v>92.05</v>
      </c>
      <c r="M145" s="33">
        <v>26.85</v>
      </c>
      <c r="N145" s="33">
        <v>39.27</v>
      </c>
      <c r="O145" s="33">
        <v>65.25</v>
      </c>
      <c r="P145" s="33">
        <v>31.54</v>
      </c>
      <c r="Q145" s="33">
        <v>86.13</v>
      </c>
      <c r="R145" s="33">
        <v>125.41</v>
      </c>
      <c r="S145" s="33">
        <v>148.18</v>
      </c>
      <c r="T145" s="33">
        <v>165.45</v>
      </c>
      <c r="U145" s="33">
        <v>202.04</v>
      </c>
      <c r="V145" s="33">
        <v>162.19</v>
      </c>
      <c r="W145" s="33">
        <v>188.4</v>
      </c>
      <c r="X145" s="33">
        <v>193.4</v>
      </c>
      <c r="Y145" s="33">
        <v>133.18</v>
      </c>
      <c r="Z145" s="33">
        <v>166.42</v>
      </c>
      <c r="AA145" s="33">
        <v>227.64</v>
      </c>
      <c r="AB145" s="33">
        <v>213.27</v>
      </c>
      <c r="AC145" s="33">
        <v>46.51</v>
      </c>
      <c r="AD145" s="33">
        <v>26.87</v>
      </c>
      <c r="AE145" s="33">
        <v>90.49</v>
      </c>
      <c r="AF145" s="33">
        <v>48.88</v>
      </c>
      <c r="AG145" s="33">
        <v>132.79</v>
      </c>
      <c r="AH145" s="33">
        <v>132.67</v>
      </c>
      <c r="AI145" s="32"/>
      <c r="AJ145" s="34">
        <f>SUM(E145:AI145)</f>
      </c>
      <c r="AK145" s="35"/>
    </row>
    <row r="146" ht="12.75" customHeight="1" spans="2:37" x14ac:dyDescent="0.25">
      <c r="B146" s="30" t="s">
        <v>42</v>
      </c>
      <c r="C146" s="31" t="s">
        <v>3</v>
      </c>
      <c r="D146" s="32" t="s">
        <v>2357</v>
      </c>
      <c r="E146" s="32"/>
      <c r="F146" s="32"/>
      <c r="G146" s="32"/>
      <c r="H146" s="33">
        <v>92.69</v>
      </c>
      <c r="I146" s="33">
        <v>92.05</v>
      </c>
      <c r="J146" s="33">
        <v>108.24</v>
      </c>
      <c r="K146" s="33">
        <v>118.76</v>
      </c>
      <c r="L146" s="33">
        <v>120.86</v>
      </c>
      <c r="M146" s="33">
        <v>26.85</v>
      </c>
      <c r="N146" s="33">
        <v>32.89</v>
      </c>
      <c r="O146" s="33">
        <v>139.1</v>
      </c>
      <c r="P146" s="33">
        <v>26.85</v>
      </c>
      <c r="Q146" s="33">
        <v>26.85</v>
      </c>
      <c r="R146" s="33">
        <v>26.85</v>
      </c>
      <c r="S146" s="33">
        <v>26.85</v>
      </c>
      <c r="T146" s="33">
        <v>27.65</v>
      </c>
      <c r="U146" s="33">
        <v>97.18</v>
      </c>
      <c r="V146" s="33">
        <v>91.22</v>
      </c>
      <c r="W146" s="33">
        <v>27.64</v>
      </c>
      <c r="X146" s="33">
        <v>26.85</v>
      </c>
      <c r="Y146" s="33">
        <v>26.85</v>
      </c>
      <c r="Z146" s="33">
        <v>26.85</v>
      </c>
      <c r="AA146" s="33">
        <v>26.85</v>
      </c>
      <c r="AB146" s="33">
        <v>26.85</v>
      </c>
      <c r="AC146" s="33">
        <v>26.87</v>
      </c>
      <c r="AD146" s="33">
        <v>26.87</v>
      </c>
      <c r="AE146" s="33">
        <v>33.47</v>
      </c>
      <c r="AF146" s="33">
        <v>86.28</v>
      </c>
      <c r="AG146" s="33">
        <v>144.62</v>
      </c>
      <c r="AH146" s="33">
        <v>107.04</v>
      </c>
      <c r="AI146" s="32"/>
      <c r="AJ146" s="34">
        <f>SUM(E146:AI146)</f>
      </c>
      <c r="AK146" s="35"/>
    </row>
    <row r="147" ht="12.75" customHeight="1" spans="2:37" x14ac:dyDescent="0.25">
      <c r="B147" s="30" t="s">
        <v>42</v>
      </c>
      <c r="C147" s="31" t="s">
        <v>3</v>
      </c>
      <c r="D147" s="32" t="s">
        <v>2358</v>
      </c>
      <c r="E147" s="32"/>
      <c r="F147" s="32"/>
      <c r="G147" s="32"/>
      <c r="H147" s="33">
        <v>109.67</v>
      </c>
      <c r="I147" s="33">
        <v>121</v>
      </c>
      <c r="J147" s="33">
        <v>134.2</v>
      </c>
      <c r="K147" s="33">
        <v>144.61</v>
      </c>
      <c r="L147" s="33">
        <v>45.22</v>
      </c>
      <c r="M147" s="33">
        <v>26.85</v>
      </c>
      <c r="N147" s="33">
        <v>26.85</v>
      </c>
      <c r="O147" s="33">
        <v>26.85</v>
      </c>
      <c r="P147" s="33">
        <v>80.66</v>
      </c>
      <c r="Q147" s="33">
        <v>26.85</v>
      </c>
      <c r="R147" s="33">
        <v>31.28</v>
      </c>
      <c r="S147" s="33">
        <v>33.98</v>
      </c>
      <c r="T147" s="33">
        <v>40.27</v>
      </c>
      <c r="U147" s="33">
        <v>46.07</v>
      </c>
      <c r="V147" s="33">
        <v>38.05</v>
      </c>
      <c r="W147" s="33">
        <v>44.64</v>
      </c>
      <c r="X147" s="33">
        <v>32.06</v>
      </c>
      <c r="Y147" s="33">
        <v>26.85</v>
      </c>
      <c r="Z147" s="33">
        <v>29.15</v>
      </c>
      <c r="AA147" s="33">
        <v>29.15</v>
      </c>
      <c r="AB147" s="33">
        <v>26.85</v>
      </c>
      <c r="AC147" s="33">
        <v>26.87</v>
      </c>
      <c r="AD147" s="33">
        <v>26.87</v>
      </c>
      <c r="AE147" s="33">
        <v>33.68</v>
      </c>
      <c r="AF147" s="33">
        <v>47.93</v>
      </c>
      <c r="AG147" s="33">
        <v>50.58</v>
      </c>
      <c r="AH147" s="33">
        <v>48.65</v>
      </c>
      <c r="AI147" s="32"/>
      <c r="AJ147" s="34">
        <f>SUM(E147:AI147)</f>
      </c>
      <c r="AK147" s="35"/>
    </row>
    <row r="148" ht="12.75" customHeight="1" spans="2:37" x14ac:dyDescent="0.25">
      <c r="B148" s="30" t="s">
        <v>42</v>
      </c>
      <c r="C148" s="31" t="s">
        <v>3</v>
      </c>
      <c r="D148" s="32" t="s">
        <v>2359</v>
      </c>
      <c r="E148" s="32"/>
      <c r="F148" s="32"/>
      <c r="G148" s="32"/>
      <c r="H148" s="33">
        <v>110.45</v>
      </c>
      <c r="I148" s="33">
        <v>112.07</v>
      </c>
      <c r="J148" s="33">
        <v>122.08</v>
      </c>
      <c r="K148" s="33">
        <v>128.49</v>
      </c>
      <c r="L148" s="33">
        <v>133.01</v>
      </c>
      <c r="M148" s="33">
        <v>204.21</v>
      </c>
      <c r="N148" s="33">
        <v>162.67</v>
      </c>
      <c r="O148" s="33">
        <v>147.82</v>
      </c>
      <c r="P148" s="33">
        <v>193.45</v>
      </c>
      <c r="Q148" s="33">
        <v>180.34</v>
      </c>
      <c r="R148" s="33">
        <v>109.45</v>
      </c>
      <c r="S148" s="33">
        <v>130.66</v>
      </c>
      <c r="T148" s="33">
        <v>129.52</v>
      </c>
      <c r="U148" s="33">
        <v>144.89</v>
      </c>
      <c r="V148" s="33">
        <v>133.58</v>
      </c>
      <c r="W148" s="33">
        <v>131.11</v>
      </c>
      <c r="X148" s="33">
        <v>163.54</v>
      </c>
      <c r="Y148" s="33">
        <v>211.3</v>
      </c>
      <c r="Z148" s="33">
        <v>185.81</v>
      </c>
      <c r="AA148" s="33">
        <v>234.33</v>
      </c>
      <c r="AB148" s="33">
        <v>205.98</v>
      </c>
      <c r="AC148" s="33">
        <v>199.96</v>
      </c>
      <c r="AD148" s="33">
        <v>154.61</v>
      </c>
      <c r="AE148" s="33">
        <v>113.81</v>
      </c>
      <c r="AF148" s="33">
        <v>98.54</v>
      </c>
      <c r="AG148" s="33">
        <v>103.82</v>
      </c>
      <c r="AH148" s="33">
        <v>99.02</v>
      </c>
      <c r="AI148" s="32"/>
      <c r="AJ148" s="34">
        <f>SUM(E148:AI148)</f>
      </c>
      <c r="AK148" s="35"/>
    </row>
    <row r="149" ht="12.75" customHeight="1" spans="2:37" x14ac:dyDescent="0.25">
      <c r="B149" s="30" t="s">
        <v>42</v>
      </c>
      <c r="C149" s="31" t="s">
        <v>3</v>
      </c>
      <c r="D149" s="32" t="s">
        <v>2360</v>
      </c>
      <c r="E149" s="32"/>
      <c r="F149" s="32"/>
      <c r="G149" s="32"/>
      <c r="H149" s="33">
        <v>70.04</v>
      </c>
      <c r="I149" s="33">
        <v>86.26</v>
      </c>
      <c r="J149" s="33">
        <v>109.83</v>
      </c>
      <c r="K149" s="33">
        <v>145.22</v>
      </c>
      <c r="L149" s="33">
        <v>92.41</v>
      </c>
      <c r="M149" s="33">
        <v>27.21</v>
      </c>
      <c r="N149" s="33">
        <v>32.46</v>
      </c>
      <c r="O149" s="33">
        <v>27.2</v>
      </c>
      <c r="P149" s="33">
        <v>27.25</v>
      </c>
      <c r="Q149" s="33">
        <v>27.21</v>
      </c>
      <c r="R149" s="33">
        <v>27.21</v>
      </c>
      <c r="S149" s="33">
        <v>27.21</v>
      </c>
      <c r="T149" s="33">
        <v>29.41</v>
      </c>
      <c r="U149" s="33">
        <v>104.86</v>
      </c>
      <c r="V149" s="33">
        <v>105.5</v>
      </c>
      <c r="W149" s="33">
        <v>59.45</v>
      </c>
      <c r="X149" s="33">
        <v>75.71</v>
      </c>
      <c r="Y149" s="33">
        <v>28.01</v>
      </c>
      <c r="Z149" s="33">
        <v>26.85</v>
      </c>
      <c r="AA149" s="33">
        <v>27.43</v>
      </c>
      <c r="AB149" s="33">
        <v>27.26</v>
      </c>
      <c r="AC149" s="33">
        <v>29.49</v>
      </c>
      <c r="AD149" s="33">
        <v>37.71</v>
      </c>
      <c r="AE149" s="33">
        <v>38.31</v>
      </c>
      <c r="AF149" s="33">
        <v>40.46</v>
      </c>
      <c r="AG149" s="33">
        <v>48.21</v>
      </c>
      <c r="AH149" s="33">
        <v>81.4</v>
      </c>
      <c r="AI149" s="32"/>
      <c r="AJ149" s="34">
        <f>SUM(E149:AI149)</f>
      </c>
      <c r="AK149" s="35"/>
    </row>
    <row r="150" ht="12.75" customHeight="1" spans="2:37" x14ac:dyDescent="0.25">
      <c r="B150" s="30" t="s">
        <v>42</v>
      </c>
      <c r="C150" s="31" t="s">
        <v>3</v>
      </c>
      <c r="D150" s="32" t="s">
        <v>2361</v>
      </c>
      <c r="E150" s="32"/>
      <c r="F150" s="32"/>
      <c r="G150" s="32"/>
      <c r="H150" s="33">
        <v>26.85</v>
      </c>
      <c r="I150" s="33">
        <v>71.76</v>
      </c>
      <c r="J150" s="33">
        <v>112.2</v>
      </c>
      <c r="K150" s="33">
        <v>184.5</v>
      </c>
      <c r="L150" s="33">
        <v>31.98</v>
      </c>
      <c r="M150" s="33">
        <v>26.85</v>
      </c>
      <c r="N150" s="33">
        <v>92.66</v>
      </c>
      <c r="O150" s="33">
        <v>159.98</v>
      </c>
      <c r="P150" s="33">
        <v>196.91</v>
      </c>
      <c r="Q150" s="33">
        <v>172.89</v>
      </c>
      <c r="R150" s="33">
        <v>138.12</v>
      </c>
      <c r="S150" s="33">
        <v>79.26</v>
      </c>
      <c r="T150" s="33">
        <v>64.45</v>
      </c>
      <c r="U150" s="33">
        <v>72.73</v>
      </c>
      <c r="V150" s="33">
        <v>67.66</v>
      </c>
      <c r="W150" s="33">
        <v>76.24</v>
      </c>
      <c r="X150" s="33">
        <v>83.27</v>
      </c>
      <c r="Y150" s="33">
        <v>114.49</v>
      </c>
      <c r="Z150" s="33">
        <v>110.96</v>
      </c>
      <c r="AA150" s="33">
        <v>128.13</v>
      </c>
      <c r="AB150" s="33">
        <v>109.93</v>
      </c>
      <c r="AC150" s="33">
        <v>26.87</v>
      </c>
      <c r="AD150" s="33">
        <v>34.72</v>
      </c>
      <c r="AE150" s="33">
        <v>47.42</v>
      </c>
      <c r="AF150" s="33">
        <v>52.29</v>
      </c>
      <c r="AG150" s="33">
        <v>48.48</v>
      </c>
      <c r="AH150" s="33">
        <v>56.92</v>
      </c>
      <c r="AI150" s="32"/>
      <c r="AJ150" s="34">
        <f>SUM(E150:AI150)</f>
      </c>
      <c r="AK150" s="35"/>
    </row>
    <row r="151" ht="12.75" customHeight="1" spans="2:37" x14ac:dyDescent="0.25">
      <c r="B151" s="30" t="s">
        <v>42</v>
      </c>
      <c r="C151" s="31" t="s">
        <v>3</v>
      </c>
      <c r="D151" s="32" t="s">
        <v>2362</v>
      </c>
      <c r="E151" s="32"/>
      <c r="F151" s="32"/>
      <c r="G151" s="32"/>
      <c r="H151" s="33">
        <v>134.79</v>
      </c>
      <c r="I151" s="33">
        <v>131.03</v>
      </c>
      <c r="J151" s="33">
        <v>138.81</v>
      </c>
      <c r="K151" s="33">
        <v>176.91</v>
      </c>
      <c r="L151" s="33">
        <v>150.13</v>
      </c>
      <c r="M151" s="33">
        <v>46.63</v>
      </c>
      <c r="N151" s="33">
        <v>47.08</v>
      </c>
      <c r="O151" s="33">
        <v>49.98</v>
      </c>
      <c r="P151" s="33">
        <v>54.19</v>
      </c>
      <c r="Q151" s="33">
        <v>44.39</v>
      </c>
      <c r="R151" s="33">
        <v>55</v>
      </c>
      <c r="S151" s="33">
        <v>143.5</v>
      </c>
      <c r="T151" s="33">
        <v>32.24</v>
      </c>
      <c r="U151" s="33">
        <v>63.75</v>
      </c>
      <c r="V151" s="33">
        <v>149.29</v>
      </c>
      <c r="W151" s="33">
        <v>165.82</v>
      </c>
      <c r="X151" s="33">
        <v>203.85</v>
      </c>
      <c r="Y151" s="33">
        <v>29.5</v>
      </c>
      <c r="Z151" s="33">
        <v>26.85</v>
      </c>
      <c r="AA151" s="33">
        <v>26.85</v>
      </c>
      <c r="AB151" s="33">
        <v>26.85</v>
      </c>
      <c r="AC151" s="33">
        <v>26.87</v>
      </c>
      <c r="AD151" s="33">
        <v>26.87</v>
      </c>
      <c r="AE151" s="33">
        <v>83.09</v>
      </c>
      <c r="AF151" s="33">
        <v>141.61</v>
      </c>
      <c r="AG151" s="33">
        <v>124</v>
      </c>
      <c r="AH151" s="33">
        <v>177.7</v>
      </c>
      <c r="AI151" s="32"/>
      <c r="AJ151" s="34">
        <f>SUM(E151:AI151)</f>
      </c>
      <c r="AK151" s="35"/>
    </row>
    <row r="152" ht="12.75" customHeight="1" spans="2:37" x14ac:dyDescent="0.25">
      <c r="B152" s="30" t="s">
        <v>42</v>
      </c>
      <c r="C152" s="31" t="s">
        <v>3</v>
      </c>
      <c r="D152" s="32" t="s">
        <v>2363</v>
      </c>
      <c r="E152" s="32"/>
      <c r="F152" s="32"/>
      <c r="G152" s="32"/>
      <c r="H152" s="33">
        <v>116.77</v>
      </c>
      <c r="I152" s="33">
        <v>109.97</v>
      </c>
      <c r="J152" s="33">
        <v>123.79</v>
      </c>
      <c r="K152" s="33">
        <v>129.1</v>
      </c>
      <c r="L152" s="33">
        <v>131.49</v>
      </c>
      <c r="M152" s="33">
        <v>188.05</v>
      </c>
      <c r="N152" s="33">
        <v>176.35</v>
      </c>
      <c r="O152" s="33">
        <v>178.48</v>
      </c>
      <c r="P152" s="33">
        <v>184.08</v>
      </c>
      <c r="Q152" s="33">
        <v>163.64</v>
      </c>
      <c r="R152" s="33">
        <v>111.54</v>
      </c>
      <c r="S152" s="33">
        <v>104.77</v>
      </c>
      <c r="T152" s="33">
        <v>106.53</v>
      </c>
      <c r="U152" s="33">
        <v>135.4</v>
      </c>
      <c r="V152" s="33">
        <v>110.96</v>
      </c>
      <c r="W152" s="33">
        <v>125.4</v>
      </c>
      <c r="X152" s="33">
        <v>141.55</v>
      </c>
      <c r="Y152" s="33">
        <v>190.2</v>
      </c>
      <c r="Z152" s="33">
        <v>169.61</v>
      </c>
      <c r="AA152" s="33">
        <v>212.34</v>
      </c>
      <c r="AB152" s="33">
        <v>197.62</v>
      </c>
      <c r="AC152" s="33">
        <v>177.8</v>
      </c>
      <c r="AD152" s="33">
        <v>156.26</v>
      </c>
      <c r="AE152" s="33">
        <v>107.97</v>
      </c>
      <c r="AF152" s="33">
        <v>119.89</v>
      </c>
      <c r="AG152" s="33">
        <v>131.87</v>
      </c>
      <c r="AH152" s="33">
        <v>122.83</v>
      </c>
      <c r="AI152" s="32"/>
      <c r="AJ152" s="34">
        <f>SUM(E152:AI152)</f>
      </c>
      <c r="AK152" s="35"/>
    </row>
    <row r="153" ht="12.75" customHeight="1" spans="2:37" x14ac:dyDescent="0.25">
      <c r="B153" s="30" t="s">
        <v>42</v>
      </c>
      <c r="C153" s="31" t="s">
        <v>3</v>
      </c>
      <c r="D153" s="32" t="s">
        <v>2364</v>
      </c>
      <c r="E153" s="32"/>
      <c r="F153" s="32"/>
      <c r="G153" s="32"/>
      <c r="H153" s="33">
        <v>79.65</v>
      </c>
      <c r="I153" s="33">
        <v>69.4</v>
      </c>
      <c r="J153" s="33">
        <v>88.24</v>
      </c>
      <c r="K153" s="33">
        <v>91.61</v>
      </c>
      <c r="L153" s="33">
        <v>93.01</v>
      </c>
      <c r="M153" s="33">
        <v>149.3</v>
      </c>
      <c r="N153" s="33">
        <v>78.91</v>
      </c>
      <c r="O153" s="33">
        <v>57.91</v>
      </c>
      <c r="P153" s="33">
        <v>83.67</v>
      </c>
      <c r="Q153" s="33">
        <v>76.2</v>
      </c>
      <c r="R153" s="33">
        <v>66.43</v>
      </c>
      <c r="S153" s="33">
        <v>70.28</v>
      </c>
      <c r="T153" s="33">
        <v>117.07</v>
      </c>
      <c r="U153" s="33">
        <v>115.51</v>
      </c>
      <c r="V153" s="33">
        <v>81.59</v>
      </c>
      <c r="W153" s="33">
        <v>41.8</v>
      </c>
      <c r="X153" s="33">
        <v>112.4</v>
      </c>
      <c r="Y153" s="33">
        <v>35.77</v>
      </c>
      <c r="Z153" s="33">
        <v>32.06</v>
      </c>
      <c r="AA153" s="33">
        <v>55.45</v>
      </c>
      <c r="AB153" s="33">
        <v>30.53</v>
      </c>
      <c r="AC153" s="33">
        <v>30.34</v>
      </c>
      <c r="AD153" s="33">
        <v>26.87</v>
      </c>
      <c r="AE153" s="33">
        <v>26.87</v>
      </c>
      <c r="AF153" s="33">
        <v>37.96</v>
      </c>
      <c r="AG153" s="33">
        <v>83.38</v>
      </c>
      <c r="AH153" s="33">
        <v>102.04</v>
      </c>
      <c r="AI153" s="32"/>
      <c r="AJ153" s="34">
        <f>SUM(E153:AI153)</f>
      </c>
      <c r="AK153" s="35"/>
    </row>
    <row r="154" ht="12.75" customHeight="1" spans="2:37" x14ac:dyDescent="0.25">
      <c r="B154" s="30" t="s">
        <v>42</v>
      </c>
      <c r="C154" s="31" t="s">
        <v>3</v>
      </c>
      <c r="D154" s="32" t="s">
        <v>2365</v>
      </c>
      <c r="E154" s="32"/>
      <c r="F154" s="32"/>
      <c r="G154" s="32"/>
      <c r="H154" s="33">
        <v>35.82</v>
      </c>
      <c r="I154" s="33">
        <v>52.92</v>
      </c>
      <c r="J154" s="33">
        <v>64.38</v>
      </c>
      <c r="K154" s="33">
        <v>53.25</v>
      </c>
      <c r="L154" s="33">
        <v>29.63</v>
      </c>
      <c r="M154" s="33">
        <v>26.85</v>
      </c>
      <c r="N154" s="33">
        <v>26.85</v>
      </c>
      <c r="O154" s="33">
        <v>31.76</v>
      </c>
      <c r="P154" s="33">
        <v>31.95</v>
      </c>
      <c r="Q154" s="33">
        <v>71.2</v>
      </c>
      <c r="R154" s="33">
        <v>112.93</v>
      </c>
      <c r="S154" s="33">
        <v>74.72</v>
      </c>
      <c r="T154" s="33">
        <v>35.14</v>
      </c>
      <c r="U154" s="33">
        <v>67.93</v>
      </c>
      <c r="V154" s="33">
        <v>69.36</v>
      </c>
      <c r="W154" s="33">
        <v>82.09</v>
      </c>
      <c r="X154" s="33">
        <v>34.76</v>
      </c>
      <c r="Y154" s="33">
        <v>135.54</v>
      </c>
      <c r="Z154" s="33">
        <v>131.5</v>
      </c>
      <c r="AA154" s="33">
        <v>177.03</v>
      </c>
      <c r="AB154" s="33">
        <v>170.19</v>
      </c>
      <c r="AC154" s="33">
        <v>141.26</v>
      </c>
      <c r="AD154" s="33">
        <v>123.17</v>
      </c>
      <c r="AE154" s="33">
        <v>92.72</v>
      </c>
      <c r="AF154" s="33">
        <v>85.88</v>
      </c>
      <c r="AG154" s="33">
        <v>83.5</v>
      </c>
      <c r="AH154" s="33">
        <v>102.56</v>
      </c>
      <c r="AI154" s="32"/>
      <c r="AJ154" s="34">
        <f>SUM(E154:AI154)</f>
      </c>
      <c r="AK154" s="35"/>
    </row>
    <row r="155" ht="12.75" customHeight="1" spans="2:37" x14ac:dyDescent="0.25">
      <c r="B155" s="30" t="s">
        <v>42</v>
      </c>
      <c r="C155" s="31" t="s">
        <v>3</v>
      </c>
      <c r="D155" s="32" t="s">
        <v>2366</v>
      </c>
      <c r="E155" s="32"/>
      <c r="F155" s="32"/>
      <c r="G155" s="32"/>
      <c r="H155" s="33">
        <v>70.2</v>
      </c>
      <c r="I155" s="33">
        <v>69</v>
      </c>
      <c r="J155" s="33">
        <v>75.59</v>
      </c>
      <c r="K155" s="33">
        <v>83.52</v>
      </c>
      <c r="L155" s="33">
        <v>78.31</v>
      </c>
      <c r="M155" s="33">
        <v>31.41</v>
      </c>
      <c r="N155" s="33">
        <v>26.85</v>
      </c>
      <c r="O155" s="33">
        <v>26.85</v>
      </c>
      <c r="P155" s="33">
        <v>26.85</v>
      </c>
      <c r="Q155" s="33">
        <v>26.85</v>
      </c>
      <c r="R155" s="33">
        <v>26.85</v>
      </c>
      <c r="S155" s="33">
        <v>31.64</v>
      </c>
      <c r="T155" s="33">
        <v>38.58</v>
      </c>
      <c r="U155" s="33">
        <v>43.59</v>
      </c>
      <c r="V155" s="33">
        <v>52.06</v>
      </c>
      <c r="W155" s="33">
        <v>67.27</v>
      </c>
      <c r="X155" s="33">
        <v>79.49</v>
      </c>
      <c r="Y155" s="33">
        <v>99.65</v>
      </c>
      <c r="Z155" s="33">
        <v>95.64</v>
      </c>
      <c r="AA155" s="33">
        <v>134.36</v>
      </c>
      <c r="AB155" s="33">
        <v>50.11</v>
      </c>
      <c r="AC155" s="33">
        <v>71.91</v>
      </c>
      <c r="AD155" s="33">
        <v>105.72</v>
      </c>
      <c r="AE155" s="33">
        <v>81.25</v>
      </c>
      <c r="AF155" s="33">
        <v>75.09</v>
      </c>
      <c r="AG155" s="33">
        <v>66.14</v>
      </c>
      <c r="AH155" s="33">
        <v>61.39</v>
      </c>
      <c r="AI155" s="32"/>
      <c r="AJ155" s="34">
        <f>SUM(E155:AI155)</f>
      </c>
      <c r="AK155" s="35"/>
    </row>
    <row r="156" ht="12.75" customHeight="1" spans="2:37" x14ac:dyDescent="0.25">
      <c r="B156" s="30" t="s">
        <v>42</v>
      </c>
      <c r="C156" s="31" t="s">
        <v>3</v>
      </c>
      <c r="D156" s="32" t="s">
        <v>2367</v>
      </c>
      <c r="E156" s="32"/>
      <c r="F156" s="32"/>
      <c r="G156" s="32"/>
      <c r="H156" s="33">
        <v>44.93</v>
      </c>
      <c r="I156" s="33">
        <v>46.86</v>
      </c>
      <c r="J156" s="33">
        <v>91.27</v>
      </c>
      <c r="K156" s="33">
        <v>90.75</v>
      </c>
      <c r="L156" s="33">
        <v>85.08</v>
      </c>
      <c r="M156" s="33">
        <v>138.53</v>
      </c>
      <c r="N156" s="33">
        <v>38</v>
      </c>
      <c r="O156" s="33">
        <v>26.85</v>
      </c>
      <c r="P156" s="33">
        <v>26.85</v>
      </c>
      <c r="Q156" s="33">
        <v>26.85</v>
      </c>
      <c r="R156" s="33">
        <v>26.85</v>
      </c>
      <c r="S156" s="33">
        <v>84.84</v>
      </c>
      <c r="T156" s="33">
        <v>78.99</v>
      </c>
      <c r="U156" s="33">
        <v>112.91</v>
      </c>
      <c r="V156" s="33">
        <v>101.85</v>
      </c>
      <c r="W156" s="33">
        <v>112.27</v>
      </c>
      <c r="X156" s="33">
        <v>108.24</v>
      </c>
      <c r="Y156" s="33">
        <v>26.85</v>
      </c>
      <c r="Z156" s="33">
        <v>26.85</v>
      </c>
      <c r="AA156" s="33">
        <v>26.85</v>
      </c>
      <c r="AB156" s="33">
        <v>26.85</v>
      </c>
      <c r="AC156" s="33">
        <v>26.87</v>
      </c>
      <c r="AD156" s="33">
        <v>26.87</v>
      </c>
      <c r="AE156" s="33">
        <v>103.13</v>
      </c>
      <c r="AF156" s="33">
        <v>63.09</v>
      </c>
      <c r="AG156" s="33">
        <v>43.41</v>
      </c>
      <c r="AH156" s="33">
        <v>83.22</v>
      </c>
      <c r="AI156" s="32"/>
      <c r="AJ156" s="34">
        <f>SUM(E156:AI156)</f>
      </c>
      <c r="AK156" s="35"/>
    </row>
    <row r="157" ht="12.75" customHeight="1" spans="2:37" x14ac:dyDescent="0.25">
      <c r="B157" s="30" t="s">
        <v>42</v>
      </c>
      <c r="C157" s="31" t="s">
        <v>3</v>
      </c>
      <c r="D157" s="32" t="s">
        <v>2368</v>
      </c>
      <c r="E157" s="32"/>
      <c r="F157" s="32"/>
      <c r="G157" s="32"/>
      <c r="H157" s="33">
        <v>73.87</v>
      </c>
      <c r="I157" s="33">
        <v>106.54</v>
      </c>
      <c r="J157" s="33">
        <v>131.41</v>
      </c>
      <c r="K157" s="33">
        <v>109.18</v>
      </c>
      <c r="L157" s="33">
        <v>112.35</v>
      </c>
      <c r="M157" s="33">
        <v>179.24</v>
      </c>
      <c r="N157" s="33">
        <v>145.42</v>
      </c>
      <c r="O157" s="33">
        <v>161.19</v>
      </c>
      <c r="P157" s="33">
        <v>55.35</v>
      </c>
      <c r="Q157" s="33">
        <v>26.85</v>
      </c>
      <c r="R157" s="33">
        <v>32.23</v>
      </c>
      <c r="S157" s="33">
        <v>110.24</v>
      </c>
      <c r="T157" s="33">
        <v>36.68</v>
      </c>
      <c r="U157" s="33">
        <v>71.18</v>
      </c>
      <c r="V157" s="33">
        <v>103.42</v>
      </c>
      <c r="W157" s="33">
        <v>109</v>
      </c>
      <c r="X157" s="33">
        <v>123.83</v>
      </c>
      <c r="Y157" s="33">
        <v>48.67</v>
      </c>
      <c r="Z157" s="33">
        <v>43.59</v>
      </c>
      <c r="AA157" s="33">
        <v>57.66</v>
      </c>
      <c r="AB157" s="33">
        <v>52.71</v>
      </c>
      <c r="AC157" s="33">
        <v>41.45</v>
      </c>
      <c r="AD157" s="33">
        <v>43.01</v>
      </c>
      <c r="AE157" s="33">
        <v>87.62</v>
      </c>
      <c r="AF157" s="33">
        <v>59.66</v>
      </c>
      <c r="AG157" s="33">
        <v>97.5</v>
      </c>
      <c r="AH157" s="33">
        <v>80.6</v>
      </c>
      <c r="AI157" s="32"/>
      <c r="AJ157" s="34">
        <f>SUM(E157:AI157)</f>
      </c>
      <c r="AK157" s="35"/>
    </row>
    <row r="158" ht="12.75" customHeight="1" spans="2:37" x14ac:dyDescent="0.25">
      <c r="B158" s="30" t="s">
        <v>42</v>
      </c>
      <c r="C158" s="31" t="s">
        <v>3</v>
      </c>
      <c r="D158" s="32" t="s">
        <v>2369</v>
      </c>
      <c r="E158" s="32"/>
      <c r="F158" s="32"/>
      <c r="G158" s="32"/>
      <c r="H158" s="33">
        <v>79.92</v>
      </c>
      <c r="I158" s="33">
        <v>91.27</v>
      </c>
      <c r="J158" s="33">
        <v>97.31</v>
      </c>
      <c r="K158" s="33">
        <v>94.48</v>
      </c>
      <c r="L158" s="33">
        <v>108.14</v>
      </c>
      <c r="M158" s="33">
        <v>92.31</v>
      </c>
      <c r="N158" s="33">
        <v>78.79</v>
      </c>
      <c r="O158" s="33">
        <v>55.37</v>
      </c>
      <c r="P158" s="33">
        <v>33.91</v>
      </c>
      <c r="Q158" s="33">
        <v>33.39</v>
      </c>
      <c r="R158" s="33">
        <v>29.6</v>
      </c>
      <c r="S158" s="33">
        <v>84.25</v>
      </c>
      <c r="T158" s="33">
        <v>63.78</v>
      </c>
      <c r="U158" s="33">
        <v>90.29</v>
      </c>
      <c r="V158" s="33">
        <v>95.46</v>
      </c>
      <c r="W158" s="33">
        <v>108.24</v>
      </c>
      <c r="X158" s="33">
        <v>95.35</v>
      </c>
      <c r="Y158" s="33">
        <v>33.96</v>
      </c>
      <c r="Z158" s="33">
        <v>31.8</v>
      </c>
      <c r="AA158" s="33">
        <v>35.56</v>
      </c>
      <c r="AB158" s="33">
        <v>34.69</v>
      </c>
      <c r="AC158" s="33">
        <v>31.59</v>
      </c>
      <c r="AD158" s="33">
        <v>29.65</v>
      </c>
      <c r="AE158" s="33">
        <v>70.2</v>
      </c>
      <c r="AF158" s="33">
        <v>95.12</v>
      </c>
      <c r="AG158" s="33">
        <v>130.43</v>
      </c>
      <c r="AH158" s="33">
        <v>97.04</v>
      </c>
      <c r="AI158" s="32"/>
      <c r="AJ158" s="34">
        <f>SUM(E158:AI158)</f>
      </c>
      <c r="AK158" s="35"/>
    </row>
    <row r="159" ht="12.75" customHeight="1" spans="2:37" x14ac:dyDescent="0.25">
      <c r="B159" s="30" t="s">
        <v>42</v>
      </c>
      <c r="C159" s="31" t="s">
        <v>3</v>
      </c>
      <c r="D159" s="32" t="s">
        <v>2370</v>
      </c>
      <c r="E159" s="32"/>
      <c r="F159" s="32"/>
      <c r="G159" s="32"/>
      <c r="H159" s="33">
        <v>135.06</v>
      </c>
      <c r="I159" s="33">
        <v>113.9</v>
      </c>
      <c r="J159" s="33">
        <v>108.36</v>
      </c>
      <c r="K159" s="33">
        <v>99.7</v>
      </c>
      <c r="L159" s="33">
        <v>132.72</v>
      </c>
      <c r="M159" s="33">
        <v>107.69</v>
      </c>
      <c r="N159" s="33">
        <v>26.85</v>
      </c>
      <c r="O159" s="33">
        <v>26.85</v>
      </c>
      <c r="P159" s="33">
        <v>26.85</v>
      </c>
      <c r="Q159" s="33">
        <v>26.85</v>
      </c>
      <c r="R159" s="33">
        <v>26.85</v>
      </c>
      <c r="S159" s="33">
        <v>26.85</v>
      </c>
      <c r="T159" s="33">
        <v>124.99</v>
      </c>
      <c r="U159" s="33">
        <v>137.88</v>
      </c>
      <c r="V159" s="33">
        <v>110.31</v>
      </c>
      <c r="W159" s="33">
        <v>131.11</v>
      </c>
      <c r="X159" s="33">
        <v>105.76</v>
      </c>
      <c r="Y159" s="33">
        <v>26.85</v>
      </c>
      <c r="Z159" s="33">
        <v>26.85</v>
      </c>
      <c r="AA159" s="33">
        <v>26.85</v>
      </c>
      <c r="AB159" s="33">
        <v>26.85</v>
      </c>
      <c r="AC159" s="33">
        <v>26.87</v>
      </c>
      <c r="AD159" s="33">
        <v>26.87</v>
      </c>
      <c r="AE159" s="33">
        <v>26.87</v>
      </c>
      <c r="AF159" s="33">
        <v>32.67</v>
      </c>
      <c r="AG159" s="33">
        <v>37.96</v>
      </c>
      <c r="AH159" s="33">
        <v>44.43</v>
      </c>
      <c r="AI159" s="32"/>
      <c r="AJ159" s="34">
        <f>SUM(E159:AI159)</f>
      </c>
      <c r="AK159" s="35"/>
    </row>
    <row r="160" ht="12.75" customHeight="1" spans="2:37" x14ac:dyDescent="0.25">
      <c r="B160" s="30" t="s">
        <v>42</v>
      </c>
      <c r="C160" s="31" t="s">
        <v>3</v>
      </c>
      <c r="D160" s="32" t="s">
        <v>2371</v>
      </c>
      <c r="E160" s="32"/>
      <c r="F160" s="32"/>
      <c r="G160" s="32"/>
      <c r="H160" s="33">
        <v>83.09</v>
      </c>
      <c r="I160" s="33">
        <v>90.62</v>
      </c>
      <c r="J160" s="33">
        <v>99.83</v>
      </c>
      <c r="K160" s="33">
        <v>96.22</v>
      </c>
      <c r="L160" s="33">
        <v>55.6</v>
      </c>
      <c r="M160" s="33">
        <v>40.11</v>
      </c>
      <c r="N160" s="33">
        <v>35.11</v>
      </c>
      <c r="O160" s="33">
        <v>39.54</v>
      </c>
      <c r="P160" s="33">
        <v>40.44</v>
      </c>
      <c r="Q160" s="33">
        <v>40.91</v>
      </c>
      <c r="R160" s="33">
        <v>27.61</v>
      </c>
      <c r="S160" s="33">
        <v>82.5</v>
      </c>
      <c r="T160" s="33">
        <v>38.24</v>
      </c>
      <c r="U160" s="33">
        <v>53.49</v>
      </c>
      <c r="V160" s="33">
        <v>44.79</v>
      </c>
      <c r="W160" s="33">
        <v>115</v>
      </c>
      <c r="X160" s="33">
        <v>142.78</v>
      </c>
      <c r="Y160" s="33">
        <v>30.2</v>
      </c>
      <c r="Z160" s="33">
        <v>30.48</v>
      </c>
      <c r="AA160" s="33">
        <v>26.85</v>
      </c>
      <c r="AB160" s="33">
        <v>34.81</v>
      </c>
      <c r="AC160" s="33">
        <v>82.96</v>
      </c>
      <c r="AD160" s="33">
        <v>26.87</v>
      </c>
      <c r="AE160" s="33">
        <v>26.87</v>
      </c>
      <c r="AF160" s="33">
        <v>38.81</v>
      </c>
      <c r="AG160" s="33">
        <v>38.66</v>
      </c>
      <c r="AH160" s="33">
        <v>87.44</v>
      </c>
      <c r="AI160" s="32"/>
      <c r="AJ160" s="34">
        <f>SUM(E160:AI160)</f>
      </c>
      <c r="AK160" s="35"/>
    </row>
    <row r="161" ht="12.75" customHeight="1" spans="2:37" x14ac:dyDescent="0.25">
      <c r="B161" s="30" t="s">
        <v>42</v>
      </c>
      <c r="C161" s="31" t="s">
        <v>3</v>
      </c>
      <c r="D161" s="32" t="s">
        <v>2372</v>
      </c>
      <c r="E161" s="32"/>
      <c r="F161" s="32"/>
      <c r="G161" s="32"/>
      <c r="H161" s="33">
        <v>49.67</v>
      </c>
      <c r="I161" s="33">
        <v>71.89</v>
      </c>
      <c r="J161" s="33">
        <v>79.53</v>
      </c>
      <c r="K161" s="33">
        <v>67.32</v>
      </c>
      <c r="L161" s="33">
        <v>55.95</v>
      </c>
      <c r="M161" s="33">
        <v>26.85</v>
      </c>
      <c r="N161" s="33">
        <v>26.85</v>
      </c>
      <c r="O161" s="33">
        <v>26.85</v>
      </c>
      <c r="P161" s="33">
        <v>26.85</v>
      </c>
      <c r="Q161" s="33">
        <v>26.85</v>
      </c>
      <c r="R161" s="33">
        <v>26.85</v>
      </c>
      <c r="S161" s="33">
        <v>26.85</v>
      </c>
      <c r="T161" s="33">
        <v>26.85</v>
      </c>
      <c r="U161" s="33">
        <v>62.71</v>
      </c>
      <c r="V161" s="33">
        <v>70.26</v>
      </c>
      <c r="W161" s="33">
        <v>80.01</v>
      </c>
      <c r="X161" s="33">
        <v>69.87</v>
      </c>
      <c r="Y161" s="33">
        <v>26.85</v>
      </c>
      <c r="Z161" s="33">
        <v>26.85</v>
      </c>
      <c r="AA161" s="33">
        <v>26.85</v>
      </c>
      <c r="AB161" s="33">
        <v>26.85</v>
      </c>
      <c r="AC161" s="33">
        <v>26.87</v>
      </c>
      <c r="AD161" s="33">
        <v>26.87</v>
      </c>
      <c r="AE161" s="33">
        <v>26.87</v>
      </c>
      <c r="AF161" s="33">
        <v>32.25</v>
      </c>
      <c r="AG161" s="33">
        <v>32.25</v>
      </c>
      <c r="AH161" s="33">
        <v>43.41</v>
      </c>
      <c r="AI161" s="32"/>
      <c r="AJ161" s="34">
        <f>SUM(E161:AI161)</f>
      </c>
      <c r="AK161" s="35"/>
    </row>
    <row r="162" ht="12.75" customHeight="1" spans="2:37" x14ac:dyDescent="0.25">
      <c r="B162" s="30" t="s">
        <v>42</v>
      </c>
      <c r="C162" s="31" t="s">
        <v>3</v>
      </c>
      <c r="D162" s="32" t="s">
        <v>2373</v>
      </c>
      <c r="E162" s="32"/>
      <c r="F162" s="32"/>
      <c r="G162" s="32"/>
      <c r="H162" s="33">
        <v>97.67</v>
      </c>
      <c r="I162" s="33">
        <v>107.59</v>
      </c>
      <c r="J162" s="33">
        <v>115.35</v>
      </c>
      <c r="K162" s="33">
        <v>138.48</v>
      </c>
      <c r="L162" s="33">
        <v>111.17</v>
      </c>
      <c r="M162" s="33">
        <v>26.85</v>
      </c>
      <c r="N162" s="33">
        <v>30.55</v>
      </c>
      <c r="O162" s="33">
        <v>26.85</v>
      </c>
      <c r="P162" s="33">
        <v>26.85</v>
      </c>
      <c r="Q162" s="33">
        <v>26.85</v>
      </c>
      <c r="R162" s="33">
        <v>27.72</v>
      </c>
      <c r="S162" s="33">
        <v>30.5</v>
      </c>
      <c r="T162" s="33">
        <v>83.93</v>
      </c>
      <c r="U162" s="33">
        <v>142.32</v>
      </c>
      <c r="V162" s="33">
        <v>179</v>
      </c>
      <c r="W162" s="33">
        <v>162.77</v>
      </c>
      <c r="X162" s="33">
        <v>35.24</v>
      </c>
      <c r="Y162" s="33">
        <v>26.85</v>
      </c>
      <c r="Z162" s="33">
        <v>26.85</v>
      </c>
      <c r="AA162" s="33">
        <v>26.85</v>
      </c>
      <c r="AB162" s="33">
        <v>26.85</v>
      </c>
      <c r="AC162" s="33">
        <v>26.87</v>
      </c>
      <c r="AD162" s="33">
        <v>26.87</v>
      </c>
      <c r="AE162" s="33">
        <v>121.36</v>
      </c>
      <c r="AF162" s="33">
        <v>106.32</v>
      </c>
      <c r="AG162" s="33">
        <v>133.19</v>
      </c>
      <c r="AH162" s="33">
        <v>81.66</v>
      </c>
      <c r="AI162" s="32"/>
      <c r="AJ162" s="34">
        <f>SUM(E162:AI162)</f>
      </c>
      <c r="AK162" s="35"/>
    </row>
    <row r="163" ht="12.75" customHeight="1" spans="2:37" x14ac:dyDescent="0.25">
      <c r="B163" s="30" t="s">
        <v>42</v>
      </c>
      <c r="C163" s="31" t="s">
        <v>3</v>
      </c>
      <c r="D163" s="32" t="s">
        <v>2374</v>
      </c>
      <c r="E163" s="32"/>
      <c r="F163" s="32"/>
      <c r="G163" s="32"/>
      <c r="H163" s="33">
        <v>91.65</v>
      </c>
      <c r="I163" s="33">
        <v>86.37</v>
      </c>
      <c r="J163" s="33">
        <v>88.75</v>
      </c>
      <c r="K163" s="33">
        <v>40.04</v>
      </c>
      <c r="L163" s="33">
        <v>32.14</v>
      </c>
      <c r="M163" s="33">
        <v>26.85</v>
      </c>
      <c r="N163" s="33">
        <v>26.85</v>
      </c>
      <c r="O163" s="33">
        <v>26.85</v>
      </c>
      <c r="P163" s="33">
        <v>26.85</v>
      </c>
      <c r="Q163" s="33">
        <v>26.85</v>
      </c>
      <c r="R163" s="33">
        <v>26.85</v>
      </c>
      <c r="S163" s="33">
        <v>26.85</v>
      </c>
      <c r="T163" s="33">
        <v>26.85</v>
      </c>
      <c r="U163" s="33">
        <v>51.42</v>
      </c>
      <c r="V163" s="33">
        <v>103.69</v>
      </c>
      <c r="W163" s="33">
        <v>34.34</v>
      </c>
      <c r="X163" s="33">
        <v>26.85</v>
      </c>
      <c r="Y163" s="33">
        <v>26.85</v>
      </c>
      <c r="Z163" s="33">
        <v>26.85</v>
      </c>
      <c r="AA163" s="33">
        <v>26.85</v>
      </c>
      <c r="AB163" s="33">
        <v>26.85</v>
      </c>
      <c r="AC163" s="33">
        <v>26.87</v>
      </c>
      <c r="AD163" s="33">
        <v>26.87</v>
      </c>
      <c r="AE163" s="33">
        <v>27.29</v>
      </c>
      <c r="AF163" s="33">
        <v>33.38</v>
      </c>
      <c r="AG163" s="33">
        <v>39.86</v>
      </c>
      <c r="AH163" s="33">
        <v>107.17</v>
      </c>
      <c r="AI163" s="32"/>
      <c r="AJ163" s="34">
        <f>SUM(E163:AI163)</f>
      </c>
      <c r="AK163" s="35"/>
    </row>
    <row r="164" ht="12.75" customHeight="1" spans="2:37" x14ac:dyDescent="0.25">
      <c r="B164" s="30" t="s">
        <v>42</v>
      </c>
      <c r="C164" s="31" t="s">
        <v>3</v>
      </c>
      <c r="D164" s="32" t="s">
        <v>2375</v>
      </c>
      <c r="E164" s="32"/>
      <c r="F164" s="32"/>
      <c r="G164" s="32"/>
      <c r="H164" s="33">
        <v>74.52</v>
      </c>
      <c r="I164" s="33">
        <v>93.77</v>
      </c>
      <c r="J164" s="33">
        <v>99.03</v>
      </c>
      <c r="K164" s="33">
        <v>113.53</v>
      </c>
      <c r="L164" s="33">
        <v>96.94</v>
      </c>
      <c r="M164" s="33">
        <v>26.85</v>
      </c>
      <c r="N164" s="33">
        <v>26.85</v>
      </c>
      <c r="O164" s="33">
        <v>26.85</v>
      </c>
      <c r="P164" s="33">
        <v>26.85</v>
      </c>
      <c r="Q164" s="33">
        <v>26.85</v>
      </c>
      <c r="R164" s="33">
        <v>27.53</v>
      </c>
      <c r="S164" s="33">
        <v>113.75</v>
      </c>
      <c r="T164" s="33">
        <v>76.66</v>
      </c>
      <c r="U164" s="33">
        <v>92.63</v>
      </c>
      <c r="V164" s="33">
        <v>91.99</v>
      </c>
      <c r="W164" s="33">
        <v>117.46</v>
      </c>
      <c r="X164" s="33">
        <v>118.09</v>
      </c>
      <c r="Y164" s="33">
        <v>26.85</v>
      </c>
      <c r="Z164" s="33">
        <v>26.85</v>
      </c>
      <c r="AA164" s="33">
        <v>26.85</v>
      </c>
      <c r="AB164" s="33">
        <v>26.85</v>
      </c>
      <c r="AC164" s="33">
        <v>26.87</v>
      </c>
      <c r="AD164" s="33">
        <v>29.23</v>
      </c>
      <c r="AE164" s="33">
        <v>114.6</v>
      </c>
      <c r="AF164" s="33">
        <v>81.82</v>
      </c>
      <c r="AG164" s="33">
        <v>104.6</v>
      </c>
      <c r="AH164" s="33">
        <v>109</v>
      </c>
      <c r="AI164" s="32"/>
      <c r="AJ164" s="34">
        <f>SUM(E164:AI164)</f>
      </c>
      <c r="AK164" s="35"/>
    </row>
    <row r="165" ht="12.75" customHeight="1" spans="2:37" x14ac:dyDescent="0.25">
      <c r="B165" s="30" t="s">
        <v>42</v>
      </c>
      <c r="C165" s="31" t="s">
        <v>3</v>
      </c>
      <c r="D165" s="32" t="s">
        <v>2376</v>
      </c>
      <c r="E165" s="32"/>
      <c r="F165" s="32"/>
      <c r="G165" s="32"/>
      <c r="H165" s="33">
        <v>85.57</v>
      </c>
      <c r="I165" s="33">
        <v>91</v>
      </c>
      <c r="J165" s="33">
        <v>106.95</v>
      </c>
      <c r="K165" s="33">
        <v>120.25</v>
      </c>
      <c r="L165" s="33">
        <v>113.75</v>
      </c>
      <c r="M165" s="33">
        <v>132.58</v>
      </c>
      <c r="N165" s="33">
        <v>92.54</v>
      </c>
      <c r="O165" s="33">
        <v>99.13</v>
      </c>
      <c r="P165" s="33">
        <v>99.64</v>
      </c>
      <c r="Q165" s="33">
        <v>92.41</v>
      </c>
      <c r="R165" s="33">
        <v>32.5</v>
      </c>
      <c r="S165" s="33">
        <v>26.85</v>
      </c>
      <c r="T165" s="33">
        <v>26.85</v>
      </c>
      <c r="U165" s="33">
        <v>66.5</v>
      </c>
      <c r="V165" s="33">
        <v>103.42</v>
      </c>
      <c r="W165" s="33">
        <v>112.13</v>
      </c>
      <c r="X165" s="33">
        <v>114.09</v>
      </c>
      <c r="Y165" s="33">
        <v>26.85</v>
      </c>
      <c r="Z165" s="33">
        <v>26.85</v>
      </c>
      <c r="AA165" s="33">
        <v>26.85</v>
      </c>
      <c r="AB165" s="33">
        <v>26.85</v>
      </c>
      <c r="AC165" s="33">
        <v>26.87</v>
      </c>
      <c r="AD165" s="33">
        <v>26.87</v>
      </c>
      <c r="AE165" s="33">
        <v>26.87</v>
      </c>
      <c r="AF165" s="33">
        <v>33.15</v>
      </c>
      <c r="AG165" s="33">
        <v>89.06</v>
      </c>
      <c r="AH165" s="33">
        <v>97.83</v>
      </c>
      <c r="AI165" s="32"/>
      <c r="AJ165" s="34">
        <f>SUM(E165:AI165)</f>
      </c>
      <c r="AK165" s="35"/>
    </row>
    <row r="166" ht="12.75" customHeight="1" spans="2:37" x14ac:dyDescent="0.25">
      <c r="B166" s="30" t="s">
        <v>42</v>
      </c>
      <c r="C166" s="31" t="s">
        <v>3</v>
      </c>
      <c r="D166" s="32" t="s">
        <v>2377</v>
      </c>
      <c r="E166" s="32"/>
      <c r="F166" s="32"/>
      <c r="G166" s="32"/>
      <c r="H166" s="33">
        <v>54.39</v>
      </c>
      <c r="I166" s="33">
        <v>45.68</v>
      </c>
      <c r="J166" s="33">
        <v>52.92</v>
      </c>
      <c r="K166" s="33">
        <v>31.81</v>
      </c>
      <c r="L166" s="33">
        <v>32.89</v>
      </c>
      <c r="M166" s="33">
        <v>27.4</v>
      </c>
      <c r="N166" s="33">
        <v>26.85</v>
      </c>
      <c r="O166" s="33">
        <v>26.85</v>
      </c>
      <c r="P166" s="33">
        <v>26.85</v>
      </c>
      <c r="Q166" s="33">
        <v>92.66</v>
      </c>
      <c r="R166" s="33">
        <v>162.15</v>
      </c>
      <c r="S166" s="33">
        <v>147.92</v>
      </c>
      <c r="T166" s="33">
        <v>118.24</v>
      </c>
      <c r="U166" s="33">
        <v>129.05</v>
      </c>
      <c r="V166" s="33">
        <v>152.02</v>
      </c>
      <c r="W166" s="33">
        <v>174.28</v>
      </c>
      <c r="X166" s="33">
        <v>244.17</v>
      </c>
      <c r="Y166" s="33">
        <v>337.39</v>
      </c>
      <c r="Z166" s="33">
        <v>26.85</v>
      </c>
      <c r="AA166" s="33">
        <v>26.85</v>
      </c>
      <c r="AB166" s="33">
        <v>26.85</v>
      </c>
      <c r="AC166" s="33">
        <v>26.87</v>
      </c>
      <c r="AD166" s="33">
        <v>26.87</v>
      </c>
      <c r="AE166" s="33">
        <v>26.87</v>
      </c>
      <c r="AF166" s="33">
        <v>36.54</v>
      </c>
      <c r="AG166" s="33">
        <v>109.6</v>
      </c>
      <c r="AH166" s="33">
        <v>95.98</v>
      </c>
      <c r="AI166" s="32"/>
      <c r="AJ166" s="34">
        <f>SUM(E166:AI166)</f>
      </c>
      <c r="AK166" s="35"/>
    </row>
    <row r="167" ht="12.75" customHeight="1" spans="2:37" x14ac:dyDescent="0.25">
      <c r="B167" s="30" t="s">
        <v>42</v>
      </c>
      <c r="C167" s="31" t="s">
        <v>3</v>
      </c>
      <c r="D167" s="32" t="s">
        <v>2378</v>
      </c>
      <c r="E167" s="32"/>
      <c r="F167" s="32"/>
      <c r="G167" s="32"/>
      <c r="H167" s="33">
        <v>106.12</v>
      </c>
      <c r="I167" s="33">
        <v>100.47</v>
      </c>
      <c r="J167" s="33">
        <v>117.85</v>
      </c>
      <c r="K167" s="33">
        <v>134.59</v>
      </c>
      <c r="L167" s="33">
        <v>146.65</v>
      </c>
      <c r="M167" s="33">
        <v>145.83</v>
      </c>
      <c r="N167" s="33">
        <v>27.64</v>
      </c>
      <c r="O167" s="33">
        <v>27.67</v>
      </c>
      <c r="P167" s="33">
        <v>27.77</v>
      </c>
      <c r="Q167" s="33">
        <v>27.61</v>
      </c>
      <c r="R167" s="33">
        <v>27.7</v>
      </c>
      <c r="S167" s="33">
        <v>132.86</v>
      </c>
      <c r="T167" s="33">
        <v>136.3</v>
      </c>
      <c r="U167" s="33">
        <v>152.48</v>
      </c>
      <c r="V167" s="33">
        <v>111.47</v>
      </c>
      <c r="W167" s="33">
        <v>132.15</v>
      </c>
      <c r="X167" s="33">
        <v>160.81</v>
      </c>
      <c r="Y167" s="33">
        <v>206.43</v>
      </c>
      <c r="Z167" s="33">
        <v>174.28</v>
      </c>
      <c r="AA167" s="33">
        <v>228.26</v>
      </c>
      <c r="AB167" s="33">
        <v>209.17</v>
      </c>
      <c r="AC167" s="33">
        <v>181.75</v>
      </c>
      <c r="AD167" s="33">
        <v>144.11</v>
      </c>
      <c r="AE167" s="33">
        <v>31.17</v>
      </c>
      <c r="AF167" s="33">
        <v>35.79</v>
      </c>
      <c r="AG167" s="33">
        <v>64.67</v>
      </c>
      <c r="AH167" s="33">
        <v>106.63</v>
      </c>
      <c r="AI167" s="32"/>
      <c r="AJ167" s="34">
        <f>SUM(E167:AI167)</f>
      </c>
      <c r="AK167" s="35"/>
    </row>
    <row r="168" ht="12.75" customHeight="1" spans="2:37" x14ac:dyDescent="0.25">
      <c r="B168" s="30" t="s">
        <v>42</v>
      </c>
      <c r="C168" s="31" t="s">
        <v>3</v>
      </c>
      <c r="D168" s="32" t="s">
        <v>2379</v>
      </c>
      <c r="E168" s="32"/>
      <c r="F168" s="32"/>
      <c r="G168" s="32"/>
      <c r="H168" s="33">
        <v>62.56</v>
      </c>
      <c r="I168" s="33">
        <v>96.12</v>
      </c>
      <c r="J168" s="33">
        <v>86.66</v>
      </c>
      <c r="K168" s="33">
        <v>120.99</v>
      </c>
      <c r="L168" s="33">
        <v>62.33</v>
      </c>
      <c r="M168" s="33">
        <v>42.3</v>
      </c>
      <c r="N168" s="33">
        <v>26.85</v>
      </c>
      <c r="O168" s="33">
        <v>26.85</v>
      </c>
      <c r="P168" s="33">
        <v>26.85</v>
      </c>
      <c r="Q168" s="33">
        <v>26.85</v>
      </c>
      <c r="R168" s="33">
        <v>26.85</v>
      </c>
      <c r="S168" s="33">
        <v>38.45</v>
      </c>
      <c r="T168" s="33">
        <v>78.99</v>
      </c>
      <c r="U168" s="33">
        <v>90.81</v>
      </c>
      <c r="V168" s="33">
        <v>92.22</v>
      </c>
      <c r="W168" s="33">
        <v>102.9</v>
      </c>
      <c r="X168" s="33">
        <v>30.53</v>
      </c>
      <c r="Y168" s="33">
        <v>26.85</v>
      </c>
      <c r="Z168" s="33">
        <v>26.85</v>
      </c>
      <c r="AA168" s="33">
        <v>26.85</v>
      </c>
      <c r="AB168" s="33">
        <v>26.85</v>
      </c>
      <c r="AC168" s="33">
        <v>26.87</v>
      </c>
      <c r="AD168" s="33">
        <v>26.87</v>
      </c>
      <c r="AE168" s="33">
        <v>30.11</v>
      </c>
      <c r="AF168" s="33">
        <v>32.95</v>
      </c>
      <c r="AG168" s="33">
        <v>34.09</v>
      </c>
      <c r="AH168" s="33">
        <v>40.39</v>
      </c>
      <c r="AI168" s="32"/>
      <c r="AJ168" s="34">
        <f>SUM(E168:AI168)</f>
      </c>
      <c r="AK168" s="35"/>
    </row>
    <row r="169" ht="12.75" customHeight="1" spans="2:37" x14ac:dyDescent="0.25">
      <c r="B169" s="30" t="s">
        <v>42</v>
      </c>
      <c r="C169" s="31" t="s">
        <v>3</v>
      </c>
      <c r="D169" s="32" t="s">
        <v>2380</v>
      </c>
      <c r="E169" s="32"/>
      <c r="F169" s="32"/>
      <c r="G169" s="32"/>
      <c r="H169" s="33">
        <v>82.02</v>
      </c>
      <c r="I169" s="33">
        <v>74.01</v>
      </c>
      <c r="J169" s="33">
        <v>90.47</v>
      </c>
      <c r="K169" s="33">
        <v>94.09</v>
      </c>
      <c r="L169" s="33">
        <v>86.47</v>
      </c>
      <c r="M169" s="33">
        <v>45.93</v>
      </c>
      <c r="N169" s="33">
        <v>26.85</v>
      </c>
      <c r="O169" s="33">
        <v>26.85</v>
      </c>
      <c r="P169" s="33">
        <v>31.75</v>
      </c>
      <c r="Q169" s="33">
        <v>26.85</v>
      </c>
      <c r="R169" s="33">
        <v>28.99</v>
      </c>
      <c r="S169" s="33">
        <v>47.79</v>
      </c>
      <c r="T169" s="33">
        <v>46.51</v>
      </c>
      <c r="U169" s="33">
        <v>69.5</v>
      </c>
      <c r="V169" s="33">
        <v>75.71</v>
      </c>
      <c r="W169" s="33">
        <v>82.74</v>
      </c>
      <c r="X169" s="33">
        <v>85.2</v>
      </c>
      <c r="Y169" s="33">
        <v>26.85</v>
      </c>
      <c r="Z169" s="33">
        <v>34.6</v>
      </c>
      <c r="AA169" s="33">
        <v>27.96</v>
      </c>
      <c r="AB169" s="33">
        <v>120.32</v>
      </c>
      <c r="AC169" s="33">
        <v>249.12</v>
      </c>
      <c r="AD169" s="33">
        <v>28.25</v>
      </c>
      <c r="AE169" s="33">
        <v>80.61</v>
      </c>
      <c r="AF169" s="33">
        <v>78.25</v>
      </c>
      <c r="AG169" s="33">
        <v>82.46</v>
      </c>
      <c r="AH169" s="33">
        <v>85.99</v>
      </c>
      <c r="AI169" s="32"/>
      <c r="AJ169" s="34">
        <f>SUM(E169:AI169)</f>
      </c>
      <c r="AK169" s="35"/>
    </row>
    <row r="170" ht="12.75" customHeight="1" spans="2:37" x14ac:dyDescent="0.25">
      <c r="B170" s="30" t="s">
        <v>42</v>
      </c>
      <c r="C170" s="31" t="s">
        <v>3</v>
      </c>
      <c r="D170" s="32" t="s">
        <v>2381</v>
      </c>
      <c r="E170" s="32"/>
      <c r="F170" s="32"/>
      <c r="G170" s="32"/>
      <c r="H170" s="33">
        <v>47.29</v>
      </c>
      <c r="I170" s="33">
        <v>51.48</v>
      </c>
      <c r="J170" s="33">
        <v>69.79</v>
      </c>
      <c r="K170" s="33">
        <v>100.59</v>
      </c>
      <c r="L170" s="33">
        <v>45.58</v>
      </c>
      <c r="M170" s="33">
        <v>26.85</v>
      </c>
      <c r="N170" s="33">
        <v>26.85</v>
      </c>
      <c r="O170" s="33">
        <v>26.85</v>
      </c>
      <c r="P170" s="33">
        <v>26.85</v>
      </c>
      <c r="Q170" s="33">
        <v>26.85</v>
      </c>
      <c r="R170" s="33">
        <v>26.85</v>
      </c>
      <c r="S170" s="33">
        <v>26.85</v>
      </c>
      <c r="T170" s="33">
        <v>26.85</v>
      </c>
      <c r="U170" s="33">
        <v>28.06</v>
      </c>
      <c r="V170" s="33">
        <v>64.14</v>
      </c>
      <c r="W170" s="33">
        <v>68.44</v>
      </c>
      <c r="X170" s="33">
        <v>26.85</v>
      </c>
      <c r="Y170" s="33">
        <v>26.85</v>
      </c>
      <c r="Z170" s="33">
        <v>26.85</v>
      </c>
      <c r="AA170" s="33">
        <v>26.85</v>
      </c>
      <c r="AB170" s="33">
        <v>26.85</v>
      </c>
      <c r="AC170" s="33">
        <v>26.87</v>
      </c>
      <c r="AD170" s="33">
        <v>27.61</v>
      </c>
      <c r="AE170" s="33">
        <v>28.74</v>
      </c>
      <c r="AF170" s="33">
        <v>55.85</v>
      </c>
      <c r="AG170" s="33">
        <v>67.84</v>
      </c>
      <c r="AH170" s="33">
        <v>51.14</v>
      </c>
      <c r="AI170" s="32"/>
      <c r="AJ170" s="34">
        <f>SUM(E170:AI170)</f>
      </c>
      <c r="AK170" s="35"/>
    </row>
    <row r="171" ht="12.75" customHeight="1" spans="2:37" x14ac:dyDescent="0.25">
      <c r="B171" s="30" t="s">
        <v>42</v>
      </c>
      <c r="C171" s="31" t="s">
        <v>3</v>
      </c>
      <c r="D171" s="32" t="s">
        <v>2382</v>
      </c>
      <c r="E171" s="32"/>
      <c r="F171" s="32"/>
      <c r="G171" s="32"/>
      <c r="H171" s="33">
        <v>86.91</v>
      </c>
      <c r="I171" s="33">
        <v>87.84</v>
      </c>
      <c r="J171" s="33">
        <v>86.66</v>
      </c>
      <c r="K171" s="33">
        <v>89.88</v>
      </c>
      <c r="L171" s="33">
        <v>29.38</v>
      </c>
      <c r="M171" s="33">
        <v>33.03</v>
      </c>
      <c r="N171" s="33">
        <v>30.39</v>
      </c>
      <c r="O171" s="33">
        <v>31.08</v>
      </c>
      <c r="P171" s="33">
        <v>31.95</v>
      </c>
      <c r="Q171" s="33">
        <v>32.26</v>
      </c>
      <c r="R171" s="33">
        <v>33.03</v>
      </c>
      <c r="S171" s="33">
        <v>91.13</v>
      </c>
      <c r="T171" s="33">
        <v>87.83</v>
      </c>
      <c r="U171" s="33">
        <v>92.11</v>
      </c>
      <c r="V171" s="33">
        <v>67.66</v>
      </c>
      <c r="W171" s="33">
        <v>108.74</v>
      </c>
      <c r="X171" s="33">
        <v>35.87</v>
      </c>
      <c r="Y171" s="33">
        <v>26.85</v>
      </c>
      <c r="Z171" s="33">
        <v>29.2</v>
      </c>
      <c r="AA171" s="33">
        <v>95.35</v>
      </c>
      <c r="AB171" s="33">
        <v>26.85</v>
      </c>
      <c r="AC171" s="33">
        <v>26.87</v>
      </c>
      <c r="AD171" s="33">
        <v>31.24</v>
      </c>
      <c r="AE171" s="33">
        <v>101.58</v>
      </c>
      <c r="AF171" s="33">
        <v>74.7</v>
      </c>
      <c r="AG171" s="33">
        <v>111.84</v>
      </c>
      <c r="AH171" s="33">
        <v>99.81</v>
      </c>
      <c r="AI171" s="32"/>
      <c r="AJ171" s="34">
        <f>SUM(E171:AI171)</f>
      </c>
      <c r="AK171" s="35"/>
    </row>
    <row r="172" ht="12.75" customHeight="1" spans="2:37" x14ac:dyDescent="0.25">
      <c r="B172" s="30" t="s">
        <v>42</v>
      </c>
      <c r="C172" s="31" t="s">
        <v>3</v>
      </c>
      <c r="D172" s="32" t="s">
        <v>2383</v>
      </c>
      <c r="E172" s="32"/>
      <c r="F172" s="32"/>
      <c r="G172" s="32"/>
      <c r="H172" s="33">
        <v>46.11</v>
      </c>
      <c r="I172" s="33">
        <v>87.16</v>
      </c>
      <c r="J172" s="33">
        <v>141.56</v>
      </c>
      <c r="K172" s="33">
        <v>135.13</v>
      </c>
      <c r="L172" s="33">
        <v>39.04</v>
      </c>
      <c r="M172" s="33">
        <v>26.85</v>
      </c>
      <c r="N172" s="33">
        <v>26.85</v>
      </c>
      <c r="O172" s="33">
        <v>26.85</v>
      </c>
      <c r="P172" s="33">
        <v>26.85</v>
      </c>
      <c r="Q172" s="33">
        <v>26.85</v>
      </c>
      <c r="R172" s="33">
        <v>30.59</v>
      </c>
      <c r="S172" s="33">
        <v>203.12</v>
      </c>
      <c r="T172" s="33">
        <v>46.51</v>
      </c>
      <c r="U172" s="33">
        <v>122.93</v>
      </c>
      <c r="V172" s="33">
        <v>112.78</v>
      </c>
      <c r="W172" s="33">
        <v>120.05</v>
      </c>
      <c r="X172" s="33">
        <v>34.69</v>
      </c>
      <c r="Y172" s="33">
        <v>26.85</v>
      </c>
      <c r="Z172" s="33">
        <v>26.85</v>
      </c>
      <c r="AA172" s="33">
        <v>26.85</v>
      </c>
      <c r="AB172" s="33">
        <v>26.85</v>
      </c>
      <c r="AC172" s="33">
        <v>26.87</v>
      </c>
      <c r="AD172" s="33">
        <v>67.33</v>
      </c>
      <c r="AE172" s="33">
        <v>116.02</v>
      </c>
      <c r="AF172" s="33">
        <v>71.15</v>
      </c>
      <c r="AG172" s="33">
        <v>85.88</v>
      </c>
      <c r="AH172" s="33">
        <v>102.95</v>
      </c>
      <c r="AI172" s="32"/>
      <c r="AJ172" s="34">
        <f>SUM(E172:AI172)</f>
      </c>
      <c r="AK172" s="35"/>
    </row>
    <row r="173" ht="12.75" customHeight="1" spans="2:37" x14ac:dyDescent="0.25">
      <c r="B173" s="30" t="s">
        <v>42</v>
      </c>
      <c r="C173" s="31" t="s">
        <v>3</v>
      </c>
      <c r="D173" s="32" t="s">
        <v>2384</v>
      </c>
      <c r="E173" s="32"/>
      <c r="F173" s="32"/>
      <c r="G173" s="32"/>
      <c r="H173" s="33">
        <v>34.76</v>
      </c>
      <c r="I173" s="33">
        <v>65.05</v>
      </c>
      <c r="J173" s="33">
        <v>85.71</v>
      </c>
      <c r="K173" s="33">
        <v>62.08</v>
      </c>
      <c r="L173" s="33">
        <v>29.14</v>
      </c>
      <c r="M173" s="33">
        <v>26.85</v>
      </c>
      <c r="N173" s="33">
        <v>47.08</v>
      </c>
      <c r="O173" s="33">
        <v>31.43</v>
      </c>
      <c r="P173" s="33">
        <v>26.85</v>
      </c>
      <c r="Q173" s="33">
        <v>72.95</v>
      </c>
      <c r="R173" s="33">
        <v>34.63</v>
      </c>
      <c r="S173" s="33">
        <v>82.05</v>
      </c>
      <c r="T173" s="33">
        <v>63.78</v>
      </c>
      <c r="U173" s="33">
        <v>82.74</v>
      </c>
      <c r="V173" s="33">
        <v>87.03</v>
      </c>
      <c r="W173" s="33">
        <v>60.63</v>
      </c>
      <c r="X173" s="33">
        <v>26.85</v>
      </c>
      <c r="Y173" s="33">
        <v>26.85</v>
      </c>
      <c r="Z173" s="33">
        <v>26.85</v>
      </c>
      <c r="AA173" s="33">
        <v>26.85</v>
      </c>
      <c r="AB173" s="33">
        <v>26.85</v>
      </c>
      <c r="AC173" s="33">
        <v>26.87</v>
      </c>
      <c r="AD173" s="33">
        <v>26.87</v>
      </c>
      <c r="AE173" s="33">
        <v>28.83</v>
      </c>
      <c r="AF173" s="33">
        <v>40.22</v>
      </c>
      <c r="AG173" s="33">
        <v>128.72</v>
      </c>
      <c r="AH173" s="33">
        <v>134.13</v>
      </c>
      <c r="AI173" s="32"/>
      <c r="AJ173" s="34">
        <f>SUM(E173:AI173)</f>
      </c>
      <c r="AK173" s="35"/>
    </row>
    <row r="174" ht="12.75" customHeight="1" spans="2:37" x14ac:dyDescent="0.25">
      <c r="B174" s="30" t="s">
        <v>42</v>
      </c>
      <c r="C174" s="31" t="s">
        <v>3</v>
      </c>
      <c r="D174" s="32" t="s">
        <v>2385</v>
      </c>
      <c r="E174" s="32"/>
      <c r="F174" s="32"/>
      <c r="G174" s="32"/>
      <c r="H174" s="33">
        <v>26.85</v>
      </c>
      <c r="I174" s="33">
        <v>26.85</v>
      </c>
      <c r="J174" s="33">
        <v>26.85</v>
      </c>
      <c r="K174" s="33">
        <v>26.85</v>
      </c>
      <c r="L174" s="33">
        <v>26.85</v>
      </c>
      <c r="M174" s="33">
        <v>26.85</v>
      </c>
      <c r="N174" s="33">
        <v>26.85</v>
      </c>
      <c r="O174" s="33">
        <v>26.85</v>
      </c>
      <c r="P174" s="33">
        <v>26.85</v>
      </c>
      <c r="Q174" s="33">
        <v>26.85</v>
      </c>
      <c r="R174" s="33">
        <v>26.85</v>
      </c>
      <c r="S174" s="33">
        <v>26.85</v>
      </c>
      <c r="T174" s="33">
        <v>26.85</v>
      </c>
      <c r="U174" s="33">
        <v>26.85</v>
      </c>
      <c r="V174" s="33">
        <v>26.85</v>
      </c>
      <c r="W174" s="33">
        <v>26.85</v>
      </c>
      <c r="X174" s="33">
        <v>26.85</v>
      </c>
      <c r="Y174" s="33">
        <v>26.85</v>
      </c>
      <c r="Z174" s="33">
        <v>26.85</v>
      </c>
      <c r="AA174" s="33">
        <v>26.85</v>
      </c>
      <c r="AB174" s="33">
        <v>26.85</v>
      </c>
      <c r="AC174" s="33">
        <v>26.87</v>
      </c>
      <c r="AD174" s="33">
        <v>26.87</v>
      </c>
      <c r="AE174" s="33">
        <v>26.87</v>
      </c>
      <c r="AF174" s="33">
        <v>32.25</v>
      </c>
      <c r="AG174" s="33">
        <v>32.25</v>
      </c>
      <c r="AH174" s="33">
        <v>32.19</v>
      </c>
      <c r="AI174" s="32"/>
      <c r="AJ174" s="34">
        <f>SUM(E174:AI174)</f>
      </c>
      <c r="AK174" s="35"/>
    </row>
    <row r="175" ht="12.75" customHeight="1" spans="2:37" x14ac:dyDescent="0.25">
      <c r="B175" s="30" t="s">
        <v>42</v>
      </c>
      <c r="C175" s="31" t="s">
        <v>3</v>
      </c>
      <c r="D175" s="32" t="s">
        <v>2386</v>
      </c>
      <c r="E175" s="32"/>
      <c r="F175" s="32"/>
      <c r="G175" s="32"/>
      <c r="H175" s="33">
        <v>67.8</v>
      </c>
      <c r="I175" s="33">
        <v>59.38</v>
      </c>
      <c r="J175" s="33">
        <v>59.91</v>
      </c>
      <c r="K175" s="33">
        <v>60.84</v>
      </c>
      <c r="L175" s="33">
        <v>31.78</v>
      </c>
      <c r="M175" s="33">
        <v>26.85</v>
      </c>
      <c r="N175" s="33">
        <v>26.85</v>
      </c>
      <c r="O175" s="33">
        <v>26.85</v>
      </c>
      <c r="P175" s="33">
        <v>26.85</v>
      </c>
      <c r="Q175" s="33">
        <v>26.85</v>
      </c>
      <c r="R175" s="33">
        <v>27.77</v>
      </c>
      <c r="S175" s="33">
        <v>66.9</v>
      </c>
      <c r="T175" s="33">
        <v>51.33</v>
      </c>
      <c r="U175" s="33">
        <v>63.35</v>
      </c>
      <c r="V175" s="33">
        <v>54.54</v>
      </c>
      <c r="W175" s="33">
        <v>50.11</v>
      </c>
      <c r="X175" s="33">
        <v>32.37</v>
      </c>
      <c r="Y175" s="33">
        <v>26.85</v>
      </c>
      <c r="Z175" s="33">
        <v>26.85</v>
      </c>
      <c r="AA175" s="33">
        <v>26.85</v>
      </c>
      <c r="AB175" s="33">
        <v>26.85</v>
      </c>
      <c r="AC175" s="33">
        <v>26.87</v>
      </c>
      <c r="AD175" s="33">
        <v>29.25</v>
      </c>
      <c r="AE175" s="33">
        <v>55.26</v>
      </c>
      <c r="AF175" s="33">
        <v>59.28</v>
      </c>
      <c r="AG175" s="33">
        <v>66.65</v>
      </c>
      <c r="AH175" s="33">
        <v>56.4</v>
      </c>
      <c r="AI175" s="32"/>
      <c r="AJ175" s="34">
        <f>SUM(E175:AI175)</f>
      </c>
      <c r="AK175" s="35"/>
    </row>
    <row r="176" ht="12.75" customHeight="1" spans="2:37" x14ac:dyDescent="0.25">
      <c r="B176" s="30" t="s">
        <v>42</v>
      </c>
      <c r="C176" s="31" t="s">
        <v>3</v>
      </c>
      <c r="D176" s="32" t="s">
        <v>2387</v>
      </c>
      <c r="E176" s="32"/>
      <c r="F176" s="32"/>
      <c r="G176" s="32"/>
      <c r="H176" s="33">
        <v>95.86</v>
      </c>
      <c r="I176" s="33">
        <v>99.94</v>
      </c>
      <c r="J176" s="33">
        <v>121.17</v>
      </c>
      <c r="K176" s="33">
        <v>140.1</v>
      </c>
      <c r="L176" s="33">
        <v>149.17</v>
      </c>
      <c r="M176" s="33">
        <v>206.03</v>
      </c>
      <c r="N176" s="33">
        <v>148.45</v>
      </c>
      <c r="O176" s="33">
        <v>187.48</v>
      </c>
      <c r="P176" s="33">
        <v>200.62</v>
      </c>
      <c r="Q176" s="33">
        <v>178.13</v>
      </c>
      <c r="R176" s="33">
        <v>106.98</v>
      </c>
      <c r="S176" s="33">
        <v>108.39</v>
      </c>
      <c r="T176" s="33">
        <v>104.07</v>
      </c>
      <c r="U176" s="33">
        <v>128.38</v>
      </c>
      <c r="V176" s="33">
        <v>97.58</v>
      </c>
      <c r="W176" s="33">
        <v>111.61</v>
      </c>
      <c r="X176" s="33">
        <v>132.55</v>
      </c>
      <c r="Y176" s="33">
        <v>74.55</v>
      </c>
      <c r="Z176" s="33">
        <v>26.85</v>
      </c>
      <c r="AA176" s="33">
        <v>26.85</v>
      </c>
      <c r="AB176" s="33">
        <v>26.85</v>
      </c>
      <c r="AC176" s="33">
        <v>26.87</v>
      </c>
      <c r="AD176" s="33">
        <v>26.87</v>
      </c>
      <c r="AE176" s="33">
        <v>29.31</v>
      </c>
      <c r="AF176" s="33">
        <v>168.83</v>
      </c>
      <c r="AG176" s="33">
        <v>171.29</v>
      </c>
      <c r="AH176" s="33">
        <v>122.03</v>
      </c>
      <c r="AI176" s="32"/>
      <c r="AJ176" s="34">
        <f>SUM(E176:AI176)</f>
      </c>
      <c r="AK176" s="35"/>
    </row>
    <row r="177" ht="12.75" customHeight="1" spans="2:37" x14ac:dyDescent="0.25">
      <c r="B177" s="30" t="s">
        <v>42</v>
      </c>
      <c r="C177" s="31" t="s">
        <v>3</v>
      </c>
      <c r="D177" s="32" t="s">
        <v>2388</v>
      </c>
      <c r="E177" s="32"/>
      <c r="F177" s="32"/>
      <c r="G177" s="32"/>
      <c r="H177" s="33">
        <v>48.21</v>
      </c>
      <c r="I177" s="33">
        <v>81.76</v>
      </c>
      <c r="J177" s="33">
        <v>95.6</v>
      </c>
      <c r="K177" s="33">
        <v>76.4</v>
      </c>
      <c r="L177" s="33">
        <v>29.63</v>
      </c>
      <c r="M177" s="33">
        <v>207.53</v>
      </c>
      <c r="N177" s="33">
        <v>149.02</v>
      </c>
      <c r="O177" s="33">
        <v>276.34</v>
      </c>
      <c r="P177" s="33">
        <v>80.54</v>
      </c>
      <c r="Q177" s="33">
        <v>26.85</v>
      </c>
      <c r="R177" s="33">
        <v>30.45</v>
      </c>
      <c r="S177" s="33">
        <v>103.01</v>
      </c>
      <c r="T177" s="33">
        <v>49.09</v>
      </c>
      <c r="U177" s="33">
        <v>83.02</v>
      </c>
      <c r="V177" s="33">
        <v>91.07</v>
      </c>
      <c r="W177" s="33">
        <v>105.88</v>
      </c>
      <c r="X177" s="33">
        <v>27.17</v>
      </c>
      <c r="Y177" s="33">
        <v>26.85</v>
      </c>
      <c r="Z177" s="33">
        <v>26.85</v>
      </c>
      <c r="AA177" s="33">
        <v>26.85</v>
      </c>
      <c r="AB177" s="33">
        <v>26.85</v>
      </c>
      <c r="AC177" s="33">
        <v>26.87</v>
      </c>
      <c r="AD177" s="33">
        <v>27.77</v>
      </c>
      <c r="AE177" s="33">
        <v>53.41</v>
      </c>
      <c r="AF177" s="33">
        <v>33.29</v>
      </c>
      <c r="AG177" s="33">
        <v>61.65</v>
      </c>
      <c r="AH177" s="33">
        <v>120.97</v>
      </c>
      <c r="AI177" s="32"/>
      <c r="AJ177" s="34">
        <f>SUM(E177:AI177)</f>
      </c>
      <c r="AK177" s="35"/>
    </row>
    <row r="178" ht="12.75" customHeight="1" spans="2:37" x14ac:dyDescent="0.25">
      <c r="B178" s="30" t="s">
        <v>42</v>
      </c>
      <c r="C178" s="31" t="s">
        <v>3</v>
      </c>
      <c r="D178" s="32" t="s">
        <v>2389</v>
      </c>
      <c r="E178" s="32"/>
      <c r="F178" s="32"/>
      <c r="G178" s="32"/>
      <c r="H178" s="33">
        <v>106.12</v>
      </c>
      <c r="I178" s="33">
        <v>107.07</v>
      </c>
      <c r="J178" s="33">
        <v>110.34</v>
      </c>
      <c r="K178" s="33">
        <v>102.19</v>
      </c>
      <c r="L178" s="33">
        <v>75.39</v>
      </c>
      <c r="M178" s="33">
        <v>26.85</v>
      </c>
      <c r="N178" s="33">
        <v>26.85</v>
      </c>
      <c r="O178" s="33">
        <v>26.85</v>
      </c>
      <c r="P178" s="33">
        <v>26.85</v>
      </c>
      <c r="Q178" s="33">
        <v>26.85</v>
      </c>
      <c r="R178" s="33">
        <v>31.24</v>
      </c>
      <c r="S178" s="33">
        <v>116.06</v>
      </c>
      <c r="T178" s="33">
        <v>53.53</v>
      </c>
      <c r="U178" s="33">
        <v>120.57</v>
      </c>
      <c r="V178" s="33">
        <v>132.29</v>
      </c>
      <c r="W178" s="33">
        <v>149.44</v>
      </c>
      <c r="X178" s="33">
        <v>94.86</v>
      </c>
      <c r="Y178" s="33">
        <v>26.85</v>
      </c>
      <c r="Z178" s="33">
        <v>26.85</v>
      </c>
      <c r="AA178" s="33">
        <v>26.85</v>
      </c>
      <c r="AB178" s="33">
        <v>26.85</v>
      </c>
      <c r="AC178" s="33">
        <v>26.87</v>
      </c>
      <c r="AD178" s="33">
        <v>26.87</v>
      </c>
      <c r="AE178" s="33">
        <v>27.57</v>
      </c>
      <c r="AF178" s="33">
        <v>77.32</v>
      </c>
      <c r="AG178" s="33">
        <v>92.61</v>
      </c>
      <c r="AH178" s="33">
        <v>79.94</v>
      </c>
      <c r="AI178" s="32"/>
      <c r="AJ178" s="34">
        <f>SUM(E178:AI178)</f>
      </c>
      <c r="AK178" s="35"/>
    </row>
    <row r="179" ht="12.75" customHeight="1" spans="2:37" x14ac:dyDescent="0.25">
      <c r="B179" s="30" t="s">
        <v>42</v>
      </c>
      <c r="C179" s="31" t="s">
        <v>3</v>
      </c>
      <c r="D179" s="32" t="s">
        <v>2390</v>
      </c>
      <c r="E179" s="32"/>
      <c r="F179" s="32"/>
      <c r="G179" s="32"/>
      <c r="H179" s="33">
        <v>104.14</v>
      </c>
      <c r="I179" s="33">
        <v>162.66</v>
      </c>
      <c r="J179" s="33">
        <v>162.93</v>
      </c>
      <c r="K179" s="33">
        <v>126.37</v>
      </c>
      <c r="L179" s="33">
        <v>33.26</v>
      </c>
      <c r="M179" s="33">
        <v>60.72</v>
      </c>
      <c r="N179" s="33">
        <v>43.71</v>
      </c>
      <c r="O179" s="33">
        <v>48.48</v>
      </c>
      <c r="P179" s="33">
        <v>46.03</v>
      </c>
      <c r="Q179" s="33">
        <v>45.01</v>
      </c>
      <c r="R179" s="33">
        <v>31.54</v>
      </c>
      <c r="S179" s="33">
        <v>29.77</v>
      </c>
      <c r="T179" s="33">
        <v>84.2</v>
      </c>
      <c r="U179" s="33">
        <v>229.62</v>
      </c>
      <c r="V179" s="33">
        <v>77.03</v>
      </c>
      <c r="W179" s="33">
        <v>54.54</v>
      </c>
      <c r="X179" s="33">
        <v>107.31</v>
      </c>
      <c r="Y179" s="33">
        <v>32.8</v>
      </c>
      <c r="Z179" s="33">
        <v>30.84</v>
      </c>
      <c r="AA179" s="33">
        <v>26.85</v>
      </c>
      <c r="AB179" s="33">
        <v>26.85</v>
      </c>
      <c r="AC179" s="33">
        <v>26.87</v>
      </c>
      <c r="AD179" s="33">
        <v>31.34</v>
      </c>
      <c r="AE179" s="33">
        <v>139.82</v>
      </c>
      <c r="AF179" s="33">
        <v>154.9</v>
      </c>
      <c r="AG179" s="33">
        <v>150.75</v>
      </c>
      <c r="AH179" s="33">
        <v>141.89</v>
      </c>
      <c r="AI179" s="32"/>
      <c r="AJ179" s="34">
        <f>SUM(E179:AI179)</f>
      </c>
      <c r="AK179" s="35"/>
    </row>
    <row r="180" ht="12.75" customHeight="1" spans="2:37" x14ac:dyDescent="0.25">
      <c r="B180" s="30" t="s">
        <v>42</v>
      </c>
      <c r="C180" s="31" t="s">
        <v>3</v>
      </c>
      <c r="D180" s="32" t="s">
        <v>2391</v>
      </c>
      <c r="E180" s="32"/>
      <c r="F180" s="32"/>
      <c r="G180" s="32"/>
      <c r="H180" s="33">
        <v>97.83</v>
      </c>
      <c r="I180" s="33">
        <v>107.45</v>
      </c>
      <c r="J180" s="33">
        <v>118.78</v>
      </c>
      <c r="K180" s="33">
        <v>168.59</v>
      </c>
      <c r="L180" s="33">
        <v>182.26</v>
      </c>
      <c r="M180" s="33">
        <v>305.79</v>
      </c>
      <c r="N180" s="33">
        <v>234.86</v>
      </c>
      <c r="O180" s="33">
        <v>278.11</v>
      </c>
      <c r="P180" s="33">
        <v>26.85</v>
      </c>
      <c r="Q180" s="33">
        <v>26.85</v>
      </c>
      <c r="R180" s="33">
        <v>26.85</v>
      </c>
      <c r="S180" s="33">
        <v>29.11</v>
      </c>
      <c r="T180" s="33">
        <v>48.86</v>
      </c>
      <c r="U180" s="33">
        <v>57.66</v>
      </c>
      <c r="V180" s="33">
        <v>67.53</v>
      </c>
      <c r="W180" s="33">
        <v>78.08</v>
      </c>
      <c r="X180" s="33">
        <v>52.32</v>
      </c>
      <c r="Y180" s="33">
        <v>26.85</v>
      </c>
      <c r="Z180" s="33">
        <v>26.85</v>
      </c>
      <c r="AA180" s="33">
        <v>26.85</v>
      </c>
      <c r="AB180" s="33">
        <v>26.85</v>
      </c>
      <c r="AC180" s="33">
        <v>26.87</v>
      </c>
      <c r="AD180" s="33">
        <v>26.87</v>
      </c>
      <c r="AE180" s="33">
        <v>27.77</v>
      </c>
      <c r="AF180" s="33">
        <v>120.04</v>
      </c>
      <c r="AG180" s="33">
        <v>124.11</v>
      </c>
      <c r="AH180" s="33">
        <v>101</v>
      </c>
      <c r="AI180" s="32"/>
      <c r="AJ180" s="34">
        <f>SUM(E180:AI180)</f>
      </c>
      <c r="AK180" s="35"/>
    </row>
    <row r="181" ht="12.75" customHeight="1" spans="2:37" x14ac:dyDescent="0.25">
      <c r="B181" s="30" t="s">
        <v>42</v>
      </c>
      <c r="C181" s="31" t="s">
        <v>3</v>
      </c>
      <c r="D181" s="32" t="s">
        <v>2392</v>
      </c>
      <c r="E181" s="32"/>
      <c r="F181" s="32"/>
      <c r="G181" s="32"/>
      <c r="H181" s="33">
        <v>38.9</v>
      </c>
      <c r="I181" s="33">
        <v>69.4</v>
      </c>
      <c r="J181" s="33">
        <v>76.36</v>
      </c>
      <c r="K181" s="33">
        <v>61.21</v>
      </c>
      <c r="L181" s="33">
        <v>26.85</v>
      </c>
      <c r="M181" s="33">
        <v>26.85</v>
      </c>
      <c r="N181" s="33">
        <v>39.99</v>
      </c>
      <c r="O181" s="33">
        <v>26.85</v>
      </c>
      <c r="P181" s="33">
        <v>26.85</v>
      </c>
      <c r="Q181" s="33">
        <v>26.85</v>
      </c>
      <c r="R181" s="33">
        <v>26.85</v>
      </c>
      <c r="S181" s="33">
        <v>26.85</v>
      </c>
      <c r="T181" s="33">
        <v>35.95</v>
      </c>
      <c r="U181" s="33">
        <v>65.98</v>
      </c>
      <c r="V181" s="33">
        <v>92.77</v>
      </c>
      <c r="W181" s="33">
        <v>31.52</v>
      </c>
      <c r="X181" s="33">
        <v>52.32</v>
      </c>
      <c r="Y181" s="33">
        <v>26.85</v>
      </c>
      <c r="Z181" s="33">
        <v>26.85</v>
      </c>
      <c r="AA181" s="33">
        <v>26.85</v>
      </c>
      <c r="AB181" s="33">
        <v>26.85</v>
      </c>
      <c r="AC181" s="33">
        <v>26.87</v>
      </c>
      <c r="AD181" s="33">
        <v>28.94</v>
      </c>
      <c r="AE181" s="33">
        <v>59.4</v>
      </c>
      <c r="AF181" s="33">
        <v>55.85</v>
      </c>
      <c r="AG181" s="33">
        <v>56.77</v>
      </c>
      <c r="AH181" s="33">
        <v>48.65</v>
      </c>
      <c r="AI181" s="32"/>
      <c r="AJ181" s="34">
        <f>SUM(E181:AI181)</f>
      </c>
      <c r="AK181" s="35"/>
    </row>
    <row r="182" ht="12.75" customHeight="1" spans="2:37" x14ac:dyDescent="0.25">
      <c r="B182" s="30" t="s">
        <v>42</v>
      </c>
      <c r="C182" s="31" t="s">
        <v>3</v>
      </c>
      <c r="D182" s="32" t="s">
        <v>2393</v>
      </c>
      <c r="E182" s="32"/>
      <c r="F182" s="32"/>
      <c r="G182" s="32"/>
      <c r="H182" s="33">
        <v>79.8</v>
      </c>
      <c r="I182" s="33">
        <v>98.1</v>
      </c>
      <c r="J182" s="33">
        <v>85.46</v>
      </c>
      <c r="K182" s="33">
        <v>120.76</v>
      </c>
      <c r="L182" s="33">
        <v>87.16</v>
      </c>
      <c r="M182" s="33">
        <v>104.56</v>
      </c>
      <c r="N182" s="33">
        <v>86.81</v>
      </c>
      <c r="O182" s="33">
        <v>92.58</v>
      </c>
      <c r="P182" s="33">
        <v>102.1</v>
      </c>
      <c r="Q182" s="33">
        <v>91.13</v>
      </c>
      <c r="R182" s="33">
        <v>66.32</v>
      </c>
      <c r="S182" s="33">
        <v>119.34</v>
      </c>
      <c r="T182" s="33">
        <v>83.3</v>
      </c>
      <c r="U182" s="33">
        <v>119.8</v>
      </c>
      <c r="V182" s="33">
        <v>117.34</v>
      </c>
      <c r="W182" s="33">
        <v>127.07</v>
      </c>
      <c r="X182" s="33">
        <v>98.6</v>
      </c>
      <c r="Y182" s="33">
        <v>86.91</v>
      </c>
      <c r="Z182" s="33">
        <v>45.05</v>
      </c>
      <c r="AA182" s="33">
        <v>54</v>
      </c>
      <c r="AB182" s="33">
        <v>47.77</v>
      </c>
      <c r="AC182" s="33">
        <v>40.9</v>
      </c>
      <c r="AD182" s="33">
        <v>40.9</v>
      </c>
      <c r="AE182" s="33">
        <v>106.27</v>
      </c>
      <c r="AF182" s="33">
        <v>103.67</v>
      </c>
      <c r="AG182" s="33">
        <v>123.18</v>
      </c>
      <c r="AH182" s="33">
        <v>109</v>
      </c>
      <c r="AI182" s="32"/>
      <c r="AJ182" s="34">
        <f>SUM(E182:AI182)</f>
      </c>
      <c r="AK182" s="35"/>
    </row>
    <row r="183" ht="12.75" customHeight="1" spans="2:37" x14ac:dyDescent="0.25">
      <c r="B183" s="30" t="s">
        <v>42</v>
      </c>
      <c r="C183" s="31" t="s">
        <v>3</v>
      </c>
      <c r="D183" s="32" t="s">
        <v>2394</v>
      </c>
      <c r="E183" s="32"/>
      <c r="F183" s="32"/>
      <c r="G183" s="32"/>
      <c r="H183" s="33">
        <v>72.15</v>
      </c>
      <c r="I183" s="33">
        <v>78.35</v>
      </c>
      <c r="J183" s="33">
        <v>80.19</v>
      </c>
      <c r="K183" s="33">
        <v>75.17</v>
      </c>
      <c r="L183" s="33">
        <v>83.21</v>
      </c>
      <c r="M183" s="33">
        <v>144.86</v>
      </c>
      <c r="N183" s="33">
        <v>38.11</v>
      </c>
      <c r="O183" s="33">
        <v>34.75</v>
      </c>
      <c r="P183" s="33">
        <v>26.85</v>
      </c>
      <c r="Q183" s="33">
        <v>26.85</v>
      </c>
      <c r="R183" s="33">
        <v>26.85</v>
      </c>
      <c r="S183" s="33">
        <v>26.85</v>
      </c>
      <c r="T183" s="33">
        <v>65.62</v>
      </c>
      <c r="U183" s="33">
        <v>73.76</v>
      </c>
      <c r="V183" s="33">
        <v>78.2</v>
      </c>
      <c r="W183" s="33">
        <v>53.24</v>
      </c>
      <c r="X183" s="33">
        <v>34.55</v>
      </c>
      <c r="Y183" s="33">
        <v>26.85</v>
      </c>
      <c r="Z183" s="33">
        <v>26.85</v>
      </c>
      <c r="AA183" s="33">
        <v>26.85</v>
      </c>
      <c r="AB183" s="33">
        <v>26.85</v>
      </c>
      <c r="AC183" s="33">
        <v>26.87</v>
      </c>
      <c r="AD183" s="33">
        <v>34.31</v>
      </c>
      <c r="AE183" s="33">
        <v>67.33</v>
      </c>
      <c r="AF183" s="33">
        <v>56.77</v>
      </c>
      <c r="AG183" s="33">
        <v>61.77</v>
      </c>
      <c r="AH183" s="33">
        <v>79.94</v>
      </c>
      <c r="AI183" s="32"/>
      <c r="AJ183" s="34">
        <f>SUM(E183:AI183)</f>
      </c>
      <c r="AK183" s="35"/>
    </row>
    <row r="184" ht="12.75" customHeight="1" spans="2:37" x14ac:dyDescent="0.25">
      <c r="B184" s="30" t="s">
        <v>42</v>
      </c>
      <c r="C184" s="31" t="s">
        <v>3</v>
      </c>
      <c r="D184" s="32" t="s">
        <v>2395</v>
      </c>
      <c r="E184" s="32"/>
      <c r="F184" s="32"/>
      <c r="G184" s="32"/>
      <c r="H184" s="33">
        <v>29.86</v>
      </c>
      <c r="I184" s="33">
        <v>29.17</v>
      </c>
      <c r="J184" s="33">
        <v>29.27</v>
      </c>
      <c r="K184" s="33">
        <v>28.77</v>
      </c>
      <c r="L184" s="33">
        <v>28.36</v>
      </c>
      <c r="M184" s="33">
        <v>28.12</v>
      </c>
      <c r="N184" s="33">
        <v>27.93</v>
      </c>
      <c r="O184" s="33">
        <v>28.07</v>
      </c>
      <c r="P184" s="33">
        <v>27.98</v>
      </c>
      <c r="Q184" s="33">
        <v>27.88</v>
      </c>
      <c r="R184" s="33">
        <v>28.02</v>
      </c>
      <c r="S184" s="33">
        <v>28.52</v>
      </c>
      <c r="T184" s="33">
        <v>57.15</v>
      </c>
      <c r="U184" s="33">
        <v>29.28</v>
      </c>
      <c r="V184" s="33">
        <v>28.8</v>
      </c>
      <c r="W184" s="33">
        <v>28.71</v>
      </c>
      <c r="X184" s="33">
        <v>52.57</v>
      </c>
      <c r="Y184" s="33">
        <v>99.55</v>
      </c>
      <c r="Z184" s="33">
        <v>122.93</v>
      </c>
      <c r="AA184" s="33">
        <v>47.11</v>
      </c>
      <c r="AB184" s="33">
        <v>44.5</v>
      </c>
      <c r="AC184" s="33">
        <v>36.27</v>
      </c>
      <c r="AD184" s="33">
        <v>80.87</v>
      </c>
      <c r="AE184" s="33">
        <v>114.07</v>
      </c>
      <c r="AF184" s="33">
        <v>138.21</v>
      </c>
      <c r="AG184" s="33">
        <v>156.88</v>
      </c>
      <c r="AH184" s="33">
        <v>128.85</v>
      </c>
      <c r="AI184" s="32"/>
      <c r="AJ184" s="34">
        <f>SUM(E184:AI184)</f>
      </c>
      <c r="AK184" s="35"/>
    </row>
    <row r="185" ht="12.75" customHeight="1" spans="2:37" x14ac:dyDescent="0.25">
      <c r="B185" s="30" t="s">
        <v>42</v>
      </c>
      <c r="C185" s="31" t="s">
        <v>3</v>
      </c>
      <c r="D185" s="32" t="s">
        <v>2396</v>
      </c>
      <c r="E185" s="32"/>
      <c r="F185" s="32"/>
      <c r="G185" s="32"/>
      <c r="H185" s="33">
        <v>128.87</v>
      </c>
      <c r="I185" s="33">
        <v>112.33</v>
      </c>
      <c r="J185" s="33">
        <v>129.98</v>
      </c>
      <c r="K185" s="33">
        <v>77.9</v>
      </c>
      <c r="L185" s="33">
        <v>109.31</v>
      </c>
      <c r="M185" s="33">
        <v>183.39</v>
      </c>
      <c r="N185" s="33">
        <v>107.19</v>
      </c>
      <c r="O185" s="33">
        <v>76.97</v>
      </c>
      <c r="P185" s="33">
        <v>62.23</v>
      </c>
      <c r="Q185" s="33">
        <v>57.79</v>
      </c>
      <c r="R185" s="33">
        <v>123.29</v>
      </c>
      <c r="S185" s="33">
        <v>96.62</v>
      </c>
      <c r="T185" s="33">
        <v>122.38</v>
      </c>
      <c r="U185" s="33">
        <v>158.85</v>
      </c>
      <c r="V185" s="33">
        <v>101.35</v>
      </c>
      <c r="W185" s="33">
        <v>105.88</v>
      </c>
      <c r="X185" s="33">
        <v>89.39</v>
      </c>
      <c r="Y185" s="33">
        <v>52.18</v>
      </c>
      <c r="Z185" s="33">
        <v>51.67</v>
      </c>
      <c r="AA185" s="33">
        <v>54.91</v>
      </c>
      <c r="AB185" s="33">
        <v>51.93</v>
      </c>
      <c r="AC185" s="33">
        <v>52.88</v>
      </c>
      <c r="AD185" s="33">
        <v>68.89</v>
      </c>
      <c r="AE185" s="33">
        <v>92.59</v>
      </c>
      <c r="AF185" s="33">
        <v>117</v>
      </c>
      <c r="AG185" s="33">
        <v>146.46</v>
      </c>
      <c r="AH185" s="33">
        <v>129.91</v>
      </c>
      <c r="AI185" s="32"/>
      <c r="AJ185" s="34">
        <f>SUM(E185:AI185)</f>
      </c>
      <c r="AK185" s="35"/>
    </row>
    <row r="186" ht="12.75" customHeight="1" spans="2:37" x14ac:dyDescent="0.25">
      <c r="B186" s="30" t="s">
        <v>42</v>
      </c>
      <c r="C186" s="31" t="s">
        <v>3</v>
      </c>
      <c r="D186" s="32" t="s">
        <v>2397</v>
      </c>
      <c r="E186" s="32"/>
      <c r="F186" s="32"/>
      <c r="G186" s="32"/>
      <c r="H186" s="33">
        <v>117.44</v>
      </c>
      <c r="I186" s="33">
        <v>124.44</v>
      </c>
      <c r="J186" s="33">
        <v>135.64</v>
      </c>
      <c r="K186" s="33">
        <v>111.91</v>
      </c>
      <c r="L186" s="33">
        <v>34.46</v>
      </c>
      <c r="M186" s="33">
        <v>46.14</v>
      </c>
      <c r="N186" s="33">
        <v>31.67</v>
      </c>
      <c r="O186" s="33">
        <v>31.87</v>
      </c>
      <c r="P186" s="33">
        <v>33.13</v>
      </c>
      <c r="Q186" s="33">
        <v>26.85</v>
      </c>
      <c r="R186" s="33">
        <v>40.32</v>
      </c>
      <c r="S186" s="33">
        <v>112.82</v>
      </c>
      <c r="T186" s="33">
        <v>120.7</v>
      </c>
      <c r="U186" s="33">
        <v>139.32</v>
      </c>
      <c r="V186" s="33">
        <v>117.99</v>
      </c>
      <c r="W186" s="33">
        <v>131.77</v>
      </c>
      <c r="X186" s="33">
        <v>149.75</v>
      </c>
      <c r="Y186" s="33">
        <v>26.85</v>
      </c>
      <c r="Z186" s="33">
        <v>26.85</v>
      </c>
      <c r="AA186" s="33">
        <v>26.85</v>
      </c>
      <c r="AB186" s="33">
        <v>26.85</v>
      </c>
      <c r="AC186" s="33">
        <v>37.03</v>
      </c>
      <c r="AD186" s="33">
        <v>176.28</v>
      </c>
      <c r="AE186" s="33">
        <v>93.89</v>
      </c>
      <c r="AF186" s="33">
        <v>139.4</v>
      </c>
      <c r="AG186" s="33">
        <v>51.24</v>
      </c>
      <c r="AH186" s="33">
        <v>65.22</v>
      </c>
      <c r="AI186" s="32"/>
      <c r="AJ186" s="34">
        <f>SUM(E186:AI186)</f>
      </c>
      <c r="AK186" s="35"/>
    </row>
    <row r="187" ht="12.75" customHeight="1" spans="2:37" x14ac:dyDescent="0.25">
      <c r="B187" s="30" t="s">
        <v>42</v>
      </c>
      <c r="C187" s="31" t="s">
        <v>3</v>
      </c>
      <c r="D187" s="32" t="s">
        <v>2398</v>
      </c>
      <c r="E187" s="32"/>
      <c r="F187" s="32"/>
      <c r="G187" s="32"/>
      <c r="H187" s="33">
        <v>43.88</v>
      </c>
      <c r="I187" s="33">
        <v>35.02</v>
      </c>
      <c r="J187" s="33">
        <v>42.26</v>
      </c>
      <c r="K187" s="33">
        <v>57.47</v>
      </c>
      <c r="L187" s="33">
        <v>63.86</v>
      </c>
      <c r="M187" s="33">
        <v>114.45</v>
      </c>
      <c r="N187" s="33">
        <v>89.97</v>
      </c>
      <c r="O187" s="33">
        <v>75.46</v>
      </c>
      <c r="P187" s="33">
        <v>89.87</v>
      </c>
      <c r="Q187" s="33">
        <v>96.72</v>
      </c>
      <c r="R187" s="33">
        <v>47.79</v>
      </c>
      <c r="S187" s="33">
        <v>27.25</v>
      </c>
      <c r="T187" s="33">
        <v>32.62</v>
      </c>
      <c r="U187" s="33">
        <v>60.76</v>
      </c>
      <c r="V187" s="33">
        <v>128.24</v>
      </c>
      <c r="W187" s="33">
        <v>128.24</v>
      </c>
      <c r="X187" s="33">
        <v>72.22</v>
      </c>
      <c r="Y187" s="33">
        <v>103.03</v>
      </c>
      <c r="Z187" s="33">
        <v>86.52</v>
      </c>
      <c r="AA187" s="33">
        <v>119.92</v>
      </c>
      <c r="AB187" s="33">
        <v>111.99</v>
      </c>
      <c r="AC187" s="33">
        <v>85.42</v>
      </c>
      <c r="AD187" s="33">
        <v>70.6</v>
      </c>
      <c r="AE187" s="33">
        <v>69.81</v>
      </c>
      <c r="AF187" s="33">
        <v>70.21</v>
      </c>
      <c r="AG187" s="33">
        <v>121.35</v>
      </c>
      <c r="AH187" s="33">
        <v>163.32</v>
      </c>
      <c r="AI187" s="32"/>
      <c r="AJ187" s="34">
        <f>SUM(E187:AI187)</f>
      </c>
      <c r="AK187" s="35"/>
    </row>
    <row r="188" ht="12.75" customHeight="1" spans="2:37" x14ac:dyDescent="0.25">
      <c r="B188" s="30" t="s">
        <v>42</v>
      </c>
      <c r="C188" s="31" t="s">
        <v>3</v>
      </c>
      <c r="D188" s="32" t="s">
        <v>2399</v>
      </c>
      <c r="E188" s="32"/>
      <c r="F188" s="32"/>
      <c r="G188" s="32"/>
      <c r="H188" s="33">
        <v>73.34</v>
      </c>
      <c r="I188" s="33">
        <v>155.44</v>
      </c>
      <c r="J188" s="33">
        <v>179.66</v>
      </c>
      <c r="K188" s="33">
        <v>142.73</v>
      </c>
      <c r="L188" s="33">
        <v>121.9</v>
      </c>
      <c r="M188" s="33">
        <v>32.18</v>
      </c>
      <c r="N188" s="33">
        <v>26.85</v>
      </c>
      <c r="O188" s="33">
        <v>55.6</v>
      </c>
      <c r="P188" s="33">
        <v>29.17</v>
      </c>
      <c r="Q188" s="33">
        <v>79.48</v>
      </c>
      <c r="R188" s="33">
        <v>51.63</v>
      </c>
      <c r="S188" s="33">
        <v>96.25</v>
      </c>
      <c r="T188" s="33">
        <v>38.35</v>
      </c>
      <c r="U188" s="33">
        <v>89.64</v>
      </c>
      <c r="V188" s="33">
        <v>57.66</v>
      </c>
      <c r="W188" s="33">
        <v>93.52</v>
      </c>
      <c r="X188" s="33">
        <v>105.24</v>
      </c>
      <c r="Y188" s="33">
        <v>78.99</v>
      </c>
      <c r="Z188" s="33">
        <v>68.83</v>
      </c>
      <c r="AA188" s="33">
        <v>91.22</v>
      </c>
      <c r="AB188" s="33">
        <v>87.42</v>
      </c>
      <c r="AC188" s="33">
        <v>84.53</v>
      </c>
      <c r="AD188" s="33">
        <v>81.51</v>
      </c>
      <c r="AE188" s="33">
        <v>85.03</v>
      </c>
      <c r="AF188" s="33">
        <v>90.11</v>
      </c>
      <c r="AG188" s="33">
        <v>89.85</v>
      </c>
      <c r="AH188" s="33">
        <v>88.22</v>
      </c>
      <c r="AI188" s="32"/>
      <c r="AJ188" s="34">
        <f>SUM(E188:AI188)</f>
      </c>
      <c r="AK188" s="35"/>
    </row>
    <row r="189" ht="12.75" customHeight="1" spans="2:37" x14ac:dyDescent="0.25">
      <c r="B189" s="30" t="s">
        <v>42</v>
      </c>
      <c r="C189" s="31" t="s">
        <v>3</v>
      </c>
      <c r="D189" s="32" t="s">
        <v>2400</v>
      </c>
      <c r="E189" s="32"/>
      <c r="F189" s="32"/>
      <c r="G189" s="32"/>
      <c r="H189" s="33">
        <v>73.34</v>
      </c>
      <c r="I189" s="33">
        <v>102.33</v>
      </c>
      <c r="J189" s="33">
        <v>119.32</v>
      </c>
      <c r="K189" s="33">
        <v>116.42</v>
      </c>
      <c r="L189" s="33">
        <v>95.33</v>
      </c>
      <c r="M189" s="33">
        <v>26.85</v>
      </c>
      <c r="N189" s="33">
        <v>33.31</v>
      </c>
      <c r="O189" s="33">
        <v>58.95</v>
      </c>
      <c r="P189" s="33">
        <v>61.07</v>
      </c>
      <c r="Q189" s="33">
        <v>32.81</v>
      </c>
      <c r="R189" s="33">
        <v>34.7</v>
      </c>
      <c r="S189" s="33">
        <v>99.98</v>
      </c>
      <c r="T189" s="33">
        <v>50.15</v>
      </c>
      <c r="U189" s="33">
        <v>89.64</v>
      </c>
      <c r="V189" s="33">
        <v>97.43</v>
      </c>
      <c r="W189" s="33">
        <v>74.95</v>
      </c>
      <c r="X189" s="33">
        <v>47.77</v>
      </c>
      <c r="Y189" s="33">
        <v>62.06</v>
      </c>
      <c r="Z189" s="33">
        <v>52.18</v>
      </c>
      <c r="AA189" s="33">
        <v>68.44</v>
      </c>
      <c r="AB189" s="33">
        <v>64.03</v>
      </c>
      <c r="AC189" s="33">
        <v>54.19</v>
      </c>
      <c r="AD189" s="33">
        <v>48.46</v>
      </c>
      <c r="AE189" s="33">
        <v>98.05</v>
      </c>
      <c r="AF189" s="33">
        <v>63.63</v>
      </c>
      <c r="AG189" s="33">
        <v>96.16</v>
      </c>
      <c r="AH189" s="33">
        <v>96.53</v>
      </c>
      <c r="AI189" s="32"/>
      <c r="AJ189" s="34">
        <f>SUM(E189:AI189)</f>
      </c>
      <c r="AK189" s="35"/>
    </row>
    <row r="190" ht="12.75" customHeight="1" spans="2:37" x14ac:dyDescent="0.25">
      <c r="B190" s="30" t="s">
        <v>42</v>
      </c>
      <c r="C190" s="31" t="s">
        <v>3</v>
      </c>
      <c r="D190" s="32" t="s">
        <v>2401</v>
      </c>
      <c r="E190" s="32"/>
      <c r="F190" s="32"/>
      <c r="G190" s="32"/>
      <c r="H190" s="33">
        <v>70.96</v>
      </c>
      <c r="I190" s="33">
        <v>63.88</v>
      </c>
      <c r="J190" s="33">
        <v>69.66</v>
      </c>
      <c r="K190" s="33">
        <v>70.67</v>
      </c>
      <c r="L190" s="33">
        <v>93.59</v>
      </c>
      <c r="M190" s="33">
        <v>103.96</v>
      </c>
      <c r="N190" s="33">
        <v>26.85</v>
      </c>
      <c r="O190" s="33">
        <v>26.85</v>
      </c>
      <c r="P190" s="33">
        <v>26.85</v>
      </c>
      <c r="Q190" s="33">
        <v>26.85</v>
      </c>
      <c r="R190" s="33">
        <v>32.77</v>
      </c>
      <c r="S190" s="33">
        <v>33.24</v>
      </c>
      <c r="T190" s="33">
        <v>33.76</v>
      </c>
      <c r="U190" s="33">
        <v>35.98</v>
      </c>
      <c r="V190" s="33">
        <v>31.85</v>
      </c>
      <c r="W190" s="33">
        <v>52.42</v>
      </c>
      <c r="X190" s="33">
        <v>34.55</v>
      </c>
      <c r="Y190" s="33">
        <v>31.56</v>
      </c>
      <c r="Z190" s="33">
        <v>30.08</v>
      </c>
      <c r="AA190" s="33">
        <v>26.85</v>
      </c>
      <c r="AB190" s="33">
        <v>26.85</v>
      </c>
      <c r="AC190" s="33">
        <v>26.87</v>
      </c>
      <c r="AD190" s="33">
        <v>26.87</v>
      </c>
      <c r="AE190" s="33">
        <v>28.52</v>
      </c>
      <c r="AF190" s="33">
        <v>51.76</v>
      </c>
      <c r="AG190" s="33">
        <v>75.23</v>
      </c>
      <c r="AH190" s="33">
        <v>93.51</v>
      </c>
      <c r="AI190" s="32"/>
      <c r="AJ190" s="34">
        <f>SUM(E190:AI190)</f>
      </c>
      <c r="AK190" s="35"/>
    </row>
    <row r="191" ht="12.75" customHeight="1" spans="2:37" x14ac:dyDescent="0.25">
      <c r="B191" s="30" t="s">
        <v>42</v>
      </c>
      <c r="C191" s="31" t="s">
        <v>3</v>
      </c>
      <c r="D191" s="32" t="s">
        <v>2402</v>
      </c>
      <c r="E191" s="32"/>
      <c r="F191" s="32"/>
      <c r="G191" s="32"/>
      <c r="H191" s="33">
        <v>198.52</v>
      </c>
      <c r="I191" s="33">
        <v>158.82</v>
      </c>
      <c r="J191" s="33">
        <v>101.92</v>
      </c>
      <c r="K191" s="33">
        <v>110.53</v>
      </c>
      <c r="L191" s="33">
        <v>119.55</v>
      </c>
      <c r="M191" s="33">
        <v>159.65</v>
      </c>
      <c r="N191" s="33">
        <v>26.85</v>
      </c>
      <c r="O191" s="33">
        <v>26.85</v>
      </c>
      <c r="P191" s="33">
        <v>26.85</v>
      </c>
      <c r="Q191" s="33">
        <v>26.85</v>
      </c>
      <c r="R191" s="33">
        <v>26.85</v>
      </c>
      <c r="S191" s="33">
        <v>26.85</v>
      </c>
      <c r="T191" s="33">
        <v>28.89</v>
      </c>
      <c r="U191" s="33">
        <v>51.01</v>
      </c>
      <c r="V191" s="33">
        <v>59.09</v>
      </c>
      <c r="W191" s="33">
        <v>65.47</v>
      </c>
      <c r="X191" s="33">
        <v>72.6</v>
      </c>
      <c r="Y191" s="33">
        <v>26.85</v>
      </c>
      <c r="Z191" s="33">
        <v>26.85</v>
      </c>
      <c r="AA191" s="33">
        <v>26.85</v>
      </c>
      <c r="AB191" s="33">
        <v>26.85</v>
      </c>
      <c r="AC191" s="33">
        <v>26.87</v>
      </c>
      <c r="AD191" s="33">
        <v>26.87</v>
      </c>
      <c r="AE191" s="33">
        <v>35.74</v>
      </c>
      <c r="AF191" s="33">
        <v>33.67</v>
      </c>
      <c r="AG191" s="33">
        <v>45.58</v>
      </c>
      <c r="AH191" s="33">
        <v>49.17</v>
      </c>
      <c r="AI191" s="32"/>
      <c r="AJ191" s="34">
        <f>SUM(E191:AI191)</f>
      </c>
      <c r="AK191" s="35"/>
    </row>
    <row r="192" ht="12.75" customHeight="1" spans="2:37" x14ac:dyDescent="0.25">
      <c r="B192" s="30" t="s">
        <v>42</v>
      </c>
      <c r="C192" s="31" t="s">
        <v>3</v>
      </c>
      <c r="D192" s="32" t="s">
        <v>2403</v>
      </c>
      <c r="E192" s="32"/>
      <c r="F192" s="32"/>
      <c r="G192" s="32"/>
      <c r="H192" s="33">
        <v>41.77</v>
      </c>
      <c r="I192" s="33">
        <v>48.45</v>
      </c>
      <c r="J192" s="33">
        <v>55.96</v>
      </c>
      <c r="K192" s="33">
        <v>38.67</v>
      </c>
      <c r="L192" s="33">
        <v>40.44</v>
      </c>
      <c r="M192" s="33">
        <v>76.69</v>
      </c>
      <c r="N192" s="33">
        <v>65.73</v>
      </c>
      <c r="O192" s="33">
        <v>62.73</v>
      </c>
      <c r="P192" s="33">
        <v>31.34</v>
      </c>
      <c r="Q192" s="33">
        <v>28.02</v>
      </c>
      <c r="R192" s="33">
        <v>42.65</v>
      </c>
      <c r="S192" s="33">
        <v>33.96</v>
      </c>
      <c r="T192" s="33">
        <v>50.15</v>
      </c>
      <c r="U192" s="33">
        <v>68.44</v>
      </c>
      <c r="V192" s="33">
        <v>44.39</v>
      </c>
      <c r="W192" s="33">
        <v>50.24</v>
      </c>
      <c r="X192" s="33">
        <v>62.71</v>
      </c>
      <c r="Y192" s="33">
        <v>80.93</v>
      </c>
      <c r="Z192" s="33">
        <v>71.57</v>
      </c>
      <c r="AA192" s="33">
        <v>102.25</v>
      </c>
      <c r="AB192" s="33">
        <v>91.22</v>
      </c>
      <c r="AC192" s="33">
        <v>33.91</v>
      </c>
      <c r="AD192" s="33">
        <v>43.53</v>
      </c>
      <c r="AE192" s="33">
        <v>52.62</v>
      </c>
      <c r="AF192" s="33">
        <v>52.29</v>
      </c>
      <c r="AG192" s="33">
        <v>71.27</v>
      </c>
      <c r="AH192" s="33">
        <v>54.82</v>
      </c>
      <c r="AI192" s="32"/>
      <c r="AJ192" s="34">
        <f>SUM(E192:AI192)</f>
      </c>
      <c r="AK192" s="35"/>
    </row>
    <row r="193" ht="12.75" customHeight="1" spans="2:37" x14ac:dyDescent="0.25">
      <c r="B193" s="30" t="s">
        <v>42</v>
      </c>
      <c r="C193" s="31" t="s">
        <v>3</v>
      </c>
      <c r="D193" s="32" t="s">
        <v>2404</v>
      </c>
      <c r="E193" s="32"/>
      <c r="F193" s="32"/>
      <c r="G193" s="32"/>
      <c r="H193" s="33">
        <v>419.12</v>
      </c>
      <c r="I193" s="33">
        <v>416.12</v>
      </c>
      <c r="J193" s="33">
        <v>433.35</v>
      </c>
      <c r="K193" s="33">
        <v>484.9</v>
      </c>
      <c r="L193" s="33">
        <v>584.66</v>
      </c>
      <c r="M193" s="33">
        <v>852.76</v>
      </c>
      <c r="N193" s="33">
        <v>826.67</v>
      </c>
      <c r="O193" s="33">
        <v>865.66</v>
      </c>
      <c r="P193" s="36">
        <f>0.00+939.41</f>
        <v>939.41</v>
      </c>
      <c r="Q193" s="33">
        <v>818.29</v>
      </c>
      <c r="R193" s="33">
        <v>690.29</v>
      </c>
      <c r="S193" s="33">
        <v>545.66</v>
      </c>
      <c r="T193" s="33">
        <v>444.34</v>
      </c>
      <c r="U193" s="33">
        <v>451.33</v>
      </c>
      <c r="V193" s="33">
        <v>433.97</v>
      </c>
      <c r="W193" s="33">
        <v>504.67</v>
      </c>
      <c r="X193" s="33">
        <v>609.81</v>
      </c>
      <c r="Y193" s="33">
        <v>722.76</v>
      </c>
      <c r="Z193" s="33">
        <v>604.12</v>
      </c>
      <c r="AA193" s="33">
        <v>751.64</v>
      </c>
      <c r="AB193" s="33">
        <v>631.15</v>
      </c>
      <c r="AC193" s="33">
        <v>661.38</v>
      </c>
      <c r="AD193" s="33">
        <v>572.07</v>
      </c>
      <c r="AE193" s="33">
        <v>406.33</v>
      </c>
      <c r="AF193" s="33">
        <v>485.74</v>
      </c>
      <c r="AG193" s="33">
        <v>490.13</v>
      </c>
      <c r="AH193" s="33">
        <v>449.79</v>
      </c>
      <c r="AI193" s="32"/>
      <c r="AJ193" s="34">
        <f>SUM(E193:AI193)</f>
      </c>
      <c r="AK193" s="35"/>
    </row>
    <row r="194" ht="12.75" customHeight="1" spans="2:37" x14ac:dyDescent="0.25">
      <c r="B194" s="30" t="s">
        <v>42</v>
      </c>
      <c r="C194" s="31" t="s">
        <v>3</v>
      </c>
      <c r="D194" s="32" t="s">
        <v>2405</v>
      </c>
      <c r="E194" s="32"/>
      <c r="F194" s="32"/>
      <c r="G194" s="32"/>
      <c r="H194" s="33">
        <v>86.91</v>
      </c>
      <c r="I194" s="33">
        <v>78.35</v>
      </c>
      <c r="J194" s="33">
        <v>101.92</v>
      </c>
      <c r="K194" s="33">
        <v>130.48</v>
      </c>
      <c r="L194" s="33">
        <v>148.6</v>
      </c>
      <c r="M194" s="33">
        <v>215.24</v>
      </c>
      <c r="N194" s="33">
        <v>28.45</v>
      </c>
      <c r="O194" s="33">
        <v>26.85</v>
      </c>
      <c r="P194" s="33">
        <v>26.85</v>
      </c>
      <c r="Q194" s="33">
        <v>26.85</v>
      </c>
      <c r="R194" s="33">
        <v>32.77</v>
      </c>
      <c r="S194" s="33">
        <v>137.97</v>
      </c>
      <c r="T194" s="33">
        <v>122.91</v>
      </c>
      <c r="U194" s="33">
        <v>91.86</v>
      </c>
      <c r="V194" s="33">
        <v>146.11</v>
      </c>
      <c r="W194" s="33">
        <v>155.64</v>
      </c>
      <c r="X194" s="33">
        <v>188.26</v>
      </c>
      <c r="Y194" s="33">
        <v>26.85</v>
      </c>
      <c r="Z194" s="33">
        <v>26.85</v>
      </c>
      <c r="AA194" s="33">
        <v>26.85</v>
      </c>
      <c r="AB194" s="33">
        <v>26.85</v>
      </c>
      <c r="AC194" s="33">
        <v>26.87</v>
      </c>
      <c r="AD194" s="33">
        <v>26.87</v>
      </c>
      <c r="AE194" s="33">
        <v>144.88</v>
      </c>
      <c r="AF194" s="33">
        <v>135.16</v>
      </c>
      <c r="AG194" s="33">
        <v>150.92</v>
      </c>
      <c r="AH194" s="33">
        <v>156.58</v>
      </c>
      <c r="AI194" s="32"/>
      <c r="AJ194" s="34">
        <f>SUM(E194:AI194)</f>
      </c>
      <c r="AK194" s="35"/>
    </row>
    <row r="195" ht="12.75" customHeight="1" spans="2:37" x14ac:dyDescent="0.25">
      <c r="B195" s="30" t="s">
        <v>42</v>
      </c>
      <c r="C195" s="31" t="s">
        <v>3</v>
      </c>
      <c r="D195" s="32" t="s">
        <v>2406</v>
      </c>
      <c r="E195" s="32"/>
      <c r="F195" s="32"/>
      <c r="G195" s="32"/>
      <c r="H195" s="33">
        <v>117.67</v>
      </c>
      <c r="I195" s="33">
        <v>108.91</v>
      </c>
      <c r="J195" s="33">
        <v>111.27</v>
      </c>
      <c r="K195" s="33">
        <v>106.04</v>
      </c>
      <c r="L195" s="33">
        <v>75.63</v>
      </c>
      <c r="M195" s="33">
        <v>30.73</v>
      </c>
      <c r="N195" s="33">
        <v>32.07</v>
      </c>
      <c r="O195" s="33">
        <v>38.38</v>
      </c>
      <c r="P195" s="33">
        <v>63.52</v>
      </c>
      <c r="Q195" s="33">
        <v>31.88</v>
      </c>
      <c r="R195" s="33">
        <v>32.62</v>
      </c>
      <c r="S195" s="33">
        <v>83.89</v>
      </c>
      <c r="T195" s="33">
        <v>54.82</v>
      </c>
      <c r="U195" s="33">
        <v>65.84</v>
      </c>
      <c r="V195" s="33">
        <v>79.78</v>
      </c>
      <c r="W195" s="33">
        <v>85.98</v>
      </c>
      <c r="X195" s="33">
        <v>75.71</v>
      </c>
      <c r="Y195" s="33">
        <v>105.76</v>
      </c>
      <c r="Z195" s="33">
        <v>92.63</v>
      </c>
      <c r="AA195" s="33">
        <v>117.08</v>
      </c>
      <c r="AB195" s="33">
        <v>109</v>
      </c>
      <c r="AC195" s="33">
        <v>93.25</v>
      </c>
      <c r="AD195" s="33">
        <v>81.25</v>
      </c>
      <c r="AE195" s="33">
        <v>55.38</v>
      </c>
      <c r="AF195" s="33">
        <v>91.18</v>
      </c>
      <c r="AG195" s="33">
        <v>142.17</v>
      </c>
      <c r="AH195" s="33">
        <v>92.31</v>
      </c>
      <c r="AI195" s="32"/>
      <c r="AJ195" s="34">
        <f>SUM(E195:AI195)</f>
      </c>
      <c r="AK195" s="35"/>
    </row>
    <row r="196" ht="12.75" customHeight="1" spans="2:37" x14ac:dyDescent="0.25">
      <c r="B196" s="30" t="s">
        <v>42</v>
      </c>
      <c r="C196" s="31" t="s">
        <v>3</v>
      </c>
      <c r="D196" s="32" t="s">
        <v>2407</v>
      </c>
      <c r="E196" s="32"/>
      <c r="F196" s="32"/>
      <c r="G196" s="32"/>
      <c r="H196" s="33">
        <v>29.18</v>
      </c>
      <c r="I196" s="33">
        <v>29.27</v>
      </c>
      <c r="J196" s="33">
        <v>29.56</v>
      </c>
      <c r="K196" s="33">
        <v>29.16</v>
      </c>
      <c r="L196" s="33">
        <v>28.56</v>
      </c>
      <c r="M196" s="33">
        <v>28.41</v>
      </c>
      <c r="N196" s="33">
        <v>27.98</v>
      </c>
      <c r="O196" s="33">
        <v>27.96</v>
      </c>
      <c r="P196" s="33">
        <v>28.24</v>
      </c>
      <c r="Q196" s="33">
        <v>27.98</v>
      </c>
      <c r="R196" s="33">
        <v>28.29</v>
      </c>
      <c r="S196" s="33">
        <v>28.6</v>
      </c>
      <c r="T196" s="33">
        <v>29.16</v>
      </c>
      <c r="U196" s="33">
        <v>29.45</v>
      </c>
      <c r="V196" s="33">
        <v>29.15</v>
      </c>
      <c r="W196" s="33">
        <v>28.8</v>
      </c>
      <c r="X196" s="33">
        <v>28.92</v>
      </c>
      <c r="Y196" s="33">
        <v>28.53</v>
      </c>
      <c r="Z196" s="33">
        <v>28.29</v>
      </c>
      <c r="AA196" s="33">
        <v>28.71</v>
      </c>
      <c r="AB196" s="33">
        <v>28.71</v>
      </c>
      <c r="AC196" s="33">
        <v>29.43</v>
      </c>
      <c r="AD196" s="33">
        <v>28.32</v>
      </c>
      <c r="AE196" s="33">
        <v>28.32</v>
      </c>
      <c r="AF196" s="33">
        <v>34.81</v>
      </c>
      <c r="AG196" s="33">
        <v>35.7</v>
      </c>
      <c r="AH196" s="33">
        <v>35.45</v>
      </c>
      <c r="AI196" s="32"/>
      <c r="AJ196" s="34">
        <f>SUM(E196:AI196)</f>
      </c>
      <c r="AK196" s="35"/>
    </row>
    <row r="197" ht="12.75" customHeight="1" spans="2:37" x14ac:dyDescent="0.25">
      <c r="B197" s="30" t="s">
        <v>42</v>
      </c>
      <c r="C197" s="31" t="s">
        <v>3</v>
      </c>
      <c r="D197" s="32" t="s">
        <v>2408</v>
      </c>
      <c r="E197" s="32"/>
      <c r="F197" s="32"/>
      <c r="G197" s="32"/>
      <c r="H197" s="33">
        <v>75.31</v>
      </c>
      <c r="I197" s="33">
        <v>62.7</v>
      </c>
      <c r="J197" s="33">
        <v>72.43</v>
      </c>
      <c r="K197" s="33">
        <v>88.85</v>
      </c>
      <c r="L197" s="33">
        <v>56.4</v>
      </c>
      <c r="M197" s="33">
        <v>28.56</v>
      </c>
      <c r="N197" s="33">
        <v>36.01</v>
      </c>
      <c r="O197" s="33">
        <v>41.49</v>
      </c>
      <c r="P197" s="33">
        <v>40.91</v>
      </c>
      <c r="Q197" s="33">
        <v>26.85</v>
      </c>
      <c r="R197" s="33">
        <v>35.28</v>
      </c>
      <c r="S197" s="33">
        <v>47.43</v>
      </c>
      <c r="T197" s="33">
        <v>65.62</v>
      </c>
      <c r="U197" s="33">
        <v>71.44</v>
      </c>
      <c r="V197" s="33">
        <v>81.85</v>
      </c>
      <c r="W197" s="33">
        <v>92.36</v>
      </c>
      <c r="X197" s="33">
        <v>62.97</v>
      </c>
      <c r="Y197" s="33">
        <v>64.03</v>
      </c>
      <c r="Z197" s="33">
        <v>49.46</v>
      </c>
      <c r="AA197" s="33">
        <v>153.53</v>
      </c>
      <c r="AB197" s="33">
        <v>91.46</v>
      </c>
      <c r="AC197" s="33">
        <v>35.98</v>
      </c>
      <c r="AD197" s="33">
        <v>33.15</v>
      </c>
      <c r="AE197" s="33">
        <v>49.76</v>
      </c>
      <c r="AF197" s="33">
        <v>85.88</v>
      </c>
      <c r="AG197" s="33">
        <v>86.01</v>
      </c>
      <c r="AH197" s="33">
        <v>87.3</v>
      </c>
      <c r="AI197" s="32"/>
      <c r="AJ197" s="34">
        <f>SUM(E197:AI197)</f>
      </c>
      <c r="AK197" s="35"/>
    </row>
    <row r="198" ht="12.75" customHeight="1" spans="2:37" x14ac:dyDescent="0.25">
      <c r="B198" s="30" t="s">
        <v>42</v>
      </c>
      <c r="C198" s="31" t="s">
        <v>3</v>
      </c>
      <c r="D198" s="32" t="s">
        <v>2409</v>
      </c>
      <c r="E198" s="32"/>
      <c r="F198" s="32"/>
      <c r="G198" s="32"/>
      <c r="H198" s="33">
        <v>52.69</v>
      </c>
      <c r="I198" s="33">
        <v>46.61</v>
      </c>
      <c r="J198" s="33">
        <v>41.98</v>
      </c>
      <c r="K198" s="33">
        <v>56.47</v>
      </c>
      <c r="L198" s="33">
        <v>77.62</v>
      </c>
      <c r="M198" s="33">
        <v>26.85</v>
      </c>
      <c r="N198" s="33">
        <v>26.85</v>
      </c>
      <c r="O198" s="33">
        <v>26.85</v>
      </c>
      <c r="P198" s="33">
        <v>26.85</v>
      </c>
      <c r="Q198" s="33">
        <v>26.85</v>
      </c>
      <c r="R198" s="33">
        <v>26.85</v>
      </c>
      <c r="S198" s="33">
        <v>36.57</v>
      </c>
      <c r="T198" s="33">
        <v>51.96</v>
      </c>
      <c r="U198" s="33">
        <v>53.9</v>
      </c>
      <c r="V198" s="33">
        <v>46.74</v>
      </c>
      <c r="W198" s="33">
        <v>52.71</v>
      </c>
      <c r="X198" s="33">
        <v>31.89</v>
      </c>
      <c r="Y198" s="33">
        <v>114.85</v>
      </c>
      <c r="Z198" s="33">
        <v>144.6</v>
      </c>
      <c r="AA198" s="33">
        <v>170.82</v>
      </c>
      <c r="AB198" s="33">
        <v>166.87</v>
      </c>
      <c r="AC198" s="33">
        <v>156.26</v>
      </c>
      <c r="AD198" s="33">
        <v>116.42</v>
      </c>
      <c r="AE198" s="33">
        <v>75.79</v>
      </c>
      <c r="AF198" s="33">
        <v>88.12</v>
      </c>
      <c r="AG198" s="33">
        <v>81.68</v>
      </c>
      <c r="AH198" s="33">
        <v>70.08</v>
      </c>
      <c r="AI198" s="32"/>
      <c r="AJ198" s="34">
        <f>SUM(E198:AI198)</f>
      </c>
      <c r="AK198" s="35"/>
    </row>
    <row r="199" ht="12.75" customHeight="1" spans="2:37" x14ac:dyDescent="0.25">
      <c r="B199" s="30" t="s">
        <v>42</v>
      </c>
      <c r="C199" s="31" t="s">
        <v>3</v>
      </c>
      <c r="D199" s="32" t="s">
        <v>2410</v>
      </c>
      <c r="E199" s="32"/>
      <c r="F199" s="32"/>
      <c r="G199" s="32"/>
      <c r="H199" s="33">
        <v>34.04</v>
      </c>
      <c r="I199" s="33">
        <v>74.12</v>
      </c>
      <c r="J199" s="33">
        <v>114.43</v>
      </c>
      <c r="K199" s="33">
        <v>107.92</v>
      </c>
      <c r="L199" s="33">
        <v>44.39</v>
      </c>
      <c r="M199" s="33">
        <v>31.51</v>
      </c>
      <c r="N199" s="33">
        <v>69.92</v>
      </c>
      <c r="O199" s="33">
        <v>115.08</v>
      </c>
      <c r="P199" s="33">
        <v>106.98</v>
      </c>
      <c r="Q199" s="33">
        <v>101.17</v>
      </c>
      <c r="R199" s="33">
        <v>55.95</v>
      </c>
      <c r="S199" s="33">
        <v>51.63</v>
      </c>
      <c r="T199" s="33">
        <v>50.93</v>
      </c>
      <c r="U199" s="33">
        <v>97.69</v>
      </c>
      <c r="V199" s="33">
        <v>105.24</v>
      </c>
      <c r="W199" s="33">
        <v>108.24</v>
      </c>
      <c r="X199" s="33">
        <v>85.98</v>
      </c>
      <c r="Y199" s="33">
        <v>26.85</v>
      </c>
      <c r="Z199" s="33">
        <v>37.73</v>
      </c>
      <c r="AA199" s="33">
        <v>26.85</v>
      </c>
      <c r="AB199" s="33">
        <v>26.85</v>
      </c>
      <c r="AC199" s="33">
        <v>26.87</v>
      </c>
      <c r="AD199" s="33">
        <v>26.87</v>
      </c>
      <c r="AE199" s="33">
        <v>27.51</v>
      </c>
      <c r="AF199" s="33">
        <v>41.94</v>
      </c>
      <c r="AG199" s="33">
        <v>91.18</v>
      </c>
      <c r="AH199" s="33">
        <v>124.27</v>
      </c>
      <c r="AI199" s="32"/>
      <c r="AJ199" s="34">
        <f>SUM(E199:AI199)</f>
      </c>
      <c r="AK199" s="35"/>
    </row>
    <row r="200" ht="12.75" customHeight="1" spans="2:37" x14ac:dyDescent="0.25">
      <c r="B200" s="30" t="s">
        <v>42</v>
      </c>
      <c r="C200" s="31" t="s">
        <v>3</v>
      </c>
      <c r="D200" s="32" t="s">
        <v>2411</v>
      </c>
      <c r="E200" s="32"/>
      <c r="F200" s="32"/>
      <c r="G200" s="32"/>
      <c r="H200" s="33">
        <v>42.96</v>
      </c>
      <c r="I200" s="33">
        <v>55.43</v>
      </c>
      <c r="J200" s="33">
        <v>74.4</v>
      </c>
      <c r="K200" s="33">
        <v>81.02</v>
      </c>
      <c r="L200" s="33">
        <v>67.6</v>
      </c>
      <c r="M200" s="33">
        <v>125.88</v>
      </c>
      <c r="N200" s="33">
        <v>138.39</v>
      </c>
      <c r="O200" s="33">
        <v>148.24</v>
      </c>
      <c r="P200" s="33">
        <v>51.96</v>
      </c>
      <c r="Q200" s="33">
        <v>26.85</v>
      </c>
      <c r="R200" s="33">
        <v>27.72</v>
      </c>
      <c r="S200" s="33">
        <v>59.18</v>
      </c>
      <c r="T200" s="33">
        <v>52.47</v>
      </c>
      <c r="U200" s="33">
        <v>84.18</v>
      </c>
      <c r="V200" s="33">
        <v>66.22</v>
      </c>
      <c r="W200" s="33">
        <v>46.98</v>
      </c>
      <c r="X200" s="33">
        <v>42.84</v>
      </c>
      <c r="Y200" s="33">
        <v>26.85</v>
      </c>
      <c r="Z200" s="33">
        <v>26.85</v>
      </c>
      <c r="AA200" s="33">
        <v>26.85</v>
      </c>
      <c r="AB200" s="33">
        <v>26.85</v>
      </c>
      <c r="AC200" s="33">
        <v>26.87</v>
      </c>
      <c r="AD200" s="33">
        <v>121.61</v>
      </c>
      <c r="AE200" s="33">
        <v>89.2</v>
      </c>
      <c r="AF200" s="33">
        <v>109.46</v>
      </c>
      <c r="AG200" s="33">
        <v>98.67</v>
      </c>
      <c r="AH200" s="33">
        <v>96.91</v>
      </c>
      <c r="AI200" s="32"/>
      <c r="AJ200" s="34">
        <f>SUM(E200:AI200)</f>
      </c>
      <c r="AK200" s="35"/>
    </row>
    <row r="201" ht="12.75" customHeight="1" spans="2:37" x14ac:dyDescent="0.25">
      <c r="B201" s="30" t="s">
        <v>42</v>
      </c>
      <c r="C201" s="31" t="s">
        <v>3</v>
      </c>
      <c r="D201" s="32" t="s">
        <v>2412</v>
      </c>
      <c r="E201" s="32"/>
      <c r="F201" s="32"/>
      <c r="G201" s="32"/>
      <c r="H201" s="33">
        <v>31.86</v>
      </c>
      <c r="I201" s="33">
        <v>75.32</v>
      </c>
      <c r="J201" s="33">
        <v>90.2</v>
      </c>
      <c r="K201" s="33">
        <v>117.78</v>
      </c>
      <c r="L201" s="33">
        <v>43.95</v>
      </c>
      <c r="M201" s="33">
        <v>28.49</v>
      </c>
      <c r="N201" s="33">
        <v>26.85</v>
      </c>
      <c r="O201" s="33">
        <v>26.85</v>
      </c>
      <c r="P201" s="33">
        <v>26.85</v>
      </c>
      <c r="Q201" s="33">
        <v>26.85</v>
      </c>
      <c r="R201" s="33">
        <v>26.85</v>
      </c>
      <c r="S201" s="33">
        <v>26.85</v>
      </c>
      <c r="T201" s="33">
        <v>32.67</v>
      </c>
      <c r="U201" s="33">
        <v>89.39</v>
      </c>
      <c r="V201" s="33">
        <v>61.03</v>
      </c>
      <c r="W201" s="33">
        <v>48.28</v>
      </c>
      <c r="X201" s="33">
        <v>30.41</v>
      </c>
      <c r="Y201" s="33">
        <v>30.84</v>
      </c>
      <c r="Z201" s="33">
        <v>26.85</v>
      </c>
      <c r="AA201" s="33">
        <v>26.85</v>
      </c>
      <c r="AB201" s="33">
        <v>26.85</v>
      </c>
      <c r="AC201" s="33">
        <v>26.87</v>
      </c>
      <c r="AD201" s="33">
        <v>26.87</v>
      </c>
      <c r="AE201" s="33">
        <v>26.87</v>
      </c>
      <c r="AF201" s="33">
        <v>33.67</v>
      </c>
      <c r="AG201" s="33">
        <v>38.35</v>
      </c>
      <c r="AH201" s="33">
        <v>75.21</v>
      </c>
      <c r="AI201" s="32"/>
      <c r="AJ201" s="34">
        <f>SUM(E201:AI201)</f>
      </c>
      <c r="AK201" s="35"/>
    </row>
    <row r="202" ht="12.75" customHeight="1" spans="2:37" x14ac:dyDescent="0.25">
      <c r="B202" s="30" t="s">
        <v>42</v>
      </c>
      <c r="C202" s="31" t="s">
        <v>3</v>
      </c>
      <c r="D202" s="32" t="s">
        <v>2413</v>
      </c>
      <c r="E202" s="32"/>
      <c r="F202" s="32"/>
      <c r="G202" s="32"/>
      <c r="H202" s="33">
        <v>33.19</v>
      </c>
      <c r="I202" s="33">
        <v>67.02</v>
      </c>
      <c r="J202" s="33">
        <v>82.82</v>
      </c>
      <c r="K202" s="33">
        <v>85.51</v>
      </c>
      <c r="L202" s="33">
        <v>51.04</v>
      </c>
      <c r="M202" s="33">
        <v>37.88</v>
      </c>
      <c r="N202" s="33">
        <v>27.7</v>
      </c>
      <c r="O202" s="33">
        <v>31.14</v>
      </c>
      <c r="P202" s="33">
        <v>131.76</v>
      </c>
      <c r="Q202" s="33">
        <v>177.04</v>
      </c>
      <c r="R202" s="33">
        <v>123.89</v>
      </c>
      <c r="S202" s="33">
        <v>110.24</v>
      </c>
      <c r="T202" s="33">
        <v>111.61</v>
      </c>
      <c r="U202" s="33">
        <v>92.63</v>
      </c>
      <c r="V202" s="33">
        <v>97.43</v>
      </c>
      <c r="W202" s="33">
        <v>108.74</v>
      </c>
      <c r="X202" s="33">
        <v>64.94</v>
      </c>
      <c r="Y202" s="33">
        <v>27.96</v>
      </c>
      <c r="Z202" s="33">
        <v>30.62</v>
      </c>
      <c r="AA202" s="33">
        <v>264.17</v>
      </c>
      <c r="AB202" s="33">
        <v>212.79</v>
      </c>
      <c r="AC202" s="33">
        <v>94.27</v>
      </c>
      <c r="AD202" s="33">
        <v>28.09</v>
      </c>
      <c r="AE202" s="33">
        <v>62.77</v>
      </c>
      <c r="AF202" s="33">
        <v>93.4</v>
      </c>
      <c r="AG202" s="33">
        <v>98.02</v>
      </c>
      <c r="AH202" s="33">
        <v>92.96</v>
      </c>
      <c r="AI202" s="32"/>
      <c r="AJ202" s="34">
        <f>SUM(E202:AI202)</f>
      </c>
      <c r="AK202" s="35"/>
    </row>
    <row r="203" ht="12.75" customHeight="1" spans="2:37" x14ac:dyDescent="0.25">
      <c r="B203" s="30" t="s">
        <v>42</v>
      </c>
      <c r="C203" s="31" t="s">
        <v>3</v>
      </c>
      <c r="D203" s="32" t="s">
        <v>2414</v>
      </c>
      <c r="E203" s="32"/>
      <c r="F203" s="32"/>
      <c r="G203" s="32"/>
      <c r="H203" s="33">
        <v>33.53</v>
      </c>
      <c r="I203" s="33">
        <v>32.11</v>
      </c>
      <c r="J203" s="33">
        <v>42.38</v>
      </c>
      <c r="K203" s="33">
        <v>34.94</v>
      </c>
      <c r="L203" s="33">
        <v>32.38</v>
      </c>
      <c r="M203" s="33">
        <v>26.85</v>
      </c>
      <c r="N203" s="33">
        <v>26.85</v>
      </c>
      <c r="O203" s="33">
        <v>26.85</v>
      </c>
      <c r="P203" s="33">
        <v>26.85</v>
      </c>
      <c r="Q203" s="33">
        <v>26.85</v>
      </c>
      <c r="R203" s="33">
        <v>26.85</v>
      </c>
      <c r="S203" s="33">
        <v>27.53</v>
      </c>
      <c r="T203" s="33">
        <v>34.61</v>
      </c>
      <c r="U203" s="33">
        <v>38.67</v>
      </c>
      <c r="V203" s="33">
        <v>54.14</v>
      </c>
      <c r="W203" s="33">
        <v>53.9</v>
      </c>
      <c r="X203" s="33">
        <v>37.27</v>
      </c>
      <c r="Y203" s="33">
        <v>26.85</v>
      </c>
      <c r="Z203" s="33">
        <v>26.85</v>
      </c>
      <c r="AA203" s="33">
        <v>26.85</v>
      </c>
      <c r="AB203" s="33">
        <v>26.85</v>
      </c>
      <c r="AC203" s="33">
        <v>26.87</v>
      </c>
      <c r="AD203" s="33">
        <v>26.87</v>
      </c>
      <c r="AE203" s="33">
        <v>58.51</v>
      </c>
      <c r="AF203" s="33">
        <v>70.21</v>
      </c>
      <c r="AG203" s="33">
        <v>48.62</v>
      </c>
      <c r="AH203" s="33">
        <v>59.02</v>
      </c>
      <c r="AI203" s="32"/>
      <c r="AJ203" s="34">
        <f>SUM(E203:AI203)</f>
      </c>
      <c r="AK203" s="35"/>
    </row>
    <row r="204" ht="12.75" customHeight="1" spans="2:37" x14ac:dyDescent="0.25">
      <c r="B204" s="30" t="s">
        <v>42</v>
      </c>
      <c r="C204" s="31" t="s">
        <v>3</v>
      </c>
      <c r="D204" s="32" t="s">
        <v>2415</v>
      </c>
      <c r="E204" s="32"/>
      <c r="F204" s="32"/>
      <c r="G204" s="32"/>
      <c r="H204" s="33">
        <v>106.9</v>
      </c>
      <c r="I204" s="33">
        <v>102.45</v>
      </c>
      <c r="J204" s="33">
        <v>117.85</v>
      </c>
      <c r="K204" s="33">
        <v>125.01</v>
      </c>
      <c r="L204" s="33">
        <v>137.56</v>
      </c>
      <c r="M204" s="33">
        <v>222.71</v>
      </c>
      <c r="N204" s="33">
        <v>188.47</v>
      </c>
      <c r="O204" s="33">
        <v>205.46</v>
      </c>
      <c r="P204" s="33">
        <v>220.37</v>
      </c>
      <c r="Q204" s="33">
        <v>189.04</v>
      </c>
      <c r="R204" s="33">
        <v>98.36</v>
      </c>
      <c r="S204" s="33">
        <v>121.9</v>
      </c>
      <c r="T204" s="33">
        <v>119.4</v>
      </c>
      <c r="U204" s="33">
        <v>138.14</v>
      </c>
      <c r="V204" s="33">
        <v>125.79</v>
      </c>
      <c r="W204" s="33">
        <v>143.54</v>
      </c>
      <c r="X204" s="33">
        <v>185.81</v>
      </c>
      <c r="Y204" s="33">
        <v>240.83</v>
      </c>
      <c r="Z204" s="33">
        <v>225.84</v>
      </c>
      <c r="AA204" s="33">
        <v>292.84</v>
      </c>
      <c r="AB204" s="33">
        <v>234.92</v>
      </c>
      <c r="AC204" s="33">
        <v>200.87</v>
      </c>
      <c r="AD204" s="33">
        <v>177.19</v>
      </c>
      <c r="AE204" s="33">
        <v>119.26</v>
      </c>
      <c r="AF204" s="33">
        <v>108.03</v>
      </c>
      <c r="AG204" s="33">
        <v>145.23</v>
      </c>
      <c r="AH204" s="33">
        <v>142.54</v>
      </c>
      <c r="AI204" s="32"/>
      <c r="AJ204" s="34">
        <f>SUM(E204:AI204)</f>
      </c>
      <c r="AK204" s="35"/>
    </row>
    <row r="205" ht="12.75" customHeight="1" spans="2:37" x14ac:dyDescent="0.25">
      <c r="B205" s="30" t="s">
        <v>42</v>
      </c>
      <c r="C205" s="31" t="s">
        <v>3</v>
      </c>
      <c r="D205" s="32" t="s">
        <v>2416</v>
      </c>
      <c r="E205" s="32"/>
      <c r="F205" s="32"/>
      <c r="G205" s="32"/>
      <c r="H205" s="33">
        <v>40.85</v>
      </c>
      <c r="I205" s="33">
        <v>101.77</v>
      </c>
      <c r="J205" s="33">
        <v>111.02</v>
      </c>
      <c r="K205" s="33">
        <v>120.13</v>
      </c>
      <c r="L205" s="33">
        <v>103.61</v>
      </c>
      <c r="M205" s="33">
        <v>90.42</v>
      </c>
      <c r="N205" s="33">
        <v>74.82</v>
      </c>
      <c r="O205" s="33">
        <v>82.47</v>
      </c>
      <c r="P205" s="33">
        <v>79.83</v>
      </c>
      <c r="Q205" s="33">
        <v>26.85</v>
      </c>
      <c r="R205" s="33">
        <v>26.85</v>
      </c>
      <c r="S205" s="33">
        <v>26.85</v>
      </c>
      <c r="T205" s="33">
        <v>26.85</v>
      </c>
      <c r="U205" s="33">
        <v>65.47</v>
      </c>
      <c r="V205" s="33">
        <v>94.86</v>
      </c>
      <c r="W205" s="33">
        <v>78.45</v>
      </c>
      <c r="X205" s="33">
        <v>27.59</v>
      </c>
      <c r="Y205" s="33">
        <v>26.85</v>
      </c>
      <c r="Z205" s="33">
        <v>26.85</v>
      </c>
      <c r="AA205" s="33">
        <v>26.85</v>
      </c>
      <c r="AB205" s="33">
        <v>26.85</v>
      </c>
      <c r="AC205" s="33">
        <v>26.87</v>
      </c>
      <c r="AD205" s="33">
        <v>26.87</v>
      </c>
      <c r="AE205" s="33">
        <v>31.83</v>
      </c>
      <c r="AF205" s="33">
        <v>37.27</v>
      </c>
      <c r="AG205" s="33">
        <v>109.21</v>
      </c>
      <c r="AH205" s="33">
        <v>98.48</v>
      </c>
      <c r="AI205" s="32"/>
      <c r="AJ205" s="34">
        <f>SUM(E205:AI205)</f>
      </c>
      <c r="AK205" s="35"/>
    </row>
    <row r="206" ht="12.75" customHeight="1" spans="2:37" x14ac:dyDescent="0.25">
      <c r="B206" s="30" t="s">
        <v>42</v>
      </c>
      <c r="C206" s="31" t="s">
        <v>3</v>
      </c>
      <c r="D206" s="32" t="s">
        <v>2417</v>
      </c>
      <c r="E206" s="32"/>
      <c r="F206" s="32"/>
      <c r="G206" s="32"/>
      <c r="H206" s="33">
        <v>46.75</v>
      </c>
      <c r="I206" s="33">
        <v>228.05</v>
      </c>
      <c r="J206" s="33">
        <v>256.39</v>
      </c>
      <c r="K206" s="33">
        <v>64.96</v>
      </c>
      <c r="L206" s="33">
        <v>60.61</v>
      </c>
      <c r="M206" s="33">
        <v>30.91</v>
      </c>
      <c r="N206" s="33">
        <v>26.85</v>
      </c>
      <c r="O206" s="33">
        <v>26.85</v>
      </c>
      <c r="P206" s="33">
        <v>26.85</v>
      </c>
      <c r="Q206" s="33">
        <v>78.42</v>
      </c>
      <c r="R206" s="33">
        <v>94.97</v>
      </c>
      <c r="S206" s="33">
        <v>79.83</v>
      </c>
      <c r="T206" s="33">
        <v>61.59</v>
      </c>
      <c r="U206" s="33">
        <v>54.91</v>
      </c>
      <c r="V206" s="33">
        <v>58.04</v>
      </c>
      <c r="W206" s="33">
        <v>26.85</v>
      </c>
      <c r="X206" s="33">
        <v>26.85</v>
      </c>
      <c r="Y206" s="33">
        <v>26.85</v>
      </c>
      <c r="Z206" s="33">
        <v>26.85</v>
      </c>
      <c r="AA206" s="33">
        <v>26.85</v>
      </c>
      <c r="AB206" s="33">
        <v>26.85</v>
      </c>
      <c r="AC206" s="33">
        <v>26.87</v>
      </c>
      <c r="AD206" s="33">
        <v>26.87</v>
      </c>
      <c r="AE206" s="33">
        <v>26.87</v>
      </c>
      <c r="AF206" s="33">
        <v>34.09</v>
      </c>
      <c r="AG206" s="33">
        <v>81.82</v>
      </c>
      <c r="AH206" s="33">
        <v>119.01</v>
      </c>
      <c r="AI206" s="32"/>
      <c r="AJ206" s="34">
        <f>SUM(E206:AI206)</f>
      </c>
      <c r="AK206" s="35"/>
    </row>
    <row r="207" ht="12.75" customHeight="1" spans="2:37" x14ac:dyDescent="0.25">
      <c r="B207" s="30" t="s">
        <v>42</v>
      </c>
      <c r="C207" s="31" t="s">
        <v>3</v>
      </c>
      <c r="D207" s="32" t="s">
        <v>2418</v>
      </c>
      <c r="E207" s="32"/>
      <c r="F207" s="32"/>
      <c r="G207" s="32"/>
      <c r="H207" s="33">
        <v>95.97</v>
      </c>
      <c r="I207" s="33">
        <v>107.32</v>
      </c>
      <c r="J207" s="33">
        <v>99.03</v>
      </c>
      <c r="K207" s="33">
        <v>139.36</v>
      </c>
      <c r="L207" s="33">
        <v>130.37</v>
      </c>
      <c r="M207" s="33">
        <v>228.35</v>
      </c>
      <c r="N207" s="33">
        <v>195.25</v>
      </c>
      <c r="O207" s="33">
        <v>190.89</v>
      </c>
      <c r="P207" s="33">
        <v>229.88</v>
      </c>
      <c r="Q207" s="33">
        <v>217.46</v>
      </c>
      <c r="R207" s="33">
        <v>111.54</v>
      </c>
      <c r="S207" s="33">
        <v>105.1</v>
      </c>
      <c r="T207" s="33">
        <v>68.33</v>
      </c>
      <c r="U207" s="33">
        <v>81.72</v>
      </c>
      <c r="V207" s="33">
        <v>131.77</v>
      </c>
      <c r="W207" s="33">
        <v>116.44</v>
      </c>
      <c r="X207" s="33">
        <v>88.98</v>
      </c>
      <c r="Y207" s="33">
        <v>193.84</v>
      </c>
      <c r="Z207" s="33">
        <v>138.14</v>
      </c>
      <c r="AA207" s="33">
        <v>135.4</v>
      </c>
      <c r="AB207" s="33">
        <v>166.11</v>
      </c>
      <c r="AC207" s="33">
        <v>185.55</v>
      </c>
      <c r="AD207" s="33">
        <v>113.94</v>
      </c>
      <c r="AE207" s="33">
        <v>37.88</v>
      </c>
      <c r="AF207" s="33">
        <v>58.36</v>
      </c>
      <c r="AG207" s="33">
        <v>93.81</v>
      </c>
      <c r="AH207" s="33">
        <v>92.16</v>
      </c>
      <c r="AI207" s="32"/>
      <c r="AJ207" s="34">
        <f>SUM(E207:AI207)</f>
      </c>
      <c r="AK207" s="35"/>
    </row>
    <row r="208" ht="12.75" customHeight="1" spans="2:37" x14ac:dyDescent="0.25">
      <c r="B208" s="30" t="s">
        <v>42</v>
      </c>
      <c r="C208" s="31" t="s">
        <v>3</v>
      </c>
      <c r="D208" s="32" t="s">
        <v>2419</v>
      </c>
      <c r="E208" s="32"/>
      <c r="F208" s="32"/>
      <c r="G208" s="32"/>
      <c r="H208" s="33">
        <v>96.91</v>
      </c>
      <c r="I208" s="33">
        <v>111.8</v>
      </c>
      <c r="J208" s="33">
        <v>96.01</v>
      </c>
      <c r="K208" s="33">
        <v>162.31</v>
      </c>
      <c r="L208" s="33">
        <v>135.63</v>
      </c>
      <c r="M208" s="33">
        <v>26.85</v>
      </c>
      <c r="N208" s="33">
        <v>26.85</v>
      </c>
      <c r="O208" s="33">
        <v>26.85</v>
      </c>
      <c r="P208" s="33">
        <v>26.85</v>
      </c>
      <c r="Q208" s="33">
        <v>26.85</v>
      </c>
      <c r="R208" s="33">
        <v>27.49</v>
      </c>
      <c r="S208" s="33">
        <v>144.73</v>
      </c>
      <c r="T208" s="33">
        <v>80.29</v>
      </c>
      <c r="U208" s="33">
        <v>102.25</v>
      </c>
      <c r="V208" s="33">
        <v>121.37</v>
      </c>
      <c r="W208" s="33">
        <v>130.86</v>
      </c>
      <c r="X208" s="33">
        <v>87.95</v>
      </c>
      <c r="Y208" s="33">
        <v>26.85</v>
      </c>
      <c r="Z208" s="33">
        <v>26.85</v>
      </c>
      <c r="AA208" s="33">
        <v>26.85</v>
      </c>
      <c r="AB208" s="33">
        <v>26.85</v>
      </c>
      <c r="AC208" s="33">
        <v>102.1</v>
      </c>
      <c r="AD208" s="33">
        <v>99.22</v>
      </c>
      <c r="AE208" s="33">
        <v>77.23</v>
      </c>
      <c r="AF208" s="33">
        <v>57.55</v>
      </c>
      <c r="AG208" s="33">
        <v>94.08</v>
      </c>
      <c r="AH208" s="33">
        <v>88.89</v>
      </c>
      <c r="AI208" s="32"/>
      <c r="AJ208" s="34">
        <f>SUM(E208:AI208)</f>
      </c>
      <c r="AK208" s="35"/>
    </row>
    <row r="209" ht="12.75" customHeight="1" spans="2:37" x14ac:dyDescent="0.25">
      <c r="B209" s="37"/>
      <c r="C209" s="3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40"/>
    </row>
    <row r="210" ht="12.75" customHeight="1" spans="2:37" x14ac:dyDescent="0.25">
      <c r="B210" s="20" t="s">
        <v>85</v>
      </c>
      <c r="C210" s="21"/>
      <c r="D210" s="21"/>
      <c r="E210" s="22">
        <f>SUM(E14:E208)</f>
      </c>
      <c r="F210" s="22">
        <f>SUM(F14:F208)</f>
      </c>
      <c r="G210" s="22">
        <f>SUM(G14:G208)</f>
      </c>
      <c r="H210" s="22">
        <f>SUM(H14:H208)</f>
      </c>
      <c r="I210" s="22">
        <f>SUM(I14:I208)</f>
      </c>
      <c r="J210" s="22">
        <f>SUM(J14:J208)</f>
      </c>
      <c r="K210" s="22">
        <f>SUM(K14:K208)</f>
      </c>
      <c r="L210" s="22">
        <f>SUM(L14:L208)</f>
      </c>
      <c r="M210" s="22">
        <f>SUM(M14:M208)</f>
      </c>
      <c r="N210" s="22">
        <f>SUM(N14:N208)</f>
      </c>
      <c r="O210" s="22">
        <f>SUM(O14:O208)</f>
      </c>
      <c r="P210" s="22">
        <f>SUM(P14:P208)</f>
      </c>
      <c r="Q210" s="22">
        <f>SUM(Q14:Q208)</f>
      </c>
      <c r="R210" s="22">
        <f>SUM(R14:R208)</f>
      </c>
      <c r="S210" s="22">
        <f>SUM(S14:S208)</f>
      </c>
      <c r="T210" s="22">
        <f>SUM(T14:T208)</f>
      </c>
      <c r="U210" s="22">
        <f>SUM(U14:U208)</f>
      </c>
      <c r="V210" s="22">
        <f>SUM(V14:V208)</f>
      </c>
      <c r="W210" s="22">
        <f>SUM(W14:W208)</f>
      </c>
      <c r="X210" s="22">
        <f>SUM(X14:X208)</f>
      </c>
      <c r="Y210" s="22">
        <f>SUM(Y14:Y208)</f>
      </c>
      <c r="Z210" s="22">
        <f>SUM(Z14:Z208)</f>
      </c>
      <c r="AA210" s="22">
        <f>SUM(AA14:AA208)</f>
      </c>
      <c r="AB210" s="22">
        <f>SUM(AB14:AB208)</f>
      </c>
      <c r="AC210" s="22">
        <f>SUM(AC14:AC208)</f>
      </c>
      <c r="AD210" s="22">
        <f>SUM(AD14:AD208)</f>
      </c>
      <c r="AE210" s="22">
        <f>SUM(AE14:AE208)</f>
      </c>
      <c r="AF210" s="22">
        <f>SUM(AF14:AF208)</f>
      </c>
      <c r="AG210" s="22">
        <f>SUM(AG14:AG208)</f>
      </c>
      <c r="AH210" s="22">
        <f>SUM(AH14:AH208)</f>
      </c>
      <c r="AI210" s="22">
        <f>SUM(AI14:AI208)</f>
      </c>
      <c r="AJ210" s="22">
        <f>SUM(AJ14:AJ208)</f>
      </c>
      <c r="AK210" s="23"/>
    </row>
    <row r="212" ht="12.75" customHeight="1" spans="2:37" x14ac:dyDescent="0.25">
      <c r="B212" s="26" t="s">
        <v>43</v>
      </c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9"/>
    </row>
    <row r="213" ht="12.75" customHeight="1" spans="2:37" x14ac:dyDescent="0.25">
      <c r="B213" s="30" t="s">
        <v>43</v>
      </c>
      <c r="C213" s="31" t="s">
        <v>3</v>
      </c>
      <c r="D213" s="32" t="s">
        <v>2420</v>
      </c>
      <c r="E213" s="32"/>
      <c r="F213" s="32"/>
      <c r="G213" s="32"/>
      <c r="H213" s="32"/>
      <c r="I213" s="36">
        <f>1282.00+1518.13</f>
        <v>2800.13</v>
      </c>
      <c r="J213" s="36">
        <f>1598.40+2031.89</f>
        <v>3630.29</v>
      </c>
      <c r="K213" s="36">
        <f>2060.40+2777.21</f>
        <v>4837.610000000001</v>
      </c>
      <c r="L213" s="36">
        <f>1664.14+2138.63</f>
        <v>3802.7700000000004</v>
      </c>
      <c r="M213" s="36">
        <f>1607.51+2046.68</f>
        <v>3654.19</v>
      </c>
      <c r="N213" s="36">
        <f>1216.01+1398.91</f>
        <v>2614.92</v>
      </c>
      <c r="O213" s="36">
        <f>922.06+912.21</f>
        <v>1834.27</v>
      </c>
      <c r="P213" s="36">
        <f>714.91+603.62</f>
        <v>1318.53</v>
      </c>
      <c r="Q213" s="36">
        <f>809.44+737.02</f>
        <v>1546.46</v>
      </c>
      <c r="R213" s="36">
        <f>841.09+781.68</f>
        <v>1622.77</v>
      </c>
      <c r="S213" s="36">
        <f>1365.53+1631.90</f>
        <v>2997.4300000000003</v>
      </c>
      <c r="T213" s="36">
        <f>1731.32+2225.53</f>
        <v>3956.8500000000004</v>
      </c>
      <c r="U213" s="36">
        <f>1440.33+1753.30</f>
        <v>3193.63</v>
      </c>
      <c r="V213" s="36">
        <f>2136.15+2882.53</f>
        <v>5018.68</v>
      </c>
      <c r="W213" s="36">
        <f>1854.21+2424.97</f>
        <v>4279.18</v>
      </c>
      <c r="X213" s="36">
        <f>1995.89+2649.81+1558.29+1944.73</f>
        <v>8148.719999999999</v>
      </c>
      <c r="Y213" s="32"/>
      <c r="Z213" s="36">
        <f>1027.53+1077.42</f>
        <v>2104.95</v>
      </c>
      <c r="AA213" s="36">
        <f>692.28+557.51</f>
        <v>1249.79</v>
      </c>
      <c r="AB213" s="36">
        <f>1055.52+1117.21</f>
        <v>2172.73</v>
      </c>
      <c r="AC213" s="36">
        <f>793.64+706.63</f>
        <v>1500.27</v>
      </c>
      <c r="AD213" s="36">
        <f>706.49+583.70</f>
        <v>1290.19</v>
      </c>
      <c r="AE213" s="36">
        <f>1239.88+1416.41</f>
        <v>2656.29</v>
      </c>
      <c r="AF213" s="36">
        <f>1607.76+2013.45</f>
        <v>3621.21</v>
      </c>
      <c r="AG213" s="36">
        <f>1470.33+1790.41</f>
        <v>3260.74</v>
      </c>
      <c r="AH213" s="36">
        <f>2240.26+2751.51</f>
        <v>4991.77</v>
      </c>
      <c r="AI213" s="32"/>
      <c r="AJ213" s="34">
        <f>SUM(E213:AI213)</f>
      </c>
      <c r="AK213" s="35"/>
    </row>
    <row r="214" ht="12.75" customHeight="1" spans="2:37" x14ac:dyDescent="0.25">
      <c r="B214" s="37"/>
      <c r="C214" s="3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40"/>
    </row>
    <row r="215" ht="12.75" customHeight="1" spans="2:37" x14ac:dyDescent="0.25">
      <c r="B215" s="20" t="s">
        <v>89</v>
      </c>
      <c r="C215" s="21"/>
      <c r="D215" s="21"/>
      <c r="E215" s="22">
        <f>SUM(E213:E213)</f>
      </c>
      <c r="F215" s="22">
        <f>SUM(F213:F213)</f>
      </c>
      <c r="G215" s="22">
        <f>SUM(G213:G213)</f>
      </c>
      <c r="H215" s="22">
        <f>SUM(H213:H213)</f>
      </c>
      <c r="I215" s="22">
        <f>SUM(I213:I213)</f>
      </c>
      <c r="J215" s="22">
        <f>SUM(J213:J213)</f>
      </c>
      <c r="K215" s="22">
        <f>SUM(K213:K213)</f>
      </c>
      <c r="L215" s="22">
        <f>SUM(L213:L213)</f>
      </c>
      <c r="M215" s="22">
        <f>SUM(M213:M213)</f>
      </c>
      <c r="N215" s="22">
        <f>SUM(N213:N213)</f>
      </c>
      <c r="O215" s="22">
        <f>SUM(O213:O213)</f>
      </c>
      <c r="P215" s="22">
        <f>SUM(P213:P213)</f>
      </c>
      <c r="Q215" s="22">
        <f>SUM(Q213:Q213)</f>
      </c>
      <c r="R215" s="22">
        <f>SUM(R213:R213)</f>
      </c>
      <c r="S215" s="22">
        <f>SUM(S213:S213)</f>
      </c>
      <c r="T215" s="22">
        <f>SUM(T213:T213)</f>
      </c>
      <c r="U215" s="22">
        <f>SUM(U213:U213)</f>
      </c>
      <c r="V215" s="22">
        <f>SUM(V213:V213)</f>
      </c>
      <c r="W215" s="22">
        <f>SUM(W213:W213)</f>
      </c>
      <c r="X215" s="22">
        <f>SUM(X213:X213)</f>
      </c>
      <c r="Y215" s="22">
        <f>SUM(Y213:Y213)</f>
      </c>
      <c r="Z215" s="22">
        <f>SUM(Z213:Z213)</f>
      </c>
      <c r="AA215" s="22">
        <f>SUM(AA213:AA213)</f>
      </c>
      <c r="AB215" s="22">
        <f>SUM(AB213:AB213)</f>
      </c>
      <c r="AC215" s="22">
        <f>SUM(AC213:AC213)</f>
      </c>
      <c r="AD215" s="22">
        <f>SUM(AD213:AD213)</f>
      </c>
      <c r="AE215" s="22">
        <f>SUM(AE213:AE213)</f>
      </c>
      <c r="AF215" s="22">
        <f>SUM(AF213:AF213)</f>
      </c>
      <c r="AG215" s="22">
        <f>SUM(AG213:AG213)</f>
      </c>
      <c r="AH215" s="22">
        <f>SUM(AH213:AH213)</f>
      </c>
      <c r="AI215" s="22">
        <f>SUM(AI213:AI213)</f>
      </c>
      <c r="AJ215" s="22">
        <f>SUM(AJ213:AJ213)</f>
      </c>
      <c r="AK215" s="23"/>
    </row>
    <row r="217" ht="12.75" customHeight="1" spans="2:37" x14ac:dyDescent="0.25">
      <c r="B217" s="26" t="s">
        <v>44</v>
      </c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9"/>
    </row>
    <row r="218" ht="12.75" customHeight="1" spans="2:37" x14ac:dyDescent="0.25">
      <c r="B218" s="37"/>
      <c r="C218" s="3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40"/>
    </row>
    <row r="219" ht="12.75" customHeight="1" spans="2:37" x14ac:dyDescent="0.25">
      <c r="B219" s="20" t="s">
        <v>90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3"/>
    </row>
    <row r="222" ht="12.75" customHeight="1" spans="2:37" x14ac:dyDescent="0.25">
      <c r="B222" s="11" t="s">
        <v>40</v>
      </c>
      <c r="C222" s="12"/>
      <c r="D222" s="13"/>
      <c r="E222" s="14" t="s">
        <v>7</v>
      </c>
      <c r="F222" s="14" t="s">
        <v>8</v>
      </c>
      <c r="G222" s="14" t="s">
        <v>9</v>
      </c>
      <c r="H222" s="14" t="s">
        <v>10</v>
      </c>
      <c r="I222" s="14" t="s">
        <v>11</v>
      </c>
      <c r="J222" s="14" t="s">
        <v>12</v>
      </c>
      <c r="K222" s="14" t="s">
        <v>13</v>
      </c>
      <c r="L222" s="14" t="s">
        <v>14</v>
      </c>
      <c r="M222" s="14" t="s">
        <v>15</v>
      </c>
      <c r="N222" s="14" t="s">
        <v>16</v>
      </c>
      <c r="O222" s="14" t="s">
        <v>17</v>
      </c>
      <c r="P222" s="14" t="s">
        <v>18</v>
      </c>
      <c r="Q222" s="14" t="s">
        <v>19</v>
      </c>
      <c r="R222" s="14" t="s">
        <v>20</v>
      </c>
      <c r="S222" s="14" t="s">
        <v>21</v>
      </c>
      <c r="T222" s="14" t="s">
        <v>22</v>
      </c>
      <c r="U222" s="14" t="s">
        <v>23</v>
      </c>
      <c r="V222" s="14" t="s">
        <v>24</v>
      </c>
      <c r="W222" s="14" t="s">
        <v>25</v>
      </c>
      <c r="X222" s="14" t="s">
        <v>26</v>
      </c>
      <c r="Y222" s="14" t="s">
        <v>27</v>
      </c>
      <c r="Z222" s="14" t="s">
        <v>28</v>
      </c>
      <c r="AA222" s="14" t="s">
        <v>29</v>
      </c>
      <c r="AB222" s="14" t="s">
        <v>30</v>
      </c>
      <c r="AC222" s="14" t="s">
        <v>31</v>
      </c>
      <c r="AD222" s="14" t="s">
        <v>32</v>
      </c>
      <c r="AE222" s="14" t="s">
        <v>33</v>
      </c>
      <c r="AF222" s="14" t="s">
        <v>34</v>
      </c>
      <c r="AG222" s="14" t="s">
        <v>35</v>
      </c>
      <c r="AH222" s="14" t="s">
        <v>36</v>
      </c>
      <c r="AI222" s="14" t="s">
        <v>37</v>
      </c>
      <c r="AJ222" s="14" t="s">
        <v>38</v>
      </c>
      <c r="AK222" s="15"/>
    </row>
    <row r="223" ht="12.75" customHeight="1" spans="2:37" x14ac:dyDescent="0.25">
      <c r="B223" s="16" t="s">
        <v>41</v>
      </c>
      <c r="C223" s="17"/>
      <c r="D223" s="17"/>
      <c r="E223" s="18">
        <f>E11</f>
      </c>
      <c r="F223" s="18">
        <f>F11</f>
      </c>
      <c r="G223" s="18">
        <f>G11</f>
      </c>
      <c r="H223" s="18">
        <f>H11</f>
      </c>
      <c r="I223" s="18">
        <f>I11</f>
      </c>
      <c r="J223" s="18">
        <f>J11</f>
      </c>
      <c r="K223" s="18">
        <f>K11</f>
      </c>
      <c r="L223" s="18">
        <f>L11</f>
      </c>
      <c r="M223" s="18">
        <f>M11</f>
      </c>
      <c r="N223" s="18">
        <f>N11</f>
      </c>
      <c r="O223" s="18">
        <f>O11</f>
      </c>
      <c r="P223" s="18">
        <f>P11</f>
      </c>
      <c r="Q223" s="18">
        <f>Q11</f>
      </c>
      <c r="R223" s="18">
        <f>R11</f>
      </c>
      <c r="S223" s="18">
        <f>S11</f>
      </c>
      <c r="T223" s="18">
        <f>T11</f>
      </c>
      <c r="U223" s="18">
        <f>U11</f>
      </c>
      <c r="V223" s="18">
        <f>V11</f>
      </c>
      <c r="W223" s="18">
        <f>W11</f>
      </c>
      <c r="X223" s="18">
        <f>X11</f>
      </c>
      <c r="Y223" s="18">
        <f>Y11</f>
      </c>
      <c r="Z223" s="18">
        <f>Z11</f>
      </c>
      <c r="AA223" s="18">
        <f>AA11</f>
      </c>
      <c r="AB223" s="18">
        <f>AB11</f>
      </c>
      <c r="AC223" s="18">
        <f>AC11</f>
      </c>
      <c r="AD223" s="18">
        <f>AD11</f>
      </c>
      <c r="AE223" s="18">
        <f>AE11</f>
      </c>
      <c r="AF223" s="18">
        <f>AF11</f>
      </c>
      <c r="AG223" s="18">
        <f>AG11</f>
      </c>
      <c r="AH223" s="18">
        <f>AH11</f>
      </c>
      <c r="AI223" s="18">
        <f>AI11</f>
      </c>
      <c r="AJ223" s="18">
        <f>AJ11</f>
      </c>
      <c r="AK223" s="19"/>
    </row>
    <row r="224" ht="12.75" customHeight="1" spans="2:37" x14ac:dyDescent="0.25">
      <c r="B224" s="16" t="s">
        <v>42</v>
      </c>
      <c r="C224" s="17"/>
      <c r="D224" s="17"/>
      <c r="E224" s="18">
        <f>E210</f>
      </c>
      <c r="F224" s="18">
        <f>F210</f>
      </c>
      <c r="G224" s="18">
        <f>G210</f>
      </c>
      <c r="H224" s="18">
        <f>H210</f>
      </c>
      <c r="I224" s="18">
        <f>I210</f>
      </c>
      <c r="J224" s="18">
        <f>J210</f>
      </c>
      <c r="K224" s="18">
        <f>K210</f>
      </c>
      <c r="L224" s="18">
        <f>L210</f>
      </c>
      <c r="M224" s="18">
        <f>M210</f>
      </c>
      <c r="N224" s="18">
        <f>N210</f>
      </c>
      <c r="O224" s="18">
        <f>O210</f>
      </c>
      <c r="P224" s="18">
        <f>P210</f>
      </c>
      <c r="Q224" s="18">
        <f>Q210</f>
      </c>
      <c r="R224" s="18">
        <f>R210</f>
      </c>
      <c r="S224" s="18">
        <f>S210</f>
      </c>
      <c r="T224" s="18">
        <f>T210</f>
      </c>
      <c r="U224" s="18">
        <f>U210</f>
      </c>
      <c r="V224" s="18">
        <f>V210</f>
      </c>
      <c r="W224" s="18">
        <f>W210</f>
      </c>
      <c r="X224" s="18">
        <f>X210</f>
      </c>
      <c r="Y224" s="18">
        <f>Y210</f>
      </c>
      <c r="Z224" s="18">
        <f>Z210</f>
      </c>
      <c r="AA224" s="18">
        <f>AA210</f>
      </c>
      <c r="AB224" s="18">
        <f>AB210</f>
      </c>
      <c r="AC224" s="18">
        <f>AC210</f>
      </c>
      <c r="AD224" s="18">
        <f>AD210</f>
      </c>
      <c r="AE224" s="18">
        <f>AE210</f>
      </c>
      <c r="AF224" s="18">
        <f>AF210</f>
      </c>
      <c r="AG224" s="18">
        <f>AG210</f>
      </c>
      <c r="AH224" s="18">
        <f>AH210</f>
      </c>
      <c r="AI224" s="18">
        <f>AI210</f>
      </c>
      <c r="AJ224" s="18">
        <f>AJ210</f>
      </c>
      <c r="AK224" s="19"/>
    </row>
    <row r="225" ht="12.75" customHeight="1" spans="2:37" x14ac:dyDescent="0.25">
      <c r="B225" s="16" t="s">
        <v>43</v>
      </c>
      <c r="C225" s="17"/>
      <c r="D225" s="17"/>
      <c r="E225" s="18">
        <f>E215</f>
      </c>
      <c r="F225" s="18">
        <f>F215</f>
      </c>
      <c r="G225" s="18">
        <f>G215</f>
      </c>
      <c r="H225" s="18">
        <f>H215</f>
      </c>
      <c r="I225" s="18">
        <f>I215</f>
      </c>
      <c r="J225" s="18">
        <f>J215</f>
      </c>
      <c r="K225" s="18">
        <f>K215</f>
      </c>
      <c r="L225" s="18">
        <f>L215</f>
      </c>
      <c r="M225" s="18">
        <f>M215</f>
      </c>
      <c r="N225" s="18">
        <f>N215</f>
      </c>
      <c r="O225" s="18">
        <f>O215</f>
      </c>
      <c r="P225" s="18">
        <f>P215</f>
      </c>
      <c r="Q225" s="18">
        <f>Q215</f>
      </c>
      <c r="R225" s="18">
        <f>R215</f>
      </c>
      <c r="S225" s="18">
        <f>S215</f>
      </c>
      <c r="T225" s="18">
        <f>T215</f>
      </c>
      <c r="U225" s="18">
        <f>U215</f>
      </c>
      <c r="V225" s="18">
        <f>V215</f>
      </c>
      <c r="W225" s="18">
        <f>W215</f>
      </c>
      <c r="X225" s="18">
        <f>X215</f>
      </c>
      <c r="Y225" s="18">
        <f>Y215</f>
      </c>
      <c r="Z225" s="18">
        <f>Z215</f>
      </c>
      <c r="AA225" s="18">
        <f>AA215</f>
      </c>
      <c r="AB225" s="18">
        <f>AB215</f>
      </c>
      <c r="AC225" s="18">
        <f>AC215</f>
      </c>
      <c r="AD225" s="18">
        <f>AD215</f>
      </c>
      <c r="AE225" s="18">
        <f>AE215</f>
      </c>
      <c r="AF225" s="18">
        <f>AF215</f>
      </c>
      <c r="AG225" s="18">
        <f>AG215</f>
      </c>
      <c r="AH225" s="18">
        <f>AH215</f>
      </c>
      <c r="AI225" s="18">
        <f>AI215</f>
      </c>
      <c r="AJ225" s="18">
        <f>AJ215</f>
      </c>
      <c r="AK225" s="19"/>
    </row>
    <row r="226" ht="12.75" customHeight="1" spans="2:37" x14ac:dyDescent="0.25">
      <c r="B226" s="16" t="s">
        <v>44</v>
      </c>
      <c r="C226" s="17"/>
      <c r="D226" s="17"/>
      <c r="E226" s="18">
        <f>E219</f>
      </c>
      <c r="F226" s="18">
        <f>F219</f>
      </c>
      <c r="G226" s="18">
        <f>G219</f>
      </c>
      <c r="H226" s="18">
        <f>H219</f>
      </c>
      <c r="I226" s="18">
        <f>I219</f>
      </c>
      <c r="J226" s="18">
        <f>J219</f>
      </c>
      <c r="K226" s="18">
        <f>K219</f>
      </c>
      <c r="L226" s="18">
        <f>L219</f>
      </c>
      <c r="M226" s="18">
        <f>M219</f>
      </c>
      <c r="N226" s="18">
        <f>N219</f>
      </c>
      <c r="O226" s="18">
        <f>O219</f>
      </c>
      <c r="P226" s="18">
        <f>P219</f>
      </c>
      <c r="Q226" s="18">
        <f>Q219</f>
      </c>
      <c r="R226" s="18">
        <f>R219</f>
      </c>
      <c r="S226" s="18">
        <f>S219</f>
      </c>
      <c r="T226" s="18">
        <f>T219</f>
      </c>
      <c r="U226" s="18">
        <f>U219</f>
      </c>
      <c r="V226" s="18">
        <f>V219</f>
      </c>
      <c r="W226" s="18">
        <f>W219</f>
      </c>
      <c r="X226" s="18">
        <f>X219</f>
      </c>
      <c r="Y226" s="18">
        <f>Y219</f>
      </c>
      <c r="Z226" s="18">
        <f>Z219</f>
      </c>
      <c r="AA226" s="18">
        <f>AA219</f>
      </c>
      <c r="AB226" s="18">
        <f>AB219</f>
      </c>
      <c r="AC226" s="18">
        <f>AC219</f>
      </c>
      <c r="AD226" s="18">
        <f>AD219</f>
      </c>
      <c r="AE226" s="18">
        <f>AE219</f>
      </c>
      <c r="AF226" s="18">
        <f>AF219</f>
      </c>
      <c r="AG226" s="18">
        <f>AG219</f>
      </c>
      <c r="AH226" s="18">
        <f>AH219</f>
      </c>
      <c r="AI226" s="18">
        <f>AI219</f>
      </c>
      <c r="AJ226" s="18">
        <f>AJ219</f>
      </c>
      <c r="AK226" s="19"/>
    </row>
    <row r="227" ht="12.75" customHeight="1" spans="2:37" x14ac:dyDescent="0.25">
      <c r="B227" s="20" t="s">
        <v>45</v>
      </c>
      <c r="C227" s="21"/>
      <c r="D227" s="21"/>
      <c r="E227" s="22">
        <f>E223+E224+E225+E226</f>
      </c>
      <c r="F227" s="22">
        <f>F223+F224+F225+F226</f>
      </c>
      <c r="G227" s="22">
        <f>G223+G224+G225+G226</f>
      </c>
      <c r="H227" s="22">
        <f>H223+H224+H225+H226</f>
      </c>
      <c r="I227" s="22">
        <f>I223+I224+I225+I226</f>
      </c>
      <c r="J227" s="22">
        <f>J223+J224+J225+J226</f>
      </c>
      <c r="K227" s="22">
        <f>K223+K224+K225+K226</f>
      </c>
      <c r="L227" s="22">
        <f>L223+L224+L225+L226</f>
      </c>
      <c r="M227" s="22">
        <f>M223+M224+M225+M226</f>
      </c>
      <c r="N227" s="22">
        <f>N223+N224+N225+N226</f>
      </c>
      <c r="O227" s="22">
        <f>O223+O224+O225+O226</f>
      </c>
      <c r="P227" s="22">
        <f>P223+P224+P225+P226</f>
      </c>
      <c r="Q227" s="22">
        <f>Q223+Q224+Q225+Q226</f>
      </c>
      <c r="R227" s="22">
        <f>R223+R224+R225+R226</f>
      </c>
      <c r="S227" s="22">
        <f>S223+S224+S225+S226</f>
      </c>
      <c r="T227" s="22">
        <f>T223+T224+T225+T226</f>
      </c>
      <c r="U227" s="22">
        <f>U223+U224+U225+U226</f>
      </c>
      <c r="V227" s="22">
        <f>V223+V224+V225+V226</f>
      </c>
      <c r="W227" s="22">
        <f>W223+W224+W225+W226</f>
      </c>
      <c r="X227" s="22">
        <f>X223+X224+X225+X226</f>
      </c>
      <c r="Y227" s="22">
        <f>Y223+Y224+Y225+Y226</f>
      </c>
      <c r="Z227" s="22">
        <f>Z223+Z224+Z225+Z226</f>
      </c>
      <c r="AA227" s="22">
        <f>AA223+AA224+AA225+AA226</f>
      </c>
      <c r="AB227" s="22">
        <f>AB223+AB224+AB225+AB226</f>
      </c>
      <c r="AC227" s="22">
        <f>AC223+AC224+AC225+AC226</f>
      </c>
      <c r="AD227" s="22">
        <f>AD223+AD224+AD225+AD226</f>
      </c>
      <c r="AE227" s="22">
        <f>AE223+AE224+AE225+AE226</f>
      </c>
      <c r="AF227" s="22">
        <f>AF223+AF224+AF225+AF226</f>
      </c>
      <c r="AG227" s="22">
        <f>AG223+AG224+AG225+AG226</f>
      </c>
      <c r="AH227" s="22">
        <f>AH223+AH224+AH225+AH226</f>
      </c>
      <c r="AI227" s="22">
        <f>AI223+AI224+AI225+AI226</f>
      </c>
      <c r="AJ227" s="22">
        <f>AJ223+AJ224+AJ225+AJ226</f>
      </c>
      <c r="AK227" s="23"/>
    </row>
    <row r="229" ht="12.75" customHeight="1" spans="2:37" x14ac:dyDescent="0.25">
      <c r="B229" s="11" t="s">
        <v>46</v>
      </c>
      <c r="C229" s="12"/>
      <c r="D229" s="13"/>
      <c r="E229" s="14" t="s">
        <v>7</v>
      </c>
      <c r="F229" s="14" t="s">
        <v>8</v>
      </c>
      <c r="G229" s="14" t="s">
        <v>9</v>
      </c>
      <c r="H229" s="14" t="s">
        <v>10</v>
      </c>
      <c r="I229" s="14" t="s">
        <v>11</v>
      </c>
      <c r="J229" s="14" t="s">
        <v>12</v>
      </c>
      <c r="K229" s="14" t="s">
        <v>13</v>
      </c>
      <c r="L229" s="14" t="s">
        <v>14</v>
      </c>
      <c r="M229" s="14" t="s">
        <v>15</v>
      </c>
      <c r="N229" s="14" t="s">
        <v>16</v>
      </c>
      <c r="O229" s="14" t="s">
        <v>17</v>
      </c>
      <c r="P229" s="14" t="s">
        <v>18</v>
      </c>
      <c r="Q229" s="14" t="s">
        <v>19</v>
      </c>
      <c r="R229" s="14" t="s">
        <v>20</v>
      </c>
      <c r="S229" s="14" t="s">
        <v>21</v>
      </c>
      <c r="T229" s="14" t="s">
        <v>22</v>
      </c>
      <c r="U229" s="14" t="s">
        <v>23</v>
      </c>
      <c r="V229" s="14" t="s">
        <v>24</v>
      </c>
      <c r="W229" s="14" t="s">
        <v>25</v>
      </c>
      <c r="X229" s="14" t="s">
        <v>26</v>
      </c>
      <c r="Y229" s="14" t="s">
        <v>27</v>
      </c>
      <c r="Z229" s="14" t="s">
        <v>28</v>
      </c>
      <c r="AA229" s="14" t="s">
        <v>29</v>
      </c>
      <c r="AB229" s="14" t="s">
        <v>30</v>
      </c>
      <c r="AC229" s="14" t="s">
        <v>31</v>
      </c>
      <c r="AD229" s="14" t="s">
        <v>32</v>
      </c>
      <c r="AE229" s="14" t="s">
        <v>33</v>
      </c>
      <c r="AF229" s="14" t="s">
        <v>34</v>
      </c>
      <c r="AG229" s="14" t="s">
        <v>35</v>
      </c>
      <c r="AH229" s="14" t="s">
        <v>36</v>
      </c>
      <c r="AI229" s="14" t="s">
        <v>37</v>
      </c>
      <c r="AJ229" s="14" t="s">
        <v>38</v>
      </c>
      <c r="AK229" s="15"/>
    </row>
    <row r="230" ht="12.75" customHeight="1" spans="2:37" x14ac:dyDescent="0.25">
      <c r="B230" s="16" t="s">
        <v>41</v>
      </c>
      <c r="C230" s="17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9"/>
    </row>
    <row r="231" ht="12.75" customHeight="1" spans="2:37" x14ac:dyDescent="0.25">
      <c r="B231" s="16" t="s">
        <v>42</v>
      </c>
      <c r="C231" s="17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9"/>
    </row>
    <row r="232" ht="12.75" customHeight="1" spans="2:37" x14ac:dyDescent="0.25">
      <c r="B232" s="16" t="s">
        <v>43</v>
      </c>
      <c r="C232" s="17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9"/>
    </row>
    <row r="233" ht="12.75" customHeight="1" spans="2:37" x14ac:dyDescent="0.25">
      <c r="B233" s="16" t="s">
        <v>44</v>
      </c>
      <c r="C233" s="17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9"/>
    </row>
    <row r="234" ht="12.75" customHeight="1" spans="2:37" x14ac:dyDescent="0.25">
      <c r="B234" s="20" t="s">
        <v>45</v>
      </c>
      <c r="C234" s="21"/>
      <c r="D234" s="21"/>
      <c r="E234" s="22">
        <f>E230+E231+E232+E233</f>
      </c>
      <c r="F234" s="22">
        <f>F230+F231+F232+F233</f>
      </c>
      <c r="G234" s="22">
        <f>G230+G231+G232+G233</f>
      </c>
      <c r="H234" s="22">
        <f>H230+H231+H232+H233</f>
      </c>
      <c r="I234" s="22">
        <f>I230+I231+I232+I233</f>
      </c>
      <c r="J234" s="22">
        <f>J230+J231+J232+J233</f>
      </c>
      <c r="K234" s="22">
        <f>K230+K231+K232+K233</f>
      </c>
      <c r="L234" s="22">
        <f>L230+L231+L232+L233</f>
      </c>
      <c r="M234" s="22">
        <f>M230+M231+M232+M233</f>
      </c>
      <c r="N234" s="22">
        <f>N230+N231+N232+N233</f>
      </c>
      <c r="O234" s="22">
        <f>O230+O231+O232+O233</f>
      </c>
      <c r="P234" s="22">
        <f>P230+P231+P232+P233</f>
      </c>
      <c r="Q234" s="22">
        <f>Q230+Q231+Q232+Q233</f>
      </c>
      <c r="R234" s="22">
        <f>R230+R231+R232+R233</f>
      </c>
      <c r="S234" s="22">
        <f>S230+S231+S232+S233</f>
      </c>
      <c r="T234" s="22">
        <f>T230+T231+T232+T233</f>
      </c>
      <c r="U234" s="22">
        <f>U230+U231+U232+U233</f>
      </c>
      <c r="V234" s="22">
        <f>V230+V231+V232+V233</f>
      </c>
      <c r="W234" s="22">
        <f>W230+W231+W232+W233</f>
      </c>
      <c r="X234" s="22">
        <f>X230+X231+X232+X233</f>
      </c>
      <c r="Y234" s="22">
        <f>Y230+Y231+Y232+Y233</f>
      </c>
      <c r="Z234" s="22">
        <f>Z230+Z231+Z232+Z233</f>
      </c>
      <c r="AA234" s="22">
        <f>AA230+AA231+AA232+AA233</f>
      </c>
      <c r="AB234" s="22">
        <f>AB230+AB231+AB232+AB233</f>
      </c>
      <c r="AC234" s="22">
        <f>AC230+AC231+AC232+AC233</f>
      </c>
      <c r="AD234" s="22">
        <f>AD230+AD231+AD232+AD233</f>
      </c>
      <c r="AE234" s="22">
        <f>AE230+AE231+AE232+AE233</f>
      </c>
      <c r="AF234" s="22">
        <f>AF230+AF231+AF232+AF233</f>
      </c>
      <c r="AG234" s="22">
        <f>AG230+AG231+AG232+AG233</f>
      </c>
      <c r="AH234" s="22">
        <f>AH230+AH231+AH232+AH233</f>
      </c>
      <c r="AI234" s="22">
        <f>AI230+AI231+AI232+AI233</f>
      </c>
      <c r="AJ234" s="22">
        <f>AJ230+AJ231+AJ232+AJ233</f>
      </c>
      <c r="AK234" s="23"/>
    </row>
    <row r="236" ht="12.75" customHeight="1" spans="2:37" x14ac:dyDescent="0.25">
      <c r="B236" s="11" t="s">
        <v>47</v>
      </c>
      <c r="C236" s="12"/>
      <c r="D236" s="13"/>
      <c r="E236" s="14" t="s">
        <v>7</v>
      </c>
      <c r="F236" s="14" t="s">
        <v>8</v>
      </c>
      <c r="G236" s="14" t="s">
        <v>9</v>
      </c>
      <c r="H236" s="14" t="s">
        <v>10</v>
      </c>
      <c r="I236" s="14" t="s">
        <v>11</v>
      </c>
      <c r="J236" s="14" t="s">
        <v>12</v>
      </c>
      <c r="K236" s="14" t="s">
        <v>13</v>
      </c>
      <c r="L236" s="14" t="s">
        <v>14</v>
      </c>
      <c r="M236" s="14" t="s">
        <v>15</v>
      </c>
      <c r="N236" s="14" t="s">
        <v>16</v>
      </c>
      <c r="O236" s="14" t="s">
        <v>17</v>
      </c>
      <c r="P236" s="14" t="s">
        <v>18</v>
      </c>
      <c r="Q236" s="14" t="s">
        <v>19</v>
      </c>
      <c r="R236" s="14" t="s">
        <v>20</v>
      </c>
      <c r="S236" s="14" t="s">
        <v>21</v>
      </c>
      <c r="T236" s="14" t="s">
        <v>22</v>
      </c>
      <c r="U236" s="14" t="s">
        <v>23</v>
      </c>
      <c r="V236" s="14" t="s">
        <v>24</v>
      </c>
      <c r="W236" s="14" t="s">
        <v>25</v>
      </c>
      <c r="X236" s="14" t="s">
        <v>26</v>
      </c>
      <c r="Y236" s="14" t="s">
        <v>27</v>
      </c>
      <c r="Z236" s="14" t="s">
        <v>28</v>
      </c>
      <c r="AA236" s="14" t="s">
        <v>29</v>
      </c>
      <c r="AB236" s="14" t="s">
        <v>30</v>
      </c>
      <c r="AC236" s="14" t="s">
        <v>31</v>
      </c>
      <c r="AD236" s="14" t="s">
        <v>32</v>
      </c>
      <c r="AE236" s="14" t="s">
        <v>33</v>
      </c>
      <c r="AF236" s="14" t="s">
        <v>34</v>
      </c>
      <c r="AG236" s="14" t="s">
        <v>35</v>
      </c>
      <c r="AH236" s="14" t="s">
        <v>36</v>
      </c>
      <c r="AI236" s="14" t="s">
        <v>37</v>
      </c>
      <c r="AJ236" s="14" t="s">
        <v>38</v>
      </c>
      <c r="AK236" s="15"/>
    </row>
    <row r="237" ht="12.75" customHeight="1" spans="2:37" x14ac:dyDescent="0.25">
      <c r="B237" s="16" t="s">
        <v>41</v>
      </c>
      <c r="C237" s="17"/>
      <c r="D237" s="17"/>
      <c r="E237" s="24">
        <f>E230-E223</f>
      </c>
      <c r="F237" s="24">
        <f>F230-F223</f>
      </c>
      <c r="G237" s="24">
        <f>G230-G223</f>
      </c>
      <c r="H237" s="24">
        <f>H230-H223</f>
      </c>
      <c r="I237" s="24">
        <f>I230-I223</f>
      </c>
      <c r="J237" s="24">
        <f>J230-J223</f>
      </c>
      <c r="K237" s="24">
        <f>K230-K223</f>
      </c>
      <c r="L237" s="24">
        <f>L230-L223</f>
      </c>
      <c r="M237" s="24">
        <f>M230-M223</f>
      </c>
      <c r="N237" s="24">
        <f>N230-N223</f>
      </c>
      <c r="O237" s="24">
        <f>O230-O223</f>
      </c>
      <c r="P237" s="24">
        <f>P230-P223</f>
      </c>
      <c r="Q237" s="24">
        <f>Q230-Q223</f>
      </c>
      <c r="R237" s="24">
        <f>R230-R223</f>
      </c>
      <c r="S237" s="24">
        <f>S230-S223</f>
      </c>
      <c r="T237" s="24">
        <f>T230-T223</f>
      </c>
      <c r="U237" s="24">
        <f>U230-U223</f>
      </c>
      <c r="V237" s="24">
        <f>V230-V223</f>
      </c>
      <c r="W237" s="24">
        <f>W230-W223</f>
      </c>
      <c r="X237" s="24">
        <f>X230-X223</f>
      </c>
      <c r="Y237" s="24">
        <f>Y230-Y223</f>
      </c>
      <c r="Z237" s="24">
        <f>Z230-Z223</f>
      </c>
      <c r="AA237" s="24">
        <f>AA230-AA223</f>
      </c>
      <c r="AB237" s="24">
        <f>AB230-AB223</f>
      </c>
      <c r="AC237" s="24">
        <f>AC230-AC223</f>
      </c>
      <c r="AD237" s="24">
        <f>AD230-AD223</f>
      </c>
      <c r="AE237" s="24">
        <f>AE230-AE223</f>
      </c>
      <c r="AF237" s="24">
        <f>AF230-AF223</f>
      </c>
      <c r="AG237" s="24">
        <f>AG230-AG223</f>
      </c>
      <c r="AH237" s="24">
        <f>AH230-AH223</f>
      </c>
      <c r="AI237" s="24">
        <f>AI230-AI223</f>
      </c>
      <c r="AJ237" s="24">
        <f>AJ230-AJ223</f>
      </c>
      <c r="AK237" s="19"/>
    </row>
    <row r="238" ht="12.75" customHeight="1" spans="2:37" x14ac:dyDescent="0.25">
      <c r="B238" s="16" t="s">
        <v>42</v>
      </c>
      <c r="C238" s="17"/>
      <c r="D238" s="17"/>
      <c r="E238" s="24">
        <f>E231-E224</f>
      </c>
      <c r="F238" s="24">
        <f>F231-F224</f>
      </c>
      <c r="G238" s="24">
        <f>G231-G224</f>
      </c>
      <c r="H238" s="24">
        <f>H231-H224</f>
      </c>
      <c r="I238" s="24">
        <f>I231-I224</f>
      </c>
      <c r="J238" s="24">
        <f>J231-J224</f>
      </c>
      <c r="K238" s="24">
        <f>K231-K224</f>
      </c>
      <c r="L238" s="24">
        <f>L231-L224</f>
      </c>
      <c r="M238" s="24">
        <f>M231-M224</f>
      </c>
      <c r="N238" s="24">
        <f>N231-N224</f>
      </c>
      <c r="O238" s="24">
        <f>O231-O224</f>
      </c>
      <c r="P238" s="24">
        <f>P231-P224</f>
      </c>
      <c r="Q238" s="24">
        <f>Q231-Q224</f>
      </c>
      <c r="R238" s="24">
        <f>R231-R224</f>
      </c>
      <c r="S238" s="24">
        <f>S231-S224</f>
      </c>
      <c r="T238" s="24">
        <f>T231-T224</f>
      </c>
      <c r="U238" s="24">
        <f>U231-U224</f>
      </c>
      <c r="V238" s="24">
        <f>V231-V224</f>
      </c>
      <c r="W238" s="24">
        <f>W231-W224</f>
      </c>
      <c r="X238" s="24">
        <f>X231-X224</f>
      </c>
      <c r="Y238" s="24">
        <f>Y231-Y224</f>
      </c>
      <c r="Z238" s="24">
        <f>Z231-Z224</f>
      </c>
      <c r="AA238" s="24">
        <f>AA231-AA224</f>
      </c>
      <c r="AB238" s="24">
        <f>AB231-AB224</f>
      </c>
      <c r="AC238" s="24">
        <f>AC231-AC224</f>
      </c>
      <c r="AD238" s="24">
        <f>AD231-AD224</f>
      </c>
      <c r="AE238" s="24">
        <f>AE231-AE224</f>
      </c>
      <c r="AF238" s="24">
        <f>AF231-AF224</f>
      </c>
      <c r="AG238" s="24">
        <f>AG231-AG224</f>
      </c>
      <c r="AH238" s="24">
        <f>AH231-AH224</f>
      </c>
      <c r="AI238" s="24">
        <f>AI231-AI224</f>
      </c>
      <c r="AJ238" s="24">
        <f>AJ231-AJ224</f>
      </c>
      <c r="AK238" s="19"/>
    </row>
    <row r="239" ht="12.75" customHeight="1" spans="2:37" x14ac:dyDescent="0.25">
      <c r="B239" s="16" t="s">
        <v>43</v>
      </c>
      <c r="C239" s="17"/>
      <c r="D239" s="17"/>
      <c r="E239" s="24">
        <f>E232-E225</f>
      </c>
      <c r="F239" s="24">
        <f>F232-F225</f>
      </c>
      <c r="G239" s="24">
        <f>G232-G225</f>
      </c>
      <c r="H239" s="24">
        <f>H232-H225</f>
      </c>
      <c r="I239" s="24">
        <f>I232-I225</f>
      </c>
      <c r="J239" s="24">
        <f>J232-J225</f>
      </c>
      <c r="K239" s="24">
        <f>K232-K225</f>
      </c>
      <c r="L239" s="24">
        <f>L232-L225</f>
      </c>
      <c r="M239" s="24">
        <f>M232-M225</f>
      </c>
      <c r="N239" s="24">
        <f>N232-N225</f>
      </c>
      <c r="O239" s="24">
        <f>O232-O225</f>
      </c>
      <c r="P239" s="24">
        <f>P232-P225</f>
      </c>
      <c r="Q239" s="24">
        <f>Q232-Q225</f>
      </c>
      <c r="R239" s="24">
        <f>R232-R225</f>
      </c>
      <c r="S239" s="24">
        <f>S232-S225</f>
      </c>
      <c r="T239" s="24">
        <f>T232-T225</f>
      </c>
      <c r="U239" s="24">
        <f>U232-U225</f>
      </c>
      <c r="V239" s="24">
        <f>V232-V225</f>
      </c>
      <c r="W239" s="24">
        <f>W232-W225</f>
      </c>
      <c r="X239" s="24">
        <f>X232-X225</f>
      </c>
      <c r="Y239" s="24">
        <f>Y232-Y225</f>
      </c>
      <c r="Z239" s="24">
        <f>Z232-Z225</f>
      </c>
      <c r="AA239" s="24">
        <f>AA232-AA225</f>
      </c>
      <c r="AB239" s="24">
        <f>AB232-AB225</f>
      </c>
      <c r="AC239" s="24">
        <f>AC232-AC225</f>
      </c>
      <c r="AD239" s="24">
        <f>AD232-AD225</f>
      </c>
      <c r="AE239" s="24">
        <f>AE232-AE225</f>
      </c>
      <c r="AF239" s="24">
        <f>AF232-AF225</f>
      </c>
      <c r="AG239" s="24">
        <f>AG232-AG225</f>
      </c>
      <c r="AH239" s="24">
        <f>AH232-AH225</f>
      </c>
      <c r="AI239" s="24">
        <f>AI232-AI225</f>
      </c>
      <c r="AJ239" s="24">
        <f>AJ232-AJ225</f>
      </c>
      <c r="AK239" s="19"/>
    </row>
    <row r="240" ht="12.75" customHeight="1" spans="2:37" x14ac:dyDescent="0.25">
      <c r="B240" s="16" t="s">
        <v>44</v>
      </c>
      <c r="C240" s="17"/>
      <c r="D240" s="17"/>
      <c r="E240" s="24">
        <f>E233-E226</f>
      </c>
      <c r="F240" s="24">
        <f>F233-F226</f>
      </c>
      <c r="G240" s="24">
        <f>G233-G226</f>
      </c>
      <c r="H240" s="24">
        <f>H233-H226</f>
      </c>
      <c r="I240" s="24">
        <f>I233-I226</f>
      </c>
      <c r="J240" s="24">
        <f>J233-J226</f>
      </c>
      <c r="K240" s="24">
        <f>K233-K226</f>
      </c>
      <c r="L240" s="24">
        <f>L233-L226</f>
      </c>
      <c r="M240" s="24">
        <f>M233-M226</f>
      </c>
      <c r="N240" s="24">
        <f>N233-N226</f>
      </c>
      <c r="O240" s="24">
        <f>O233-O226</f>
      </c>
      <c r="P240" s="24">
        <f>P233-P226</f>
      </c>
      <c r="Q240" s="24">
        <f>Q233-Q226</f>
      </c>
      <c r="R240" s="24">
        <f>R233-R226</f>
      </c>
      <c r="S240" s="24">
        <f>S233-S226</f>
      </c>
      <c r="T240" s="24">
        <f>T233-T226</f>
      </c>
      <c r="U240" s="24">
        <f>U233-U226</f>
      </c>
      <c r="V240" s="24">
        <f>V233-V226</f>
      </c>
      <c r="W240" s="24">
        <f>W233-W226</f>
      </c>
      <c r="X240" s="24">
        <f>X233-X226</f>
      </c>
      <c r="Y240" s="24">
        <f>Y233-Y226</f>
      </c>
      <c r="Z240" s="24">
        <f>Z233-Z226</f>
      </c>
      <c r="AA240" s="24">
        <f>AA233-AA226</f>
      </c>
      <c r="AB240" s="24">
        <f>AB233-AB226</f>
      </c>
      <c r="AC240" s="24">
        <f>AC233-AC226</f>
      </c>
      <c r="AD240" s="24">
        <f>AD233-AD226</f>
      </c>
      <c r="AE240" s="24">
        <f>AE233-AE226</f>
      </c>
      <c r="AF240" s="24">
        <f>AF233-AF226</f>
      </c>
      <c r="AG240" s="24">
        <f>AG233-AG226</f>
      </c>
      <c r="AH240" s="24">
        <f>AH233-AH226</f>
      </c>
      <c r="AI240" s="24">
        <f>AI233-AI226</f>
      </c>
      <c r="AJ240" s="24">
        <f>AJ233-AJ226</f>
      </c>
      <c r="AK240" s="19"/>
    </row>
    <row r="241" ht="12.75" customHeight="1" spans="2:37" x14ac:dyDescent="0.25">
      <c r="B241" s="20" t="s">
        <v>45</v>
      </c>
      <c r="C241" s="21"/>
      <c r="D241" s="21"/>
      <c r="E241" s="25">
        <f>E237+E238+E239+E240</f>
      </c>
      <c r="F241" s="25">
        <f>F237+F238+F239+F240</f>
      </c>
      <c r="G241" s="25">
        <f>G237+G238+G239+G240</f>
      </c>
      <c r="H241" s="25">
        <f>H237+H238+H239+H240</f>
      </c>
      <c r="I241" s="25">
        <f>I237+I238+I239+I240</f>
      </c>
      <c r="J241" s="25">
        <f>J237+J238+J239+J240</f>
      </c>
      <c r="K241" s="25">
        <f>K237+K238+K239+K240</f>
      </c>
      <c r="L241" s="25">
        <f>L237+L238+L239+L240</f>
      </c>
      <c r="M241" s="25">
        <f>M237+M238+M239+M240</f>
      </c>
      <c r="N241" s="25">
        <f>N237+N238+N239+N240</f>
      </c>
      <c r="O241" s="25">
        <f>O237+O238+O239+O240</f>
      </c>
      <c r="P241" s="25">
        <f>P237+P238+P239+P240</f>
      </c>
      <c r="Q241" s="25">
        <f>Q237+Q238+Q239+Q240</f>
      </c>
      <c r="R241" s="25">
        <f>R237+R238+R239+R240</f>
      </c>
      <c r="S241" s="25">
        <f>S237+S238+S239+S240</f>
      </c>
      <c r="T241" s="25">
        <f>T237+T238+T239+T240</f>
      </c>
      <c r="U241" s="25">
        <f>U237+U238+U239+U240</f>
      </c>
      <c r="V241" s="25">
        <f>V237+V238+V239+V240</f>
      </c>
      <c r="W241" s="25">
        <f>W237+W238+W239+W240</f>
      </c>
      <c r="X241" s="25">
        <f>X237+X238+X239+X240</f>
      </c>
      <c r="Y241" s="25">
        <f>Y237+Y238+Y239+Y240</f>
      </c>
      <c r="Z241" s="25">
        <f>Z237+Z238+Z239+Z240</f>
      </c>
      <c r="AA241" s="25">
        <f>AA237+AA238+AA239+AA240</f>
      </c>
      <c r="AB241" s="25">
        <f>AB237+AB238+AB239+AB240</f>
      </c>
      <c r="AC241" s="25">
        <f>AC237+AC238+AC239+AC240</f>
      </c>
      <c r="AD241" s="25">
        <f>AD237+AD238+AD239+AD240</f>
      </c>
      <c r="AE241" s="25">
        <f>AE237+AE238+AE239+AE240</f>
      </c>
      <c r="AF241" s="25">
        <f>AF237+AF238+AF239+AF240</f>
      </c>
      <c r="AG241" s="25">
        <f>AG237+AG238+AG239+AG240</f>
      </c>
      <c r="AH241" s="25">
        <f>AH237+AH238+AH239+AH240</f>
      </c>
      <c r="AI241" s="25">
        <f>AI237+AI238+AI239+AI240</f>
      </c>
      <c r="AJ241" s="25">
        <f>AJ237+AJ238+AJ239+AJ240</f>
      </c>
      <c r="AK241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42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2223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1455</v>
      </c>
      <c r="K8" s="44" t="s">
        <v>2421</v>
      </c>
      <c r="L8" s="44" t="s">
        <v>2422</v>
      </c>
      <c r="M8" s="44" t="s">
        <v>2423</v>
      </c>
      <c r="N8" s="44" t="s">
        <v>2424</v>
      </c>
      <c r="O8" s="44" t="s">
        <v>2425</v>
      </c>
      <c r="P8" s="44" t="s">
        <v>2426</v>
      </c>
      <c r="Q8" s="44" t="s">
        <v>2427</v>
      </c>
      <c r="R8" s="44" t="s">
        <v>2428</v>
      </c>
      <c r="S8" s="44" t="s">
        <v>2429</v>
      </c>
      <c r="T8" s="44" t="s">
        <v>2430</v>
      </c>
      <c r="U8" s="44" t="s">
        <v>2431</v>
      </c>
      <c r="V8" s="44" t="s">
        <v>2432</v>
      </c>
      <c r="W8" s="44" t="s">
        <v>2433</v>
      </c>
      <c r="X8" s="44" t="s">
        <v>2434</v>
      </c>
      <c r="Y8" s="44" t="s">
        <v>2435</v>
      </c>
      <c r="Z8" s="44" t="s">
        <v>2436</v>
      </c>
      <c r="AA8" s="44" t="s">
        <v>1471</v>
      </c>
      <c r="AB8" s="44" t="s">
        <v>2437</v>
      </c>
      <c r="AC8" s="44" t="s">
        <v>2438</v>
      </c>
      <c r="AD8" s="44" t="s">
        <v>2439</v>
      </c>
      <c r="AE8" s="44" t="s">
        <v>2440</v>
      </c>
      <c r="AF8" s="44" t="s">
        <v>2441</v>
      </c>
      <c r="AG8" s="44" t="s">
        <v>2442</v>
      </c>
      <c r="AH8" s="44" t="s">
        <v>2443</v>
      </c>
      <c r="AI8" s="44" t="s">
        <v>2444</v>
      </c>
      <c r="AJ8" s="44" t="s">
        <v>2445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2223</v>
      </c>
      <c r="D10" s="50" t="s">
        <v>41</v>
      </c>
      <c r="E10" s="32" t="s">
        <v>3</v>
      </c>
      <c r="F10" s="32" t="s">
        <v>2224</v>
      </c>
      <c r="G10" s="32"/>
      <c r="H10" s="32"/>
      <c r="I10" s="32"/>
      <c r="J10" s="32"/>
      <c r="K10" s="32"/>
      <c r="L10" s="32"/>
      <c r="M10" s="32"/>
      <c r="N10" s="32"/>
      <c r="O10" s="33">
        <v>0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3">
        <v>889.51</v>
      </c>
      <c r="AC10" s="32"/>
      <c r="AD10" s="32"/>
      <c r="AE10" s="32"/>
      <c r="AF10" s="33">
        <f>1226.61+476.11</f>
        <v>1702.7199999999998</v>
      </c>
      <c r="AG10" s="33">
        <f>916.48+814.01+919.54</f>
        <v>2650.0299999999997</v>
      </c>
      <c r="AH10" s="33">
        <f>105.99+839.54+1036.62+899.19+803.75+159.74+778.90</f>
        <v>4623.73</v>
      </c>
      <c r="AI10" s="33">
        <f>111.98+835.00+901.97+919.79+958.40+1008.01+1113.27</f>
        <v>5848.42</v>
      </c>
      <c r="AJ10" s="33">
        <f>783.27+849.07+841.09+122.02</f>
        <v>2595.4500000000003</v>
      </c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2223</v>
      </c>
      <c r="D15" s="50" t="s">
        <v>42</v>
      </c>
      <c r="E15" s="32" t="s">
        <v>3</v>
      </c>
      <c r="F15" s="32" t="s">
        <v>2225</v>
      </c>
      <c r="G15" s="32"/>
      <c r="H15" s="32"/>
      <c r="I15" s="32"/>
      <c r="J15" s="33">
        <v>127.04</v>
      </c>
      <c r="K15" s="33">
        <v>103.64</v>
      </c>
      <c r="L15" s="33">
        <v>132.74</v>
      </c>
      <c r="M15" s="33">
        <v>137.75</v>
      </c>
      <c r="N15" s="33">
        <v>121.33</v>
      </c>
      <c r="O15" s="33">
        <v>101.17</v>
      </c>
      <c r="P15" s="33">
        <v>87.98</v>
      </c>
      <c r="Q15" s="33">
        <v>67.21</v>
      </c>
      <c r="R15" s="33">
        <v>68.06</v>
      </c>
      <c r="S15" s="33">
        <v>33.98</v>
      </c>
      <c r="T15" s="33">
        <v>34.7</v>
      </c>
      <c r="U15" s="33">
        <v>35.4</v>
      </c>
      <c r="V15" s="33">
        <v>110.3</v>
      </c>
      <c r="W15" s="33">
        <v>103.93</v>
      </c>
      <c r="X15" s="33">
        <v>132.29</v>
      </c>
      <c r="Y15" s="33">
        <v>139.32</v>
      </c>
      <c r="Z15" s="33">
        <v>160.66</v>
      </c>
      <c r="AA15" s="33">
        <v>26.85</v>
      </c>
      <c r="AB15" s="33">
        <v>26.85</v>
      </c>
      <c r="AC15" s="33">
        <v>26.85</v>
      </c>
      <c r="AD15" s="33">
        <v>26.85</v>
      </c>
      <c r="AE15" s="33">
        <v>26.87</v>
      </c>
      <c r="AF15" s="33">
        <v>27.29</v>
      </c>
      <c r="AG15" s="33">
        <v>114.86</v>
      </c>
      <c r="AH15" s="33">
        <v>115.94</v>
      </c>
      <c r="AI15" s="33">
        <v>103.42</v>
      </c>
      <c r="AJ15" s="33">
        <v>93.63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2223</v>
      </c>
      <c r="D16" s="50" t="s">
        <v>42</v>
      </c>
      <c r="E16" s="32" t="s">
        <v>3</v>
      </c>
      <c r="F16" s="32" t="s">
        <v>2226</v>
      </c>
      <c r="G16" s="32"/>
      <c r="H16" s="32"/>
      <c r="I16" s="32"/>
      <c r="J16" s="33">
        <v>76.35</v>
      </c>
      <c r="K16" s="33">
        <v>54.91</v>
      </c>
      <c r="L16" s="33">
        <v>117.07</v>
      </c>
      <c r="M16" s="33">
        <v>83</v>
      </c>
      <c r="N16" s="33">
        <v>85.08</v>
      </c>
      <c r="O16" s="33">
        <v>36.84</v>
      </c>
      <c r="P16" s="33">
        <v>31.51</v>
      </c>
      <c r="Q16" s="33">
        <v>28.41</v>
      </c>
      <c r="R16" s="33">
        <v>68.64</v>
      </c>
      <c r="S16" s="33">
        <v>101.52</v>
      </c>
      <c r="T16" s="33">
        <v>84.03</v>
      </c>
      <c r="U16" s="33">
        <v>68.06</v>
      </c>
      <c r="V16" s="33">
        <v>51.44</v>
      </c>
      <c r="W16" s="33">
        <v>107.86</v>
      </c>
      <c r="X16" s="33">
        <v>96.4</v>
      </c>
      <c r="Y16" s="33">
        <v>85.98</v>
      </c>
      <c r="Z16" s="33">
        <v>128.79</v>
      </c>
      <c r="AA16" s="33">
        <v>28.76</v>
      </c>
      <c r="AB16" s="33">
        <v>26.85</v>
      </c>
      <c r="AC16" s="33">
        <v>60.39</v>
      </c>
      <c r="AD16" s="33">
        <v>26.85</v>
      </c>
      <c r="AE16" s="33">
        <v>26.87</v>
      </c>
      <c r="AF16" s="33">
        <v>26.87</v>
      </c>
      <c r="AG16" s="33">
        <v>71.25</v>
      </c>
      <c r="AH16" s="33">
        <v>81.82</v>
      </c>
      <c r="AI16" s="33">
        <v>129.66</v>
      </c>
      <c r="AJ16" s="33">
        <v>112.95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2223</v>
      </c>
      <c r="D17" s="50" t="s">
        <v>42</v>
      </c>
      <c r="E17" s="32" t="s">
        <v>3</v>
      </c>
      <c r="F17" s="32" t="s">
        <v>2227</v>
      </c>
      <c r="G17" s="32"/>
      <c r="H17" s="32"/>
      <c r="I17" s="32"/>
      <c r="J17" s="33">
        <v>26.85</v>
      </c>
      <c r="K17" s="33">
        <v>26.85</v>
      </c>
      <c r="L17" s="33">
        <v>26.85</v>
      </c>
      <c r="M17" s="33">
        <v>26.85</v>
      </c>
      <c r="N17" s="33">
        <v>26.85</v>
      </c>
      <c r="O17" s="33">
        <v>26.85</v>
      </c>
      <c r="P17" s="33">
        <v>26.85</v>
      </c>
      <c r="Q17" s="33">
        <v>26.85</v>
      </c>
      <c r="R17" s="33">
        <v>26.85</v>
      </c>
      <c r="S17" s="33">
        <v>26.85</v>
      </c>
      <c r="T17" s="33">
        <v>26.85</v>
      </c>
      <c r="U17" s="33">
        <v>26.85</v>
      </c>
      <c r="V17" s="33">
        <v>26.85</v>
      </c>
      <c r="W17" s="33">
        <v>26.85</v>
      </c>
      <c r="X17" s="33">
        <v>26.85</v>
      </c>
      <c r="Y17" s="33">
        <v>26.85</v>
      </c>
      <c r="Z17" s="33">
        <v>26.85</v>
      </c>
      <c r="AA17" s="33">
        <v>26.85</v>
      </c>
      <c r="AB17" s="33">
        <v>26.85</v>
      </c>
      <c r="AC17" s="33">
        <v>26.85</v>
      </c>
      <c r="AD17" s="33">
        <v>26.85</v>
      </c>
      <c r="AE17" s="33">
        <v>26.87</v>
      </c>
      <c r="AF17" s="33">
        <v>26.87</v>
      </c>
      <c r="AG17" s="33">
        <v>26.87</v>
      </c>
      <c r="AH17" s="33">
        <v>32.25</v>
      </c>
      <c r="AI17" s="33">
        <v>32.25</v>
      </c>
      <c r="AJ17" s="33">
        <v>32.19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2223</v>
      </c>
      <c r="D18" s="50" t="s">
        <v>42</v>
      </c>
      <c r="E18" s="32" t="s">
        <v>3</v>
      </c>
      <c r="F18" s="32" t="s">
        <v>2228</v>
      </c>
      <c r="G18" s="32"/>
      <c r="H18" s="32"/>
      <c r="I18" s="32"/>
      <c r="J18" s="33">
        <v>47.69</v>
      </c>
      <c r="K18" s="33">
        <v>67.8</v>
      </c>
      <c r="L18" s="33">
        <v>81.76</v>
      </c>
      <c r="M18" s="33">
        <v>105.7</v>
      </c>
      <c r="N18" s="33">
        <v>103.72</v>
      </c>
      <c r="O18" s="33">
        <v>51.17</v>
      </c>
      <c r="P18" s="33">
        <v>45.22</v>
      </c>
      <c r="Q18" s="33">
        <v>64.91</v>
      </c>
      <c r="R18" s="33">
        <v>51.76</v>
      </c>
      <c r="S18" s="33">
        <v>44.76</v>
      </c>
      <c r="T18" s="33">
        <v>36.94</v>
      </c>
      <c r="U18" s="33">
        <v>94.52</v>
      </c>
      <c r="V18" s="33">
        <v>43.13</v>
      </c>
      <c r="W18" s="33">
        <v>76.11</v>
      </c>
      <c r="X18" s="33">
        <v>90.95</v>
      </c>
      <c r="Y18" s="33">
        <v>96.4</v>
      </c>
      <c r="Z18" s="33">
        <v>104.21</v>
      </c>
      <c r="AA18" s="33">
        <v>49.32</v>
      </c>
      <c r="AB18" s="33">
        <v>47.37</v>
      </c>
      <c r="AC18" s="33">
        <v>61.69</v>
      </c>
      <c r="AD18" s="33">
        <v>54.79</v>
      </c>
      <c r="AE18" s="33">
        <v>45.09</v>
      </c>
      <c r="AF18" s="33">
        <v>44.55</v>
      </c>
      <c r="AG18" s="33">
        <v>81.51</v>
      </c>
      <c r="AH18" s="33">
        <v>49.26</v>
      </c>
      <c r="AI18" s="33">
        <v>81.55</v>
      </c>
      <c r="AJ18" s="33">
        <v>87.16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2223</v>
      </c>
      <c r="D19" s="50" t="s">
        <v>42</v>
      </c>
      <c r="E19" s="32" t="s">
        <v>3</v>
      </c>
      <c r="F19" s="32" t="s">
        <v>2229</v>
      </c>
      <c r="G19" s="32"/>
      <c r="H19" s="32"/>
      <c r="I19" s="32"/>
      <c r="J19" s="33">
        <v>87.02</v>
      </c>
      <c r="K19" s="33">
        <v>93.63</v>
      </c>
      <c r="L19" s="33">
        <v>109.42</v>
      </c>
      <c r="M19" s="33">
        <v>77.42</v>
      </c>
      <c r="N19" s="33">
        <v>85.08</v>
      </c>
      <c r="O19" s="33">
        <v>111.54</v>
      </c>
      <c r="P19" s="33">
        <v>26.85</v>
      </c>
      <c r="Q19" s="33">
        <v>26.85</v>
      </c>
      <c r="R19" s="33">
        <v>26.85</v>
      </c>
      <c r="S19" s="33">
        <v>26.85</v>
      </c>
      <c r="T19" s="33">
        <v>45.33</v>
      </c>
      <c r="U19" s="33">
        <v>33.87</v>
      </c>
      <c r="V19" s="33">
        <v>26.85</v>
      </c>
      <c r="W19" s="33">
        <v>35.87</v>
      </c>
      <c r="X19" s="33">
        <v>118.64</v>
      </c>
      <c r="Y19" s="33">
        <v>93.52</v>
      </c>
      <c r="Z19" s="33">
        <v>127.07</v>
      </c>
      <c r="AA19" s="33">
        <v>186.73</v>
      </c>
      <c r="AB19" s="33">
        <v>167.03</v>
      </c>
      <c r="AC19" s="33">
        <v>158.99</v>
      </c>
      <c r="AD19" s="33">
        <v>93.16</v>
      </c>
      <c r="AE19" s="33">
        <v>81.39</v>
      </c>
      <c r="AF19" s="33">
        <v>72.29</v>
      </c>
      <c r="AG19" s="33">
        <v>134.22</v>
      </c>
      <c r="AH19" s="33">
        <v>137.15</v>
      </c>
      <c r="AI19" s="33">
        <v>111.05</v>
      </c>
      <c r="AJ19" s="33">
        <v>136.89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2223</v>
      </c>
      <c r="D20" s="50" t="s">
        <v>42</v>
      </c>
      <c r="E20" s="32" t="s">
        <v>3</v>
      </c>
      <c r="F20" s="32" t="s">
        <v>2230</v>
      </c>
      <c r="G20" s="32"/>
      <c r="H20" s="32"/>
      <c r="I20" s="32"/>
      <c r="J20" s="33">
        <v>94.93</v>
      </c>
      <c r="K20" s="33">
        <v>109.17</v>
      </c>
      <c r="L20" s="33">
        <v>111.67</v>
      </c>
      <c r="M20" s="33">
        <v>123.62</v>
      </c>
      <c r="N20" s="33">
        <v>125.74</v>
      </c>
      <c r="O20" s="33">
        <v>168.89</v>
      </c>
      <c r="P20" s="33">
        <v>126.57</v>
      </c>
      <c r="Q20" s="33">
        <v>26.85</v>
      </c>
      <c r="R20" s="33">
        <v>26.85</v>
      </c>
      <c r="S20" s="33">
        <v>26.85</v>
      </c>
      <c r="T20" s="33">
        <v>26.85</v>
      </c>
      <c r="U20" s="33">
        <v>57.79</v>
      </c>
      <c r="V20" s="33">
        <v>107.18</v>
      </c>
      <c r="W20" s="33">
        <v>87.69</v>
      </c>
      <c r="X20" s="33">
        <v>116.93</v>
      </c>
      <c r="Y20" s="33">
        <v>30.08</v>
      </c>
      <c r="Z20" s="33">
        <v>26.85</v>
      </c>
      <c r="AA20" s="33">
        <v>26.85</v>
      </c>
      <c r="AB20" s="33">
        <v>26.85</v>
      </c>
      <c r="AC20" s="33">
        <v>26.85</v>
      </c>
      <c r="AD20" s="33">
        <v>26.85</v>
      </c>
      <c r="AE20" s="33">
        <v>26.87</v>
      </c>
      <c r="AF20" s="33">
        <v>26.87</v>
      </c>
      <c r="AG20" s="33">
        <v>26.87</v>
      </c>
      <c r="AH20" s="33">
        <v>35.56</v>
      </c>
      <c r="AI20" s="33">
        <v>39.9</v>
      </c>
      <c r="AJ20" s="33">
        <v>34.55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2223</v>
      </c>
      <c r="D21" s="50" t="s">
        <v>42</v>
      </c>
      <c r="E21" s="32" t="s">
        <v>3</v>
      </c>
      <c r="F21" s="32" t="s">
        <v>2231</v>
      </c>
      <c r="G21" s="32"/>
      <c r="H21" s="32"/>
      <c r="I21" s="32"/>
      <c r="J21" s="33">
        <v>93.62</v>
      </c>
      <c r="K21" s="33">
        <v>83.86</v>
      </c>
      <c r="L21" s="33">
        <v>91.12</v>
      </c>
      <c r="M21" s="33">
        <v>101.83</v>
      </c>
      <c r="N21" s="33">
        <v>53.62</v>
      </c>
      <c r="O21" s="33">
        <v>26.85</v>
      </c>
      <c r="P21" s="33">
        <v>77.17</v>
      </c>
      <c r="Q21" s="33">
        <v>26.85</v>
      </c>
      <c r="R21" s="33">
        <v>26.85</v>
      </c>
      <c r="S21" s="33">
        <v>26.85</v>
      </c>
      <c r="T21" s="33">
        <v>28.29</v>
      </c>
      <c r="U21" s="33">
        <v>76.57</v>
      </c>
      <c r="V21" s="33">
        <v>114.71</v>
      </c>
      <c r="W21" s="33">
        <v>121.37</v>
      </c>
      <c r="X21" s="33">
        <v>102.39</v>
      </c>
      <c r="Y21" s="33">
        <v>121.24</v>
      </c>
      <c r="Z21" s="33">
        <v>49.46</v>
      </c>
      <c r="AA21" s="33">
        <v>26.85</v>
      </c>
      <c r="AB21" s="33">
        <v>26.85</v>
      </c>
      <c r="AC21" s="33">
        <v>26.85</v>
      </c>
      <c r="AD21" s="33">
        <v>29.22</v>
      </c>
      <c r="AE21" s="33">
        <v>38.7</v>
      </c>
      <c r="AF21" s="33">
        <v>26.87</v>
      </c>
      <c r="AG21" s="33">
        <v>66.29</v>
      </c>
      <c r="AH21" s="33">
        <v>125.83</v>
      </c>
      <c r="AI21" s="33">
        <v>125.42</v>
      </c>
      <c r="AJ21" s="33">
        <v>114.41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2223</v>
      </c>
      <c r="D22" s="50" t="s">
        <v>42</v>
      </c>
      <c r="E22" s="32" t="s">
        <v>3</v>
      </c>
      <c r="F22" s="32" t="s">
        <v>2232</v>
      </c>
      <c r="G22" s="32"/>
      <c r="H22" s="32"/>
      <c r="I22" s="32"/>
      <c r="J22" s="33">
        <v>92.69</v>
      </c>
      <c r="K22" s="33">
        <v>96.01</v>
      </c>
      <c r="L22" s="33">
        <v>116.53</v>
      </c>
      <c r="M22" s="33">
        <v>100.95</v>
      </c>
      <c r="N22" s="33">
        <v>101.17</v>
      </c>
      <c r="O22" s="33">
        <v>26.85</v>
      </c>
      <c r="P22" s="33">
        <v>26.85</v>
      </c>
      <c r="Q22" s="33">
        <v>61.69</v>
      </c>
      <c r="R22" s="33">
        <v>78.21</v>
      </c>
      <c r="S22" s="33">
        <v>26.85</v>
      </c>
      <c r="T22" s="33">
        <v>27.64</v>
      </c>
      <c r="U22" s="33">
        <v>114.09</v>
      </c>
      <c r="V22" s="33">
        <v>105.9</v>
      </c>
      <c r="W22" s="33">
        <v>128.13</v>
      </c>
      <c r="X22" s="33">
        <v>100.56</v>
      </c>
      <c r="Y22" s="33">
        <v>112.65</v>
      </c>
      <c r="Z22" s="33">
        <v>122.27</v>
      </c>
      <c r="AA22" s="33">
        <v>46.34</v>
      </c>
      <c r="AB22" s="33">
        <v>50.24</v>
      </c>
      <c r="AC22" s="33">
        <v>39.43</v>
      </c>
      <c r="AD22" s="33">
        <v>32.2</v>
      </c>
      <c r="AE22" s="33">
        <v>26.87</v>
      </c>
      <c r="AF22" s="33">
        <v>29.35</v>
      </c>
      <c r="AG22" s="33">
        <v>113.81</v>
      </c>
      <c r="AH22" s="33">
        <v>120.55</v>
      </c>
      <c r="AI22" s="33">
        <v>128.97</v>
      </c>
      <c r="AJ22" s="33">
        <v>134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2223</v>
      </c>
      <c r="D23" s="50" t="s">
        <v>42</v>
      </c>
      <c r="E23" s="32" t="s">
        <v>3</v>
      </c>
      <c r="F23" s="32" t="s">
        <v>2233</v>
      </c>
      <c r="G23" s="32"/>
      <c r="H23" s="32"/>
      <c r="I23" s="32"/>
      <c r="J23" s="33">
        <v>26.85</v>
      </c>
      <c r="K23" s="33">
        <v>55.96</v>
      </c>
      <c r="L23" s="33">
        <v>66.62</v>
      </c>
      <c r="M23" s="33">
        <v>91.25</v>
      </c>
      <c r="N23" s="33">
        <v>29.96</v>
      </c>
      <c r="O23" s="33">
        <v>26.85</v>
      </c>
      <c r="P23" s="33">
        <v>26.85</v>
      </c>
      <c r="Q23" s="33">
        <v>26.85</v>
      </c>
      <c r="R23" s="33">
        <v>26.85</v>
      </c>
      <c r="S23" s="33">
        <v>26.85</v>
      </c>
      <c r="T23" s="33">
        <v>26.85</v>
      </c>
      <c r="U23" s="33">
        <v>26.85</v>
      </c>
      <c r="V23" s="33">
        <v>61.84</v>
      </c>
      <c r="W23" s="33">
        <v>126.06</v>
      </c>
      <c r="X23" s="33">
        <v>146.27</v>
      </c>
      <c r="Y23" s="33">
        <v>170.82</v>
      </c>
      <c r="Z23" s="33">
        <v>115.51</v>
      </c>
      <c r="AA23" s="33">
        <v>127.35</v>
      </c>
      <c r="AB23" s="33">
        <v>100.83</v>
      </c>
      <c r="AC23" s="33">
        <v>26.85</v>
      </c>
      <c r="AD23" s="33">
        <v>26.85</v>
      </c>
      <c r="AE23" s="33">
        <v>26.87</v>
      </c>
      <c r="AF23" s="33">
        <v>26.87</v>
      </c>
      <c r="AG23" s="33">
        <v>32.9</v>
      </c>
      <c r="AH23" s="33">
        <v>42.49</v>
      </c>
      <c r="AI23" s="33">
        <v>74.18</v>
      </c>
      <c r="AJ23" s="33">
        <v>75.86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2223</v>
      </c>
      <c r="D24" s="50" t="s">
        <v>42</v>
      </c>
      <c r="E24" s="32" t="s">
        <v>3</v>
      </c>
      <c r="F24" s="32" t="s">
        <v>2234</v>
      </c>
      <c r="G24" s="32"/>
      <c r="H24" s="32"/>
      <c r="I24" s="32"/>
      <c r="J24" s="33">
        <v>78.75</v>
      </c>
      <c r="K24" s="33">
        <v>71.1</v>
      </c>
      <c r="L24" s="33">
        <v>80.05</v>
      </c>
      <c r="M24" s="33">
        <v>100.71</v>
      </c>
      <c r="N24" s="33">
        <v>62.81</v>
      </c>
      <c r="O24" s="33">
        <v>55.81</v>
      </c>
      <c r="P24" s="33">
        <v>232.25</v>
      </c>
      <c r="Q24" s="33">
        <v>158.85</v>
      </c>
      <c r="R24" s="33">
        <v>206.03</v>
      </c>
      <c r="S24" s="33">
        <v>252.51</v>
      </c>
      <c r="T24" s="33">
        <v>59.08</v>
      </c>
      <c r="U24" s="33">
        <v>27.16</v>
      </c>
      <c r="V24" s="33">
        <v>62.61</v>
      </c>
      <c r="W24" s="33">
        <v>95.22</v>
      </c>
      <c r="X24" s="33">
        <v>68.95</v>
      </c>
      <c r="Y24" s="33">
        <v>80.27</v>
      </c>
      <c r="Z24" s="33">
        <v>41.52</v>
      </c>
      <c r="AA24" s="33">
        <v>26.85</v>
      </c>
      <c r="AB24" s="33">
        <v>39.43</v>
      </c>
      <c r="AC24" s="33">
        <v>51.28</v>
      </c>
      <c r="AD24" s="33">
        <v>35.08</v>
      </c>
      <c r="AE24" s="33">
        <v>26.87</v>
      </c>
      <c r="AF24" s="33">
        <v>26.87</v>
      </c>
      <c r="AG24" s="33">
        <v>27.25</v>
      </c>
      <c r="AH24" s="33">
        <v>76.67</v>
      </c>
      <c r="AI24" s="33">
        <v>94.21</v>
      </c>
      <c r="AJ24" s="33">
        <v>88.09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2223</v>
      </c>
      <c r="D25" s="50" t="s">
        <v>42</v>
      </c>
      <c r="E25" s="32" t="s">
        <v>3</v>
      </c>
      <c r="F25" s="32" t="s">
        <v>2235</v>
      </c>
      <c r="G25" s="32"/>
      <c r="H25" s="32"/>
      <c r="I25" s="32"/>
      <c r="J25" s="33">
        <v>50.57</v>
      </c>
      <c r="K25" s="33">
        <v>36.39</v>
      </c>
      <c r="L25" s="33">
        <v>43.45</v>
      </c>
      <c r="M25" s="33">
        <v>57.6</v>
      </c>
      <c r="N25" s="33">
        <v>110.24</v>
      </c>
      <c r="O25" s="33">
        <v>26.85</v>
      </c>
      <c r="P25" s="33">
        <v>29.63</v>
      </c>
      <c r="Q25" s="33">
        <v>26.85</v>
      </c>
      <c r="R25" s="33">
        <v>26.85</v>
      </c>
      <c r="S25" s="33">
        <v>26.85</v>
      </c>
      <c r="T25" s="33">
        <v>30.73</v>
      </c>
      <c r="U25" s="33">
        <v>67.01</v>
      </c>
      <c r="V25" s="33">
        <v>60.29</v>
      </c>
      <c r="W25" s="33">
        <v>36.08</v>
      </c>
      <c r="X25" s="33">
        <v>54.4</v>
      </c>
      <c r="Y25" s="33">
        <v>69.5</v>
      </c>
      <c r="Z25" s="33">
        <v>26.85</v>
      </c>
      <c r="AA25" s="33">
        <v>29.83</v>
      </c>
      <c r="AB25" s="33">
        <v>26.85</v>
      </c>
      <c r="AC25" s="33">
        <v>26.85</v>
      </c>
      <c r="AD25" s="33">
        <v>32.8</v>
      </c>
      <c r="AE25" s="33">
        <v>42.1</v>
      </c>
      <c r="AF25" s="33">
        <v>26.87</v>
      </c>
      <c r="AG25" s="33">
        <v>79.96</v>
      </c>
      <c r="AH25" s="33">
        <v>76.01</v>
      </c>
      <c r="AI25" s="33">
        <v>43.64</v>
      </c>
      <c r="AJ25" s="33">
        <v>74.29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2223</v>
      </c>
      <c r="D26" s="50" t="s">
        <v>42</v>
      </c>
      <c r="E26" s="32" t="s">
        <v>3</v>
      </c>
      <c r="F26" s="32" t="s">
        <v>2236</v>
      </c>
      <c r="G26" s="32"/>
      <c r="H26" s="32"/>
      <c r="I26" s="32"/>
      <c r="J26" s="33">
        <v>138.99</v>
      </c>
      <c r="K26" s="33">
        <v>131.55</v>
      </c>
      <c r="L26" s="33">
        <v>127.59</v>
      </c>
      <c r="M26" s="33">
        <v>137.47</v>
      </c>
      <c r="N26" s="33">
        <v>136.73</v>
      </c>
      <c r="O26" s="33">
        <v>26.85</v>
      </c>
      <c r="P26" s="33">
        <v>27.21</v>
      </c>
      <c r="Q26" s="33">
        <v>26.85</v>
      </c>
      <c r="R26" s="33">
        <v>26.97</v>
      </c>
      <c r="S26" s="33">
        <v>26.92</v>
      </c>
      <c r="T26" s="33">
        <v>74.57</v>
      </c>
      <c r="U26" s="33">
        <v>176.76</v>
      </c>
      <c r="V26" s="33">
        <v>150.04</v>
      </c>
      <c r="W26" s="33">
        <v>175.68</v>
      </c>
      <c r="X26" s="33">
        <v>147.16</v>
      </c>
      <c r="Y26" s="33">
        <v>159.76</v>
      </c>
      <c r="Z26" s="33">
        <v>196.14</v>
      </c>
      <c r="AA26" s="33">
        <v>34.55</v>
      </c>
      <c r="AB26" s="33">
        <v>27.48</v>
      </c>
      <c r="AC26" s="33">
        <v>27.55</v>
      </c>
      <c r="AD26" s="33">
        <v>27.48</v>
      </c>
      <c r="AE26" s="33">
        <v>27.39</v>
      </c>
      <c r="AF26" s="33">
        <v>68.64</v>
      </c>
      <c r="AG26" s="33">
        <v>151.11</v>
      </c>
      <c r="AH26" s="33">
        <v>176.2</v>
      </c>
      <c r="AI26" s="33">
        <v>189.53</v>
      </c>
      <c r="AJ26" s="33">
        <v>166.37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2223</v>
      </c>
      <c r="D27" s="50" t="s">
        <v>42</v>
      </c>
      <c r="E27" s="32" t="s">
        <v>3</v>
      </c>
      <c r="F27" s="32" t="s">
        <v>2237</v>
      </c>
      <c r="G27" s="32"/>
      <c r="H27" s="32"/>
      <c r="I27" s="32"/>
      <c r="J27" s="33">
        <v>80.04</v>
      </c>
      <c r="K27" s="33">
        <v>97.7</v>
      </c>
      <c r="L27" s="33">
        <v>119.32</v>
      </c>
      <c r="M27" s="33">
        <v>141.27</v>
      </c>
      <c r="N27" s="33">
        <v>115.02</v>
      </c>
      <c r="O27" s="33">
        <v>131.61</v>
      </c>
      <c r="P27" s="33">
        <v>27.05</v>
      </c>
      <c r="Q27" s="33">
        <v>27.23</v>
      </c>
      <c r="R27" s="33">
        <v>27.16</v>
      </c>
      <c r="S27" s="33">
        <v>27.09</v>
      </c>
      <c r="T27" s="33">
        <v>26.97</v>
      </c>
      <c r="U27" s="33">
        <v>73.41</v>
      </c>
      <c r="V27" s="33">
        <v>80.42</v>
      </c>
      <c r="W27" s="33">
        <v>110.56</v>
      </c>
      <c r="X27" s="33">
        <v>117.2</v>
      </c>
      <c r="Y27" s="33">
        <v>132.79</v>
      </c>
      <c r="Z27" s="33">
        <v>162.63</v>
      </c>
      <c r="AA27" s="33">
        <v>115.24</v>
      </c>
      <c r="AB27" s="33">
        <v>26.85</v>
      </c>
      <c r="AC27" s="33">
        <v>26.85</v>
      </c>
      <c r="AD27" s="33">
        <v>26.85</v>
      </c>
      <c r="AE27" s="33">
        <v>26.87</v>
      </c>
      <c r="AF27" s="33">
        <v>26.87</v>
      </c>
      <c r="AG27" s="33">
        <v>26.87</v>
      </c>
      <c r="AH27" s="33">
        <v>84.31</v>
      </c>
      <c r="AI27" s="33">
        <v>109.46</v>
      </c>
      <c r="AJ27" s="33">
        <v>85.84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2223</v>
      </c>
      <c r="D28" s="50" t="s">
        <v>42</v>
      </c>
      <c r="E28" s="32" t="s">
        <v>3</v>
      </c>
      <c r="F28" s="32" t="s">
        <v>2238</v>
      </c>
      <c r="G28" s="32"/>
      <c r="H28" s="32"/>
      <c r="I28" s="32"/>
      <c r="J28" s="33">
        <v>72.15</v>
      </c>
      <c r="K28" s="33">
        <v>112.99</v>
      </c>
      <c r="L28" s="33">
        <v>106.14</v>
      </c>
      <c r="M28" s="33">
        <v>61.97</v>
      </c>
      <c r="N28" s="33">
        <v>227.81</v>
      </c>
      <c r="O28" s="33">
        <v>26.85</v>
      </c>
      <c r="P28" s="33">
        <v>26.85</v>
      </c>
      <c r="Q28" s="33">
        <v>26.85</v>
      </c>
      <c r="R28" s="33">
        <v>26.85</v>
      </c>
      <c r="S28" s="33">
        <v>26.85</v>
      </c>
      <c r="T28" s="33">
        <v>26.85</v>
      </c>
      <c r="U28" s="33">
        <v>26.85</v>
      </c>
      <c r="V28" s="33">
        <v>37.38</v>
      </c>
      <c r="W28" s="33">
        <v>118.49</v>
      </c>
      <c r="X28" s="33">
        <v>150.21</v>
      </c>
      <c r="Y28" s="33">
        <v>136.71</v>
      </c>
      <c r="Z28" s="33">
        <v>212.79</v>
      </c>
      <c r="AA28" s="33">
        <v>257.98</v>
      </c>
      <c r="AB28" s="33">
        <v>26.85</v>
      </c>
      <c r="AC28" s="33">
        <v>26.85</v>
      </c>
      <c r="AD28" s="33">
        <v>26.85</v>
      </c>
      <c r="AE28" s="33">
        <v>26.87</v>
      </c>
      <c r="AF28" s="33">
        <v>26.87</v>
      </c>
      <c r="AG28" s="33">
        <v>26.87</v>
      </c>
      <c r="AH28" s="33">
        <v>66.27</v>
      </c>
      <c r="AI28" s="33">
        <v>98.93</v>
      </c>
      <c r="AJ28" s="33">
        <v>90.47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2223</v>
      </c>
      <c r="D29" s="50" t="s">
        <v>42</v>
      </c>
      <c r="E29" s="32" t="s">
        <v>3</v>
      </c>
      <c r="F29" s="32" t="s">
        <v>2239</v>
      </c>
      <c r="G29" s="32"/>
      <c r="H29" s="32"/>
      <c r="I29" s="32"/>
      <c r="J29" s="33">
        <v>112.69</v>
      </c>
      <c r="K29" s="33">
        <v>109.31</v>
      </c>
      <c r="L29" s="33">
        <v>121.93</v>
      </c>
      <c r="M29" s="33">
        <v>138.79</v>
      </c>
      <c r="N29" s="33">
        <v>87.41</v>
      </c>
      <c r="O29" s="33">
        <v>26.85</v>
      </c>
      <c r="P29" s="33">
        <v>26.85</v>
      </c>
      <c r="Q29" s="33">
        <v>26.85</v>
      </c>
      <c r="R29" s="33">
        <v>26.85</v>
      </c>
      <c r="S29" s="33">
        <v>26.85</v>
      </c>
      <c r="T29" s="33">
        <v>26.85</v>
      </c>
      <c r="U29" s="33">
        <v>57.45</v>
      </c>
      <c r="V29" s="33">
        <v>45.73</v>
      </c>
      <c r="W29" s="33">
        <v>59.09</v>
      </c>
      <c r="X29" s="33">
        <v>74.68</v>
      </c>
      <c r="Y29" s="33">
        <v>81.96</v>
      </c>
      <c r="Z29" s="33">
        <v>95.64</v>
      </c>
      <c r="AA29" s="33">
        <v>26.85</v>
      </c>
      <c r="AB29" s="33">
        <v>26.85</v>
      </c>
      <c r="AC29" s="33">
        <v>26.85</v>
      </c>
      <c r="AD29" s="33">
        <v>26.85</v>
      </c>
      <c r="AE29" s="33">
        <v>26.87</v>
      </c>
      <c r="AF29" s="33">
        <v>26.87</v>
      </c>
      <c r="AG29" s="33">
        <v>29.7</v>
      </c>
      <c r="AH29" s="33">
        <v>40.18</v>
      </c>
      <c r="AI29" s="33">
        <v>91.84</v>
      </c>
      <c r="AJ29" s="33">
        <v>116.78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2223</v>
      </c>
      <c r="D30" s="50" t="s">
        <v>42</v>
      </c>
      <c r="E30" s="32" t="s">
        <v>3</v>
      </c>
      <c r="F30" s="32" t="s">
        <v>2240</v>
      </c>
      <c r="G30" s="32"/>
      <c r="H30" s="32"/>
      <c r="I30" s="32"/>
      <c r="J30" s="33">
        <v>40.6</v>
      </c>
      <c r="K30" s="33">
        <v>44.24</v>
      </c>
      <c r="L30" s="33">
        <v>58.06</v>
      </c>
      <c r="M30" s="33">
        <v>66.57</v>
      </c>
      <c r="N30" s="33">
        <v>31.78</v>
      </c>
      <c r="O30" s="33">
        <v>26.85</v>
      </c>
      <c r="P30" s="33">
        <v>26.85</v>
      </c>
      <c r="Q30" s="33">
        <v>26.85</v>
      </c>
      <c r="R30" s="33">
        <v>26.85</v>
      </c>
      <c r="S30" s="33">
        <v>26.85</v>
      </c>
      <c r="T30" s="33">
        <v>28.77</v>
      </c>
      <c r="U30" s="33">
        <v>109.66</v>
      </c>
      <c r="V30" s="33">
        <v>103.93</v>
      </c>
      <c r="W30" s="33">
        <v>112.78</v>
      </c>
      <c r="X30" s="33">
        <v>106.67</v>
      </c>
      <c r="Y30" s="33">
        <v>114.2</v>
      </c>
      <c r="Z30" s="33">
        <v>150.82</v>
      </c>
      <c r="AA30" s="33">
        <v>49.19</v>
      </c>
      <c r="AB30" s="33">
        <v>26.85</v>
      </c>
      <c r="AC30" s="33">
        <v>26.85</v>
      </c>
      <c r="AD30" s="33">
        <v>26.85</v>
      </c>
      <c r="AE30" s="33">
        <v>26.87</v>
      </c>
      <c r="AF30" s="33">
        <v>26.87</v>
      </c>
      <c r="AG30" s="33">
        <v>42.47</v>
      </c>
      <c r="AH30" s="33">
        <v>129.92</v>
      </c>
      <c r="AI30" s="33">
        <v>134.79</v>
      </c>
      <c r="AJ30" s="33">
        <v>127.45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2223</v>
      </c>
      <c r="D31" s="50" t="s">
        <v>42</v>
      </c>
      <c r="E31" s="32" t="s">
        <v>3</v>
      </c>
      <c r="F31" s="32" t="s">
        <v>2241</v>
      </c>
      <c r="G31" s="32"/>
      <c r="H31" s="32"/>
      <c r="I31" s="32"/>
      <c r="J31" s="33">
        <v>70.34</v>
      </c>
      <c r="K31" s="33">
        <v>72.43</v>
      </c>
      <c r="L31" s="33">
        <v>135.64</v>
      </c>
      <c r="M31" s="33">
        <v>272.55</v>
      </c>
      <c r="N31" s="33">
        <v>280.13</v>
      </c>
      <c r="O31" s="33">
        <v>441.3</v>
      </c>
      <c r="P31" s="33">
        <v>383.5</v>
      </c>
      <c r="Q31" s="33">
        <v>324.02</v>
      </c>
      <c r="R31" s="33">
        <v>399.09</v>
      </c>
      <c r="S31" s="33">
        <v>325.94</v>
      </c>
      <c r="T31" s="33">
        <v>218.01</v>
      </c>
      <c r="U31" s="33">
        <v>238.17</v>
      </c>
      <c r="V31" s="33">
        <v>203.33</v>
      </c>
      <c r="W31" s="33">
        <v>191.58</v>
      </c>
      <c r="X31" s="33">
        <v>171.88</v>
      </c>
      <c r="Y31" s="33">
        <v>189.31</v>
      </c>
      <c r="Z31" s="33">
        <v>247.05</v>
      </c>
      <c r="AA31" s="33">
        <v>343.9</v>
      </c>
      <c r="AB31" s="33">
        <v>298.45</v>
      </c>
      <c r="AC31" s="33">
        <v>374.53</v>
      </c>
      <c r="AD31" s="33">
        <v>321.02</v>
      </c>
      <c r="AE31" s="33">
        <v>305.55</v>
      </c>
      <c r="AF31" s="33">
        <v>317.53</v>
      </c>
      <c r="AG31" s="33">
        <v>226.06</v>
      </c>
      <c r="AH31" s="33">
        <v>273.99</v>
      </c>
      <c r="AI31" s="33">
        <v>195.51</v>
      </c>
      <c r="AJ31" s="33">
        <v>188.24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2223</v>
      </c>
      <c r="D32" s="50" t="s">
        <v>42</v>
      </c>
      <c r="E32" s="32" t="s">
        <v>3</v>
      </c>
      <c r="F32" s="32" t="s">
        <v>2242</v>
      </c>
      <c r="G32" s="32"/>
      <c r="H32" s="32"/>
      <c r="I32" s="32"/>
      <c r="J32" s="33">
        <v>37.38</v>
      </c>
      <c r="K32" s="33">
        <v>39.23</v>
      </c>
      <c r="L32" s="33">
        <v>66.23</v>
      </c>
      <c r="M32" s="33">
        <v>78.65</v>
      </c>
      <c r="N32" s="33">
        <v>69.92</v>
      </c>
      <c r="O32" s="33">
        <v>26.85</v>
      </c>
      <c r="P32" s="33">
        <v>26.85</v>
      </c>
      <c r="Q32" s="33">
        <v>26.97</v>
      </c>
      <c r="R32" s="33">
        <v>26.92</v>
      </c>
      <c r="S32" s="33">
        <v>27.25</v>
      </c>
      <c r="T32" s="33">
        <v>31.9</v>
      </c>
      <c r="U32" s="33">
        <v>27.45</v>
      </c>
      <c r="V32" s="33">
        <v>31.29</v>
      </c>
      <c r="W32" s="33">
        <v>66.63</v>
      </c>
      <c r="X32" s="33">
        <v>75.34</v>
      </c>
      <c r="Y32" s="33">
        <v>31.46</v>
      </c>
      <c r="Z32" s="33">
        <v>26.85</v>
      </c>
      <c r="AA32" s="33">
        <v>26.95</v>
      </c>
      <c r="AB32" s="33">
        <v>26.85</v>
      </c>
      <c r="AC32" s="33">
        <v>176.88</v>
      </c>
      <c r="AD32" s="33">
        <v>199.31</v>
      </c>
      <c r="AE32" s="33">
        <v>199.05</v>
      </c>
      <c r="AF32" s="33">
        <v>158.07</v>
      </c>
      <c r="AG32" s="33">
        <v>121.73</v>
      </c>
      <c r="AH32" s="33">
        <v>134.91</v>
      </c>
      <c r="AI32" s="33">
        <v>149.66</v>
      </c>
      <c r="AJ32" s="33">
        <v>133.86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2223</v>
      </c>
      <c r="D33" s="50" t="s">
        <v>42</v>
      </c>
      <c r="E33" s="32" t="s">
        <v>3</v>
      </c>
      <c r="F33" s="32" t="s">
        <v>2243</v>
      </c>
      <c r="G33" s="32"/>
      <c r="H33" s="32"/>
      <c r="I33" s="32"/>
      <c r="J33" s="33">
        <v>69.66</v>
      </c>
      <c r="K33" s="33">
        <v>73.87</v>
      </c>
      <c r="L33" s="33">
        <v>84.68</v>
      </c>
      <c r="M33" s="33">
        <v>124.76</v>
      </c>
      <c r="N33" s="33">
        <v>130.37</v>
      </c>
      <c r="O33" s="33">
        <v>221.32</v>
      </c>
      <c r="P33" s="33">
        <v>179.92</v>
      </c>
      <c r="Q33" s="33">
        <v>77.2</v>
      </c>
      <c r="R33" s="33">
        <v>32.31</v>
      </c>
      <c r="S33" s="33">
        <v>35.07</v>
      </c>
      <c r="T33" s="33">
        <v>34.07</v>
      </c>
      <c r="U33" s="33">
        <v>41.03</v>
      </c>
      <c r="V33" s="33">
        <v>88.08</v>
      </c>
      <c r="W33" s="33">
        <v>92.36</v>
      </c>
      <c r="X33" s="33">
        <v>88.2</v>
      </c>
      <c r="Y33" s="33">
        <v>93.65</v>
      </c>
      <c r="Z33" s="33">
        <v>52.42</v>
      </c>
      <c r="AA33" s="33">
        <v>26.85</v>
      </c>
      <c r="AB33" s="33">
        <v>26.85</v>
      </c>
      <c r="AC33" s="33">
        <v>26.85</v>
      </c>
      <c r="AD33" s="33">
        <v>26.85</v>
      </c>
      <c r="AE33" s="33">
        <v>26.87</v>
      </c>
      <c r="AF33" s="33">
        <v>26.87</v>
      </c>
      <c r="AG33" s="33">
        <v>27.34</v>
      </c>
      <c r="AH33" s="33">
        <v>86.82</v>
      </c>
      <c r="AI33" s="33">
        <v>90.64</v>
      </c>
      <c r="AJ33" s="33">
        <v>72.83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2223</v>
      </c>
      <c r="D34" s="50" t="s">
        <v>42</v>
      </c>
      <c r="E34" s="32" t="s">
        <v>3</v>
      </c>
      <c r="F34" s="32" t="s">
        <v>2244</v>
      </c>
      <c r="G34" s="32"/>
      <c r="H34" s="32"/>
      <c r="I34" s="32"/>
      <c r="J34" s="33">
        <v>85.84</v>
      </c>
      <c r="K34" s="33">
        <v>99.29</v>
      </c>
      <c r="L34" s="33">
        <v>113.26</v>
      </c>
      <c r="M34" s="33">
        <v>114.3</v>
      </c>
      <c r="N34" s="33">
        <v>113.27</v>
      </c>
      <c r="O34" s="33">
        <v>157.01</v>
      </c>
      <c r="P34" s="33">
        <v>97.07</v>
      </c>
      <c r="Q34" s="33">
        <v>112.67</v>
      </c>
      <c r="R34" s="33">
        <v>125.98</v>
      </c>
      <c r="S34" s="33">
        <v>117.24</v>
      </c>
      <c r="T34" s="33">
        <v>67.94</v>
      </c>
      <c r="U34" s="33">
        <v>158.69</v>
      </c>
      <c r="V34" s="33">
        <v>126.16</v>
      </c>
      <c r="W34" s="33">
        <v>104.06</v>
      </c>
      <c r="X34" s="33">
        <v>123.57</v>
      </c>
      <c r="Y34" s="33">
        <v>139.82</v>
      </c>
      <c r="Z34" s="33">
        <v>133.96</v>
      </c>
      <c r="AA34" s="33">
        <v>254.94</v>
      </c>
      <c r="AB34" s="33">
        <v>26.85</v>
      </c>
      <c r="AC34" s="33">
        <v>26.85</v>
      </c>
      <c r="AD34" s="33">
        <v>26.85</v>
      </c>
      <c r="AE34" s="33">
        <v>26.87</v>
      </c>
      <c r="AF34" s="33">
        <v>29.17</v>
      </c>
      <c r="AG34" s="33">
        <v>33.25</v>
      </c>
      <c r="AH34" s="33">
        <v>37.63</v>
      </c>
      <c r="AI34" s="33">
        <v>66.65</v>
      </c>
      <c r="AJ34" s="33">
        <v>38.21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2223</v>
      </c>
      <c r="D35" s="50" t="s">
        <v>42</v>
      </c>
      <c r="E35" s="32" t="s">
        <v>3</v>
      </c>
      <c r="F35" s="32" t="s">
        <v>2245</v>
      </c>
      <c r="G35" s="32"/>
      <c r="H35" s="32"/>
      <c r="I35" s="32"/>
      <c r="J35" s="33">
        <v>64.93</v>
      </c>
      <c r="K35" s="33">
        <v>69.4</v>
      </c>
      <c r="L35" s="33">
        <v>67.93</v>
      </c>
      <c r="M35" s="33">
        <v>125.01</v>
      </c>
      <c r="N35" s="33">
        <v>64.92</v>
      </c>
      <c r="O35" s="33">
        <v>125.88</v>
      </c>
      <c r="P35" s="33">
        <v>100.9</v>
      </c>
      <c r="Q35" s="33">
        <v>116.57</v>
      </c>
      <c r="R35" s="33">
        <v>119.21</v>
      </c>
      <c r="S35" s="33">
        <v>113.41</v>
      </c>
      <c r="T35" s="33">
        <v>31.4</v>
      </c>
      <c r="U35" s="33">
        <v>29.38</v>
      </c>
      <c r="V35" s="33">
        <v>34.82</v>
      </c>
      <c r="W35" s="33">
        <v>65.59</v>
      </c>
      <c r="X35" s="33">
        <v>48.83</v>
      </c>
      <c r="Y35" s="33">
        <v>71.84</v>
      </c>
      <c r="Z35" s="33">
        <v>47.51</v>
      </c>
      <c r="AA35" s="33">
        <v>128</v>
      </c>
      <c r="AB35" s="33">
        <v>197.62</v>
      </c>
      <c r="AC35" s="33">
        <v>275.68</v>
      </c>
      <c r="AD35" s="33">
        <v>230.11</v>
      </c>
      <c r="AE35" s="33">
        <v>180.69</v>
      </c>
      <c r="AF35" s="33">
        <v>70.47</v>
      </c>
      <c r="AG35" s="33">
        <v>29.53</v>
      </c>
      <c r="AH35" s="33">
        <v>44.25</v>
      </c>
      <c r="AI35" s="33">
        <v>59.66</v>
      </c>
      <c r="AJ35" s="33">
        <v>55.49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2223</v>
      </c>
      <c r="D36" s="50" t="s">
        <v>42</v>
      </c>
      <c r="E36" s="32" t="s">
        <v>3</v>
      </c>
      <c r="F36" s="32" t="s">
        <v>2246</v>
      </c>
      <c r="G36" s="32"/>
      <c r="H36" s="32"/>
      <c r="I36" s="32"/>
      <c r="J36" s="33">
        <v>37.23</v>
      </c>
      <c r="K36" s="33">
        <v>78.75</v>
      </c>
      <c r="L36" s="33">
        <v>89.26</v>
      </c>
      <c r="M36" s="33">
        <v>75.03</v>
      </c>
      <c r="N36" s="33">
        <v>76.69</v>
      </c>
      <c r="O36" s="33">
        <v>103.61</v>
      </c>
      <c r="P36" s="33">
        <v>29.6</v>
      </c>
      <c r="Q36" s="33">
        <v>27.58</v>
      </c>
      <c r="R36" s="33">
        <v>60.13</v>
      </c>
      <c r="S36" s="33">
        <v>27.93</v>
      </c>
      <c r="T36" s="33">
        <v>92.89</v>
      </c>
      <c r="U36" s="33">
        <v>111.75</v>
      </c>
      <c r="V36" s="33">
        <v>104.71</v>
      </c>
      <c r="W36" s="33">
        <v>115.64</v>
      </c>
      <c r="X36" s="33">
        <v>109.93</v>
      </c>
      <c r="Y36" s="33">
        <v>103.93</v>
      </c>
      <c r="Z36" s="33">
        <v>160.96</v>
      </c>
      <c r="AA36" s="33">
        <v>202.5</v>
      </c>
      <c r="AB36" s="33">
        <v>89.39</v>
      </c>
      <c r="AC36" s="33">
        <v>88.34</v>
      </c>
      <c r="AD36" s="33">
        <v>76.11</v>
      </c>
      <c r="AE36" s="33">
        <v>56.66</v>
      </c>
      <c r="AF36" s="33">
        <v>37.57</v>
      </c>
      <c r="AG36" s="33">
        <v>53.95</v>
      </c>
      <c r="AH36" s="33">
        <v>42.18</v>
      </c>
      <c r="AI36" s="33">
        <v>42.88</v>
      </c>
      <c r="AJ36" s="33">
        <v>40.81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2223</v>
      </c>
      <c r="D37" s="50" t="s">
        <v>42</v>
      </c>
      <c r="E37" s="32" t="s">
        <v>3</v>
      </c>
      <c r="F37" s="32" t="s">
        <v>2247</v>
      </c>
      <c r="G37" s="32"/>
      <c r="H37" s="32"/>
      <c r="I37" s="32"/>
      <c r="J37" s="33">
        <v>402.25</v>
      </c>
      <c r="K37" s="33">
        <v>430.46</v>
      </c>
      <c r="L37" s="33">
        <v>417.13</v>
      </c>
      <c r="M37" s="33">
        <v>465.76</v>
      </c>
      <c r="N37" s="33">
        <v>447.37</v>
      </c>
      <c r="O37" s="33">
        <v>696</v>
      </c>
      <c r="P37" s="33">
        <v>595.63</v>
      </c>
      <c r="Q37" s="33">
        <v>633</v>
      </c>
      <c r="R37" s="33">
        <f>679.72+0.00</f>
        <v>679.72</v>
      </c>
      <c r="S37" s="33">
        <v>608.29</v>
      </c>
      <c r="T37" s="33">
        <v>520.75</v>
      </c>
      <c r="U37" s="33">
        <v>500.45</v>
      </c>
      <c r="V37" s="33">
        <v>457.72</v>
      </c>
      <c r="W37" s="33">
        <v>433.41</v>
      </c>
      <c r="X37" s="33">
        <v>546.51</v>
      </c>
      <c r="Y37" s="33">
        <v>559.31</v>
      </c>
      <c r="Z37" s="33">
        <v>784.26</v>
      </c>
      <c r="AA37" s="33">
        <v>761.43</v>
      </c>
      <c r="AB37" s="33">
        <v>667.05</v>
      </c>
      <c r="AC37" s="33">
        <v>818.67</v>
      </c>
      <c r="AD37" s="33">
        <v>733.2</v>
      </c>
      <c r="AE37" s="33">
        <v>702.93</v>
      </c>
      <c r="AF37" s="33">
        <v>679.74</v>
      </c>
      <c r="AG37" s="33">
        <v>541.42</v>
      </c>
      <c r="AH37" s="33">
        <v>550.97</v>
      </c>
      <c r="AI37" s="33">
        <v>632.38</v>
      </c>
      <c r="AJ37" s="33">
        <v>648.57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2223</v>
      </c>
      <c r="D38" s="50" t="s">
        <v>42</v>
      </c>
      <c r="E38" s="32" t="s">
        <v>3</v>
      </c>
      <c r="F38" s="32" t="s">
        <v>2248</v>
      </c>
      <c r="G38" s="32"/>
      <c r="H38" s="32"/>
      <c r="I38" s="32"/>
      <c r="J38" s="33">
        <v>72.15</v>
      </c>
      <c r="K38" s="33">
        <v>67.8</v>
      </c>
      <c r="L38" s="33">
        <v>73.08</v>
      </c>
      <c r="M38" s="33">
        <v>76.03</v>
      </c>
      <c r="N38" s="33">
        <v>34.94</v>
      </c>
      <c r="O38" s="33">
        <v>26.85</v>
      </c>
      <c r="P38" s="33">
        <v>26.85</v>
      </c>
      <c r="Q38" s="33">
        <v>29.61</v>
      </c>
      <c r="R38" s="33">
        <v>83.56</v>
      </c>
      <c r="S38" s="33">
        <v>26.85</v>
      </c>
      <c r="T38" s="33">
        <v>29.36</v>
      </c>
      <c r="U38" s="33">
        <v>81.01</v>
      </c>
      <c r="V38" s="33">
        <v>76.52</v>
      </c>
      <c r="W38" s="33">
        <v>97.83</v>
      </c>
      <c r="X38" s="33">
        <v>67.27</v>
      </c>
      <c r="Y38" s="33">
        <v>50.89</v>
      </c>
      <c r="Z38" s="33">
        <v>80.8</v>
      </c>
      <c r="AA38" s="33">
        <v>127.73</v>
      </c>
      <c r="AB38" s="33">
        <v>100.15</v>
      </c>
      <c r="AC38" s="33">
        <v>128.24</v>
      </c>
      <c r="AD38" s="33">
        <v>119.8</v>
      </c>
      <c r="AE38" s="33">
        <v>103.9</v>
      </c>
      <c r="AF38" s="33">
        <v>90.25</v>
      </c>
      <c r="AG38" s="33">
        <v>105.72</v>
      </c>
      <c r="AH38" s="33">
        <v>99.6</v>
      </c>
      <c r="AI38" s="33">
        <v>125.17</v>
      </c>
      <c r="AJ38" s="33">
        <v>110.57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2223</v>
      </c>
      <c r="D39" s="50" t="s">
        <v>42</v>
      </c>
      <c r="E39" s="32" t="s">
        <v>3</v>
      </c>
      <c r="F39" s="32" t="s">
        <v>2249</v>
      </c>
      <c r="G39" s="32"/>
      <c r="H39" s="32"/>
      <c r="I39" s="32"/>
      <c r="J39" s="33">
        <v>38.83</v>
      </c>
      <c r="K39" s="33">
        <v>67.53</v>
      </c>
      <c r="L39" s="33">
        <v>86.37</v>
      </c>
      <c r="M39" s="33">
        <v>89.38</v>
      </c>
      <c r="N39" s="33">
        <v>74.46</v>
      </c>
      <c r="O39" s="33">
        <v>26.85</v>
      </c>
      <c r="P39" s="33">
        <v>26.85</v>
      </c>
      <c r="Q39" s="33">
        <v>26.85</v>
      </c>
      <c r="R39" s="33">
        <v>26.85</v>
      </c>
      <c r="S39" s="33">
        <v>26.85</v>
      </c>
      <c r="T39" s="33">
        <v>26.85</v>
      </c>
      <c r="U39" s="33">
        <v>26.85</v>
      </c>
      <c r="V39" s="33">
        <v>26.85</v>
      </c>
      <c r="W39" s="33">
        <v>30.31</v>
      </c>
      <c r="X39" s="33">
        <v>48.95</v>
      </c>
      <c r="Y39" s="33">
        <v>33.48</v>
      </c>
      <c r="Z39" s="33">
        <v>28.96</v>
      </c>
      <c r="AA39" s="33">
        <v>28.96</v>
      </c>
      <c r="AB39" s="33">
        <v>26.85</v>
      </c>
      <c r="AC39" s="33">
        <v>26.85</v>
      </c>
      <c r="AD39" s="33">
        <v>26.85</v>
      </c>
      <c r="AE39" s="33">
        <v>26.87</v>
      </c>
      <c r="AF39" s="33">
        <v>26.87</v>
      </c>
      <c r="AG39" s="33">
        <v>26.87</v>
      </c>
      <c r="AH39" s="33">
        <v>33.95</v>
      </c>
      <c r="AI39" s="33">
        <v>67.71</v>
      </c>
      <c r="AJ39" s="33">
        <v>79.81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2223</v>
      </c>
      <c r="D40" s="50" t="s">
        <v>42</v>
      </c>
      <c r="E40" s="32" t="s">
        <v>3</v>
      </c>
      <c r="F40" s="32" t="s">
        <v>2250</v>
      </c>
      <c r="G40" s="32"/>
      <c r="H40" s="32"/>
      <c r="I40" s="32"/>
      <c r="J40" s="33">
        <v>172.82</v>
      </c>
      <c r="K40" s="33">
        <v>170.6</v>
      </c>
      <c r="L40" s="33">
        <v>183.31</v>
      </c>
      <c r="M40" s="33">
        <v>168.14</v>
      </c>
      <c r="N40" s="33">
        <v>75.06</v>
      </c>
      <c r="O40" s="33">
        <v>26.85</v>
      </c>
      <c r="P40" s="33">
        <v>26.85</v>
      </c>
      <c r="Q40" s="33">
        <v>26.85</v>
      </c>
      <c r="R40" s="33">
        <v>26.85</v>
      </c>
      <c r="S40" s="33">
        <v>26.85</v>
      </c>
      <c r="T40" s="33">
        <v>26.85</v>
      </c>
      <c r="U40" s="33">
        <v>116.32</v>
      </c>
      <c r="V40" s="33">
        <v>146.09</v>
      </c>
      <c r="W40" s="33">
        <v>194.16</v>
      </c>
      <c r="X40" s="33">
        <v>145.94</v>
      </c>
      <c r="Y40" s="33">
        <v>163.83</v>
      </c>
      <c r="Z40" s="33">
        <v>127.07</v>
      </c>
      <c r="AA40" s="33">
        <v>26.85</v>
      </c>
      <c r="AB40" s="33">
        <v>26.85</v>
      </c>
      <c r="AC40" s="33">
        <v>26.85</v>
      </c>
      <c r="AD40" s="33">
        <v>26.85</v>
      </c>
      <c r="AE40" s="33">
        <v>26.87</v>
      </c>
      <c r="AF40" s="33">
        <v>26.87</v>
      </c>
      <c r="AG40" s="33">
        <v>100.01</v>
      </c>
      <c r="AH40" s="33">
        <v>157.95</v>
      </c>
      <c r="AI40" s="33">
        <v>191.19</v>
      </c>
      <c r="AJ40" s="33">
        <v>167.6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2223</v>
      </c>
      <c r="D41" s="50" t="s">
        <v>42</v>
      </c>
      <c r="E41" s="32" t="s">
        <v>3</v>
      </c>
      <c r="F41" s="32" t="s">
        <v>2251</v>
      </c>
      <c r="G41" s="32"/>
      <c r="H41" s="32"/>
      <c r="I41" s="32"/>
      <c r="J41" s="33">
        <v>54.65</v>
      </c>
      <c r="K41" s="33">
        <v>42.79</v>
      </c>
      <c r="L41" s="33">
        <v>45.27</v>
      </c>
      <c r="M41" s="33">
        <v>61.69</v>
      </c>
      <c r="N41" s="33">
        <v>62.59</v>
      </c>
      <c r="O41" s="33">
        <v>119.55</v>
      </c>
      <c r="P41" s="33">
        <v>109.31</v>
      </c>
      <c r="Q41" s="33">
        <v>98.52</v>
      </c>
      <c r="R41" s="33">
        <v>126.21</v>
      </c>
      <c r="S41" s="33">
        <v>104.89</v>
      </c>
      <c r="T41" s="33">
        <v>82.97</v>
      </c>
      <c r="U41" s="33">
        <v>62.59</v>
      </c>
      <c r="V41" s="33">
        <v>45.09</v>
      </c>
      <c r="W41" s="33">
        <v>57.38</v>
      </c>
      <c r="X41" s="33">
        <v>54.91</v>
      </c>
      <c r="Y41" s="33">
        <v>57.02</v>
      </c>
      <c r="Z41" s="33">
        <v>70.89</v>
      </c>
      <c r="AA41" s="33">
        <v>105.62</v>
      </c>
      <c r="AB41" s="33">
        <v>88.34</v>
      </c>
      <c r="AC41" s="33">
        <v>126.06</v>
      </c>
      <c r="AD41" s="33">
        <v>113.84</v>
      </c>
      <c r="AE41" s="33">
        <v>97.52</v>
      </c>
      <c r="AF41" s="33">
        <v>81.93</v>
      </c>
      <c r="AG41" s="33">
        <v>61.62</v>
      </c>
      <c r="AH41" s="33">
        <v>74.57</v>
      </c>
      <c r="AI41" s="33">
        <v>73.5</v>
      </c>
      <c r="AJ41" s="33">
        <v>62.97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2223</v>
      </c>
      <c r="D42" s="50" t="s">
        <v>42</v>
      </c>
      <c r="E42" s="32" t="s">
        <v>3</v>
      </c>
      <c r="F42" s="32" t="s">
        <v>2252</v>
      </c>
      <c r="G42" s="32"/>
      <c r="H42" s="32"/>
      <c r="I42" s="32"/>
      <c r="J42" s="33">
        <v>58.08</v>
      </c>
      <c r="K42" s="33">
        <v>96.12</v>
      </c>
      <c r="L42" s="33">
        <v>101.92</v>
      </c>
      <c r="M42" s="33">
        <v>112.05</v>
      </c>
      <c r="N42" s="33">
        <v>83.89</v>
      </c>
      <c r="O42" s="33">
        <v>75.77</v>
      </c>
      <c r="P42" s="33">
        <v>58.63</v>
      </c>
      <c r="Q42" s="33">
        <v>66.52</v>
      </c>
      <c r="R42" s="33">
        <v>64.09</v>
      </c>
      <c r="S42" s="33">
        <v>54.31</v>
      </c>
      <c r="T42" s="33">
        <v>32.7</v>
      </c>
      <c r="U42" s="33">
        <v>28.93</v>
      </c>
      <c r="V42" s="33">
        <v>34.06</v>
      </c>
      <c r="W42" s="33">
        <v>129.56</v>
      </c>
      <c r="X42" s="33">
        <v>106.03</v>
      </c>
      <c r="Y42" s="33">
        <v>83.14</v>
      </c>
      <c r="Z42" s="33">
        <v>97.58</v>
      </c>
      <c r="AA42" s="33">
        <v>27.8</v>
      </c>
      <c r="AB42" s="33">
        <v>26.85</v>
      </c>
      <c r="AC42" s="33">
        <v>26.85</v>
      </c>
      <c r="AD42" s="33">
        <v>26.85</v>
      </c>
      <c r="AE42" s="33">
        <v>26.87</v>
      </c>
      <c r="AF42" s="33">
        <v>26.87</v>
      </c>
      <c r="AG42" s="33">
        <v>53.68</v>
      </c>
      <c r="AH42" s="33">
        <v>35.1</v>
      </c>
      <c r="AI42" s="33">
        <v>132.01</v>
      </c>
      <c r="AJ42" s="33">
        <v>114.81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2223</v>
      </c>
      <c r="D43" s="50" t="s">
        <v>42</v>
      </c>
      <c r="E43" s="32" t="s">
        <v>3</v>
      </c>
      <c r="F43" s="32" t="s">
        <v>2253</v>
      </c>
      <c r="G43" s="32"/>
      <c r="H43" s="32"/>
      <c r="I43" s="32"/>
      <c r="J43" s="33">
        <v>92.16</v>
      </c>
      <c r="K43" s="33">
        <v>61.6</v>
      </c>
      <c r="L43" s="33">
        <v>86.37</v>
      </c>
      <c r="M43" s="33">
        <v>75.41</v>
      </c>
      <c r="N43" s="33">
        <v>53.5</v>
      </c>
      <c r="O43" s="33">
        <v>51.76</v>
      </c>
      <c r="P43" s="33">
        <v>26.85</v>
      </c>
      <c r="Q43" s="33">
        <v>26.85</v>
      </c>
      <c r="R43" s="33">
        <v>26.85</v>
      </c>
      <c r="S43" s="33">
        <v>26.85</v>
      </c>
      <c r="T43" s="33">
        <v>28.34</v>
      </c>
      <c r="U43" s="33">
        <v>68.3</v>
      </c>
      <c r="V43" s="33">
        <v>39.46</v>
      </c>
      <c r="W43" s="33">
        <v>97.83</v>
      </c>
      <c r="X43" s="33">
        <v>79.89</v>
      </c>
      <c r="Y43" s="33">
        <v>35.4</v>
      </c>
      <c r="Z43" s="33">
        <v>92.63</v>
      </c>
      <c r="AA43" s="33">
        <v>31.05</v>
      </c>
      <c r="AB43" s="33">
        <v>26.85</v>
      </c>
      <c r="AC43" s="33">
        <v>26.85</v>
      </c>
      <c r="AD43" s="33">
        <v>26.85</v>
      </c>
      <c r="AE43" s="33">
        <v>26.87</v>
      </c>
      <c r="AF43" s="33">
        <v>26.87</v>
      </c>
      <c r="AG43" s="33">
        <v>54.06</v>
      </c>
      <c r="AH43" s="33">
        <v>43.35</v>
      </c>
      <c r="AI43" s="33">
        <v>85.62</v>
      </c>
      <c r="AJ43" s="33">
        <v>94.93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2223</v>
      </c>
      <c r="D44" s="50" t="s">
        <v>42</v>
      </c>
      <c r="E44" s="32" t="s">
        <v>3</v>
      </c>
      <c r="F44" s="32" t="s">
        <v>2254</v>
      </c>
      <c r="G44" s="32"/>
      <c r="H44" s="32"/>
      <c r="I44" s="32"/>
      <c r="J44" s="33">
        <v>98.73</v>
      </c>
      <c r="K44" s="33">
        <v>116.16</v>
      </c>
      <c r="L44" s="33">
        <v>128.8</v>
      </c>
      <c r="M44" s="33">
        <v>121.39</v>
      </c>
      <c r="N44" s="33">
        <v>74.72</v>
      </c>
      <c r="O44" s="33">
        <v>34.83</v>
      </c>
      <c r="P44" s="33">
        <v>33.42</v>
      </c>
      <c r="Q44" s="33">
        <v>49.98</v>
      </c>
      <c r="R44" s="33">
        <f>123.06+43.34</f>
        <v>166.4</v>
      </c>
      <c r="S44" s="33">
        <v>27.7</v>
      </c>
      <c r="T44" s="33">
        <v>27.77</v>
      </c>
      <c r="U44" s="33">
        <v>38.8</v>
      </c>
      <c r="V44" s="33">
        <v>95.09</v>
      </c>
      <c r="W44" s="33">
        <v>139.97</v>
      </c>
      <c r="X44" s="33">
        <v>122.54</v>
      </c>
      <c r="Y44" s="33">
        <v>133.58</v>
      </c>
      <c r="Z44" s="33">
        <v>172.64</v>
      </c>
      <c r="AA44" s="33">
        <v>252.8</v>
      </c>
      <c r="AB44" s="33">
        <v>201.89</v>
      </c>
      <c r="AC44" s="33">
        <v>248.73</v>
      </c>
      <c r="AD44" s="33">
        <v>240.09</v>
      </c>
      <c r="AE44" s="33">
        <v>228</v>
      </c>
      <c r="AF44" s="33">
        <v>218</v>
      </c>
      <c r="AG44" s="33">
        <v>171</v>
      </c>
      <c r="AH44" s="33">
        <v>183.55</v>
      </c>
      <c r="AI44" s="33">
        <v>145.53</v>
      </c>
      <c r="AJ44" s="33">
        <v>141.89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2223</v>
      </c>
      <c r="D45" s="50" t="s">
        <v>42</v>
      </c>
      <c r="E45" s="32" t="s">
        <v>3</v>
      </c>
      <c r="F45" s="32" t="s">
        <v>2255</v>
      </c>
      <c r="G45" s="32"/>
      <c r="H45" s="32"/>
      <c r="I45" s="32"/>
      <c r="J45" s="33">
        <v>51.24</v>
      </c>
      <c r="K45" s="33">
        <v>56.61</v>
      </c>
      <c r="L45" s="33">
        <v>63.99</v>
      </c>
      <c r="M45" s="33">
        <v>70.81</v>
      </c>
      <c r="N45" s="33">
        <v>67.13</v>
      </c>
      <c r="O45" s="33">
        <v>26.85</v>
      </c>
      <c r="P45" s="33">
        <v>37.88</v>
      </c>
      <c r="Q45" s="33">
        <v>73.76</v>
      </c>
      <c r="R45" s="33">
        <v>100.58</v>
      </c>
      <c r="S45" s="33">
        <v>32.14</v>
      </c>
      <c r="T45" s="33">
        <v>53.27</v>
      </c>
      <c r="U45" s="33">
        <v>47.79</v>
      </c>
      <c r="V45" s="33">
        <v>62.35</v>
      </c>
      <c r="W45" s="33">
        <v>72.6</v>
      </c>
      <c r="X45" s="33">
        <v>64.69</v>
      </c>
      <c r="Y45" s="33">
        <v>67.02</v>
      </c>
      <c r="Z45" s="33">
        <v>67.53</v>
      </c>
      <c r="AA45" s="33">
        <v>62.32</v>
      </c>
      <c r="AB45" s="33">
        <v>39.43</v>
      </c>
      <c r="AC45" s="33">
        <v>68.44</v>
      </c>
      <c r="AD45" s="33">
        <v>231.89</v>
      </c>
      <c r="AE45" s="33">
        <v>176.44</v>
      </c>
      <c r="AF45" s="33">
        <v>75.15</v>
      </c>
      <c r="AG45" s="33">
        <v>60.68</v>
      </c>
      <c r="AH45" s="33">
        <v>91.58</v>
      </c>
      <c r="AI45" s="33">
        <v>102.91</v>
      </c>
      <c r="AJ45" s="33">
        <v>97.56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2223</v>
      </c>
      <c r="D46" s="50" t="s">
        <v>42</v>
      </c>
      <c r="E46" s="32" t="s">
        <v>3</v>
      </c>
      <c r="F46" s="32" t="s">
        <v>2256</v>
      </c>
      <c r="G46" s="32"/>
      <c r="H46" s="32"/>
      <c r="I46" s="32"/>
      <c r="J46" s="33">
        <v>63.74</v>
      </c>
      <c r="K46" s="33">
        <v>71.76</v>
      </c>
      <c r="L46" s="33">
        <v>96.52</v>
      </c>
      <c r="M46" s="33">
        <v>101.72</v>
      </c>
      <c r="N46" s="33">
        <v>58.85</v>
      </c>
      <c r="O46" s="33">
        <v>36.24</v>
      </c>
      <c r="P46" s="33">
        <v>37.63</v>
      </c>
      <c r="Q46" s="33">
        <v>33.77</v>
      </c>
      <c r="R46" s="33">
        <v>68.41</v>
      </c>
      <c r="S46" s="33">
        <v>39.49</v>
      </c>
      <c r="T46" s="33">
        <v>53.16</v>
      </c>
      <c r="U46" s="33">
        <v>79.36</v>
      </c>
      <c r="V46" s="33">
        <v>53.27</v>
      </c>
      <c r="W46" s="33">
        <v>76.63</v>
      </c>
      <c r="X46" s="33">
        <v>105.76</v>
      </c>
      <c r="Y46" s="33">
        <v>102.63</v>
      </c>
      <c r="Z46" s="33">
        <v>91.33</v>
      </c>
      <c r="AA46" s="33">
        <v>55.82</v>
      </c>
      <c r="AB46" s="33">
        <v>43.36</v>
      </c>
      <c r="AC46" s="33">
        <v>47.37</v>
      </c>
      <c r="AD46" s="33">
        <v>36.3</v>
      </c>
      <c r="AE46" s="33">
        <v>34.58</v>
      </c>
      <c r="AF46" s="33">
        <v>36.86</v>
      </c>
      <c r="AG46" s="33">
        <v>86.47</v>
      </c>
      <c r="AH46" s="33">
        <v>57.44</v>
      </c>
      <c r="AI46" s="33">
        <v>81.95</v>
      </c>
      <c r="AJ46" s="33">
        <v>93.35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2223</v>
      </c>
      <c r="D47" s="50" t="s">
        <v>42</v>
      </c>
      <c r="E47" s="32" t="s">
        <v>3</v>
      </c>
      <c r="F47" s="32" t="s">
        <v>2257</v>
      </c>
      <c r="G47" s="32"/>
      <c r="H47" s="32"/>
      <c r="I47" s="32"/>
      <c r="J47" s="33">
        <v>87.82</v>
      </c>
      <c r="K47" s="33">
        <v>69</v>
      </c>
      <c r="L47" s="33">
        <v>73.08</v>
      </c>
      <c r="M47" s="33">
        <v>87.87</v>
      </c>
      <c r="N47" s="33">
        <v>32.59</v>
      </c>
      <c r="O47" s="33">
        <v>63.26</v>
      </c>
      <c r="P47" s="33">
        <v>49.53</v>
      </c>
      <c r="Q47" s="33">
        <v>57.68</v>
      </c>
      <c r="R47" s="33">
        <v>61.07</v>
      </c>
      <c r="S47" s="33">
        <v>57.09</v>
      </c>
      <c r="T47" s="33">
        <v>34.49</v>
      </c>
      <c r="U47" s="33">
        <v>33.31</v>
      </c>
      <c r="V47" s="33">
        <v>59.88</v>
      </c>
      <c r="W47" s="33">
        <v>107.71</v>
      </c>
      <c r="X47" s="33">
        <v>86.52</v>
      </c>
      <c r="Y47" s="33">
        <v>69.36</v>
      </c>
      <c r="Z47" s="33">
        <v>33.07</v>
      </c>
      <c r="AA47" s="33">
        <v>33.79</v>
      </c>
      <c r="AB47" s="33">
        <v>33.12</v>
      </c>
      <c r="AC47" s="33">
        <v>35.08</v>
      </c>
      <c r="AD47" s="33">
        <v>81.31</v>
      </c>
      <c r="AE47" s="33">
        <v>43.64</v>
      </c>
      <c r="AF47" s="33">
        <v>33.74</v>
      </c>
      <c r="AG47" s="33">
        <v>33.55</v>
      </c>
      <c r="AH47" s="33">
        <v>70.35</v>
      </c>
      <c r="AI47" s="33">
        <v>92.61</v>
      </c>
      <c r="AJ47" s="33">
        <v>80.05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2223</v>
      </c>
      <c r="D48" s="50" t="s">
        <v>42</v>
      </c>
      <c r="E48" s="32" t="s">
        <v>3</v>
      </c>
      <c r="F48" s="32" t="s">
        <v>2258</v>
      </c>
      <c r="G48" s="32"/>
      <c r="H48" s="32"/>
      <c r="I48" s="32"/>
      <c r="J48" s="33">
        <v>31.76</v>
      </c>
      <c r="K48" s="33">
        <v>34.4</v>
      </c>
      <c r="L48" s="33">
        <v>43.05</v>
      </c>
      <c r="M48" s="33">
        <v>40.27</v>
      </c>
      <c r="N48" s="33">
        <v>30.34</v>
      </c>
      <c r="O48" s="33">
        <v>26.85</v>
      </c>
      <c r="P48" s="33">
        <v>26.85</v>
      </c>
      <c r="Q48" s="33">
        <v>26.85</v>
      </c>
      <c r="R48" s="33">
        <v>26.85</v>
      </c>
      <c r="S48" s="33">
        <v>26.85</v>
      </c>
      <c r="T48" s="33">
        <v>26.85</v>
      </c>
      <c r="U48" s="33">
        <v>26.85</v>
      </c>
      <c r="V48" s="33">
        <v>132.91</v>
      </c>
      <c r="W48" s="33">
        <v>137.24</v>
      </c>
      <c r="X48" s="33">
        <v>156.26</v>
      </c>
      <c r="Y48" s="33">
        <v>129.17</v>
      </c>
      <c r="Z48" s="33">
        <v>26.85</v>
      </c>
      <c r="AA48" s="33">
        <v>26.85</v>
      </c>
      <c r="AB48" s="33">
        <v>26.85</v>
      </c>
      <c r="AC48" s="33">
        <v>26.85</v>
      </c>
      <c r="AD48" s="33">
        <v>26.85</v>
      </c>
      <c r="AE48" s="33">
        <v>26.87</v>
      </c>
      <c r="AF48" s="33">
        <v>26.87</v>
      </c>
      <c r="AG48" s="33">
        <v>26.98</v>
      </c>
      <c r="AH48" s="33">
        <v>39.33</v>
      </c>
      <c r="AI48" s="33">
        <v>43.41</v>
      </c>
      <c r="AJ48" s="33">
        <v>43.17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2223</v>
      </c>
      <c r="D49" s="50" t="s">
        <v>42</v>
      </c>
      <c r="E49" s="32" t="s">
        <v>3</v>
      </c>
      <c r="F49" s="32" t="s">
        <v>2259</v>
      </c>
      <c r="G49" s="32"/>
      <c r="H49" s="32"/>
      <c r="I49" s="32"/>
      <c r="J49" s="33">
        <v>77.54</v>
      </c>
      <c r="K49" s="33">
        <v>85.6</v>
      </c>
      <c r="L49" s="33">
        <v>97.44</v>
      </c>
      <c r="M49" s="33">
        <v>91.48</v>
      </c>
      <c r="N49" s="33">
        <v>40.11</v>
      </c>
      <c r="O49" s="33">
        <v>26.85</v>
      </c>
      <c r="P49" s="33">
        <v>46.39</v>
      </c>
      <c r="Q49" s="33">
        <v>36.79</v>
      </c>
      <c r="R49" s="33">
        <v>26.85</v>
      </c>
      <c r="S49" s="33">
        <v>26.85</v>
      </c>
      <c r="T49" s="33">
        <v>26.85</v>
      </c>
      <c r="U49" s="33">
        <v>26.85</v>
      </c>
      <c r="V49" s="33">
        <v>64.31</v>
      </c>
      <c r="W49" s="33">
        <v>70.4</v>
      </c>
      <c r="X49" s="33">
        <v>79.89</v>
      </c>
      <c r="Y49" s="33">
        <v>79.63</v>
      </c>
      <c r="Z49" s="33">
        <v>50.24</v>
      </c>
      <c r="AA49" s="33">
        <v>26.85</v>
      </c>
      <c r="AB49" s="33">
        <v>26.85</v>
      </c>
      <c r="AC49" s="33">
        <v>26.85</v>
      </c>
      <c r="AD49" s="33">
        <v>26.85</v>
      </c>
      <c r="AE49" s="33">
        <v>26.87</v>
      </c>
      <c r="AF49" s="33">
        <v>26.87</v>
      </c>
      <c r="AG49" s="33">
        <v>26.87</v>
      </c>
      <c r="AH49" s="33">
        <v>72.19</v>
      </c>
      <c r="AI49" s="33">
        <v>66.93</v>
      </c>
      <c r="AJ49" s="33">
        <v>68.11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2223</v>
      </c>
      <c r="D50" s="50" t="s">
        <v>42</v>
      </c>
      <c r="E50" s="32" t="s">
        <v>3</v>
      </c>
      <c r="F50" s="32" t="s">
        <v>2260</v>
      </c>
      <c r="G50" s="32"/>
      <c r="H50" s="32"/>
      <c r="I50" s="32"/>
      <c r="J50" s="33">
        <v>56.09</v>
      </c>
      <c r="K50" s="33">
        <v>58.98</v>
      </c>
      <c r="L50" s="33">
        <v>66.62</v>
      </c>
      <c r="M50" s="33">
        <v>77.9</v>
      </c>
      <c r="N50" s="33">
        <v>92.89</v>
      </c>
      <c r="O50" s="33">
        <v>114.66</v>
      </c>
      <c r="P50" s="33">
        <v>124.34</v>
      </c>
      <c r="Q50" s="33">
        <v>121.5</v>
      </c>
      <c r="R50" s="33">
        <v>93.1</v>
      </c>
      <c r="S50" s="33">
        <v>26.85</v>
      </c>
      <c r="T50" s="33">
        <v>36.84</v>
      </c>
      <c r="U50" s="33">
        <v>60.37</v>
      </c>
      <c r="V50" s="33">
        <v>60.29</v>
      </c>
      <c r="W50" s="33">
        <v>54.79</v>
      </c>
      <c r="X50" s="33">
        <v>61.29</v>
      </c>
      <c r="Y50" s="33">
        <v>71.57</v>
      </c>
      <c r="Z50" s="33">
        <v>48.83</v>
      </c>
      <c r="AA50" s="33">
        <v>41.28</v>
      </c>
      <c r="AB50" s="33">
        <v>26.85</v>
      </c>
      <c r="AC50" s="33">
        <v>88.34</v>
      </c>
      <c r="AD50" s="33">
        <v>34.01</v>
      </c>
      <c r="AE50" s="33">
        <v>26.87</v>
      </c>
      <c r="AF50" s="33">
        <v>26.87</v>
      </c>
      <c r="AG50" s="33">
        <v>41.83</v>
      </c>
      <c r="AH50" s="33">
        <v>40.36</v>
      </c>
      <c r="AI50" s="33">
        <v>74.3</v>
      </c>
      <c r="AJ50" s="33">
        <v>72.7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2223</v>
      </c>
      <c r="D51" s="50" t="s">
        <v>42</v>
      </c>
      <c r="E51" s="32" t="s">
        <v>3</v>
      </c>
      <c r="F51" s="32" t="s">
        <v>2261</v>
      </c>
      <c r="G51" s="32"/>
      <c r="H51" s="32"/>
      <c r="I51" s="32"/>
      <c r="J51" s="33">
        <v>76.51</v>
      </c>
      <c r="K51" s="33">
        <v>76.63</v>
      </c>
      <c r="L51" s="33">
        <v>88.24</v>
      </c>
      <c r="M51" s="33">
        <v>77.9</v>
      </c>
      <c r="N51" s="33">
        <v>51.04</v>
      </c>
      <c r="O51" s="33">
        <v>176.9</v>
      </c>
      <c r="P51" s="33">
        <v>120.73</v>
      </c>
      <c r="Q51" s="33">
        <v>29</v>
      </c>
      <c r="R51" s="33">
        <v>42.54</v>
      </c>
      <c r="S51" s="33">
        <v>26.85</v>
      </c>
      <c r="T51" s="33">
        <v>63.41</v>
      </c>
      <c r="U51" s="33">
        <v>26.85</v>
      </c>
      <c r="V51" s="33">
        <v>33.11</v>
      </c>
      <c r="W51" s="33">
        <v>80.54</v>
      </c>
      <c r="X51" s="33">
        <v>62.06</v>
      </c>
      <c r="Y51" s="33">
        <v>64.54</v>
      </c>
      <c r="Z51" s="33">
        <v>49.6</v>
      </c>
      <c r="AA51" s="33">
        <v>36.12</v>
      </c>
      <c r="AB51" s="33">
        <v>115.64</v>
      </c>
      <c r="AC51" s="33">
        <v>27.43</v>
      </c>
      <c r="AD51" s="33">
        <v>35.82</v>
      </c>
      <c r="AE51" s="33">
        <v>27.09</v>
      </c>
      <c r="AF51" s="33">
        <v>91.03</v>
      </c>
      <c r="AG51" s="33">
        <v>78.66</v>
      </c>
      <c r="AH51" s="33">
        <v>41.85</v>
      </c>
      <c r="AI51" s="33">
        <v>123.31</v>
      </c>
      <c r="AJ51" s="33">
        <v>74.43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2223</v>
      </c>
      <c r="D52" s="50" t="s">
        <v>42</v>
      </c>
      <c r="E52" s="32" t="s">
        <v>3</v>
      </c>
      <c r="F52" s="32" t="s">
        <v>2262</v>
      </c>
      <c r="G52" s="32"/>
      <c r="H52" s="32"/>
      <c r="I52" s="32"/>
      <c r="J52" s="33">
        <v>96.91</v>
      </c>
      <c r="K52" s="33">
        <v>86.37</v>
      </c>
      <c r="L52" s="33">
        <v>84.79</v>
      </c>
      <c r="M52" s="33">
        <v>50.73</v>
      </c>
      <c r="N52" s="33">
        <v>40.44</v>
      </c>
      <c r="O52" s="33">
        <v>26.85</v>
      </c>
      <c r="P52" s="33">
        <v>26.85</v>
      </c>
      <c r="Q52" s="33">
        <v>26.85</v>
      </c>
      <c r="R52" s="33">
        <v>26.85</v>
      </c>
      <c r="S52" s="33">
        <v>26.85</v>
      </c>
      <c r="T52" s="33">
        <v>26.85</v>
      </c>
      <c r="U52" s="33">
        <v>40.67</v>
      </c>
      <c r="V52" s="33">
        <v>84.71</v>
      </c>
      <c r="W52" s="33">
        <v>98.99</v>
      </c>
      <c r="X52" s="33">
        <v>67.66</v>
      </c>
      <c r="Y52" s="33">
        <v>69.5</v>
      </c>
      <c r="Z52" s="33">
        <v>50.64</v>
      </c>
      <c r="AA52" s="33">
        <v>28.76</v>
      </c>
      <c r="AB52" s="33">
        <v>26.85</v>
      </c>
      <c r="AC52" s="33">
        <v>26.85</v>
      </c>
      <c r="AD52" s="33">
        <v>26.85</v>
      </c>
      <c r="AE52" s="33">
        <v>26.87</v>
      </c>
      <c r="AF52" s="33">
        <v>26.87</v>
      </c>
      <c r="AG52" s="33">
        <v>35.8</v>
      </c>
      <c r="AH52" s="33">
        <v>84.7</v>
      </c>
      <c r="AI52" s="33">
        <v>90.51</v>
      </c>
      <c r="AJ52" s="33">
        <v>88.52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2223</v>
      </c>
      <c r="D53" s="50" t="s">
        <v>42</v>
      </c>
      <c r="E53" s="32" t="s">
        <v>3</v>
      </c>
      <c r="F53" s="32" t="s">
        <v>2263</v>
      </c>
      <c r="G53" s="32"/>
      <c r="H53" s="32"/>
      <c r="I53" s="32"/>
      <c r="J53" s="33">
        <v>80.44</v>
      </c>
      <c r="K53" s="33">
        <v>102.97</v>
      </c>
      <c r="L53" s="33">
        <v>156.66</v>
      </c>
      <c r="M53" s="33">
        <v>167.4</v>
      </c>
      <c r="N53" s="33">
        <v>160.77</v>
      </c>
      <c r="O53" s="33">
        <v>147.2</v>
      </c>
      <c r="P53" s="33">
        <v>119.55</v>
      </c>
      <c r="Q53" s="33">
        <v>115.32</v>
      </c>
      <c r="R53" s="33">
        <v>151.5</v>
      </c>
      <c r="S53" s="33">
        <v>194.15</v>
      </c>
      <c r="T53" s="33">
        <v>154.53</v>
      </c>
      <c r="U53" s="33">
        <v>134.25</v>
      </c>
      <c r="V53" s="33">
        <v>115.77</v>
      </c>
      <c r="W53" s="33">
        <v>115.64</v>
      </c>
      <c r="X53" s="33">
        <v>138.01</v>
      </c>
      <c r="Y53" s="33">
        <v>152.33</v>
      </c>
      <c r="Z53" s="33">
        <v>199.91</v>
      </c>
      <c r="AA53" s="33">
        <v>246.29</v>
      </c>
      <c r="AB53" s="33">
        <v>204.75</v>
      </c>
      <c r="AC53" s="33">
        <v>241.9</v>
      </c>
      <c r="AD53" s="33">
        <v>209.77</v>
      </c>
      <c r="AE53" s="33">
        <v>185.55</v>
      </c>
      <c r="AF53" s="33">
        <v>159.77</v>
      </c>
      <c r="AG53" s="33">
        <v>100.39</v>
      </c>
      <c r="AH53" s="33">
        <v>111.98</v>
      </c>
      <c r="AI53" s="33">
        <v>106.32</v>
      </c>
      <c r="AJ53" s="33">
        <v>68.5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2223</v>
      </c>
      <c r="D54" s="50" t="s">
        <v>42</v>
      </c>
      <c r="E54" s="32" t="s">
        <v>3</v>
      </c>
      <c r="F54" s="32" t="s">
        <v>2264</v>
      </c>
      <c r="G54" s="32"/>
      <c r="H54" s="32"/>
      <c r="I54" s="32"/>
      <c r="J54" s="33">
        <v>161.05</v>
      </c>
      <c r="K54" s="33">
        <v>161.57</v>
      </c>
      <c r="L54" s="33">
        <v>174.6</v>
      </c>
      <c r="M54" s="33">
        <v>205.11</v>
      </c>
      <c r="N54" s="33">
        <v>40.91</v>
      </c>
      <c r="O54" s="33">
        <v>26.85</v>
      </c>
      <c r="P54" s="33">
        <v>51.76</v>
      </c>
      <c r="Q54" s="33">
        <v>26.85</v>
      </c>
      <c r="R54" s="33">
        <v>39.99</v>
      </c>
      <c r="S54" s="33">
        <v>175.66</v>
      </c>
      <c r="T54" s="33">
        <v>181.44</v>
      </c>
      <c r="U54" s="33">
        <v>153.72</v>
      </c>
      <c r="V54" s="33">
        <v>138.48</v>
      </c>
      <c r="W54" s="33">
        <v>137.88</v>
      </c>
      <c r="X54" s="33">
        <v>110.72</v>
      </c>
      <c r="Y54" s="33">
        <v>80.41</v>
      </c>
      <c r="Z54" s="33">
        <v>89.91</v>
      </c>
      <c r="AA54" s="33">
        <v>26.85</v>
      </c>
      <c r="AB54" s="33">
        <v>44.5</v>
      </c>
      <c r="AC54" s="33">
        <v>27.59</v>
      </c>
      <c r="AD54" s="33">
        <v>26.95</v>
      </c>
      <c r="AE54" s="33">
        <v>26.87</v>
      </c>
      <c r="AF54" s="33">
        <v>29.75</v>
      </c>
      <c r="AG54" s="33">
        <v>91.03</v>
      </c>
      <c r="AH54" s="33">
        <v>55.05</v>
      </c>
      <c r="AI54" s="33">
        <v>74.57</v>
      </c>
      <c r="AJ54" s="33">
        <v>67.21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2223</v>
      </c>
      <c r="D55" s="50" t="s">
        <v>42</v>
      </c>
      <c r="E55" s="32" t="s">
        <v>3</v>
      </c>
      <c r="F55" s="32" t="s">
        <v>2265</v>
      </c>
      <c r="G55" s="32"/>
      <c r="H55" s="32"/>
      <c r="I55" s="32"/>
      <c r="J55" s="33">
        <v>94.4</v>
      </c>
      <c r="K55" s="33">
        <v>88.34</v>
      </c>
      <c r="L55" s="33">
        <v>111.27</v>
      </c>
      <c r="M55" s="33">
        <v>138.48</v>
      </c>
      <c r="N55" s="33">
        <v>27.25</v>
      </c>
      <c r="O55" s="33">
        <v>27.28</v>
      </c>
      <c r="P55" s="33">
        <v>27.21</v>
      </c>
      <c r="Q55" s="33">
        <v>27.2</v>
      </c>
      <c r="R55" s="33">
        <v>27.28</v>
      </c>
      <c r="S55" s="33">
        <v>27.21</v>
      </c>
      <c r="T55" s="33">
        <v>27.25</v>
      </c>
      <c r="U55" s="33">
        <v>27.25</v>
      </c>
      <c r="V55" s="33">
        <v>35</v>
      </c>
      <c r="W55" s="33">
        <v>32.32</v>
      </c>
      <c r="X55" s="33">
        <v>76.92</v>
      </c>
      <c r="Y55" s="33">
        <v>27.9</v>
      </c>
      <c r="Z55" s="33">
        <v>27.32</v>
      </c>
      <c r="AA55" s="33">
        <v>26.95</v>
      </c>
      <c r="AB55" s="33">
        <v>26.85</v>
      </c>
      <c r="AC55" s="33">
        <v>26.95</v>
      </c>
      <c r="AD55" s="33">
        <v>26.85</v>
      </c>
      <c r="AE55" s="33">
        <v>26.87</v>
      </c>
      <c r="AF55" s="33">
        <v>27.03</v>
      </c>
      <c r="AG55" s="33">
        <v>27.51</v>
      </c>
      <c r="AH55" s="33">
        <v>64.81</v>
      </c>
      <c r="AI55" s="33">
        <v>86.41</v>
      </c>
      <c r="AJ55" s="33">
        <v>51.53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2223</v>
      </c>
      <c r="D56" s="50" t="s">
        <v>42</v>
      </c>
      <c r="E56" s="32" t="s">
        <v>3</v>
      </c>
      <c r="F56" s="32" t="s">
        <v>2266</v>
      </c>
      <c r="G56" s="32"/>
      <c r="H56" s="32"/>
      <c r="I56" s="32"/>
      <c r="J56" s="33">
        <v>106.65</v>
      </c>
      <c r="K56" s="33">
        <v>108.12</v>
      </c>
      <c r="L56" s="33">
        <v>152.98</v>
      </c>
      <c r="M56" s="33">
        <v>351.25</v>
      </c>
      <c r="N56" s="33">
        <v>218.01</v>
      </c>
      <c r="O56" s="33">
        <v>349.62</v>
      </c>
      <c r="P56" s="33">
        <v>266.98</v>
      </c>
      <c r="Q56" s="33">
        <v>312.72</v>
      </c>
      <c r="R56" s="33">
        <f>354.26+0.00</f>
        <v>354.26</v>
      </c>
      <c r="S56" s="33">
        <v>354.02</v>
      </c>
      <c r="T56" s="33">
        <v>207.94</v>
      </c>
      <c r="U56" s="33">
        <v>238.57</v>
      </c>
      <c r="V56" s="33">
        <v>198.83</v>
      </c>
      <c r="W56" s="33">
        <v>183.01</v>
      </c>
      <c r="X56" s="33">
        <v>235.79</v>
      </c>
      <c r="Y56" s="33">
        <v>260.41</v>
      </c>
      <c r="Z56" s="33">
        <v>422.58</v>
      </c>
      <c r="AA56" s="33">
        <v>415.35</v>
      </c>
      <c r="AB56" s="33">
        <v>421.17</v>
      </c>
      <c r="AC56" s="33">
        <v>436.53</v>
      </c>
      <c r="AD56" s="33">
        <v>405.53</v>
      </c>
      <c r="AE56" s="33">
        <v>382.4</v>
      </c>
      <c r="AF56" s="33">
        <v>392.67</v>
      </c>
      <c r="AG56" s="33">
        <v>256.96</v>
      </c>
      <c r="AH56" s="33">
        <v>226.72</v>
      </c>
      <c r="AI56" s="33">
        <v>200.11</v>
      </c>
      <c r="AJ56" s="33">
        <v>222.65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2223</v>
      </c>
      <c r="D57" s="50" t="s">
        <v>42</v>
      </c>
      <c r="E57" s="32" t="s">
        <v>3</v>
      </c>
      <c r="F57" s="32" t="s">
        <v>2267</v>
      </c>
      <c r="G57" s="32"/>
      <c r="H57" s="32"/>
      <c r="I57" s="32"/>
      <c r="J57" s="33">
        <v>50.07</v>
      </c>
      <c r="K57" s="33">
        <v>84.14</v>
      </c>
      <c r="L57" s="33">
        <v>90.62</v>
      </c>
      <c r="M57" s="33">
        <v>110.92</v>
      </c>
      <c r="N57" s="33">
        <v>119.44</v>
      </c>
      <c r="O57" s="33">
        <v>87.75</v>
      </c>
      <c r="P57" s="33">
        <v>65.96</v>
      </c>
      <c r="Q57" s="33">
        <v>67.44</v>
      </c>
      <c r="R57" s="33">
        <v>28.77</v>
      </c>
      <c r="S57" s="33">
        <v>28.56</v>
      </c>
      <c r="T57" s="33">
        <v>28.77</v>
      </c>
      <c r="U57" s="33">
        <v>80.66</v>
      </c>
      <c r="V57" s="33">
        <v>68.99</v>
      </c>
      <c r="W57" s="33">
        <v>66.63</v>
      </c>
      <c r="X57" s="33">
        <v>91.33</v>
      </c>
      <c r="Y57" s="33">
        <v>112.4</v>
      </c>
      <c r="Z57" s="33">
        <v>71.44</v>
      </c>
      <c r="AA57" s="33">
        <v>26.85</v>
      </c>
      <c r="AB57" s="33">
        <v>31.26</v>
      </c>
      <c r="AC57" s="33">
        <v>293.9</v>
      </c>
      <c r="AD57" s="33">
        <v>237.8</v>
      </c>
      <c r="AE57" s="33">
        <v>185.09</v>
      </c>
      <c r="AF57" s="33">
        <v>26.87</v>
      </c>
      <c r="AG57" s="33">
        <v>63.03</v>
      </c>
      <c r="AH57" s="33">
        <v>42.09</v>
      </c>
      <c r="AI57" s="33">
        <v>92.74</v>
      </c>
      <c r="AJ57" s="33">
        <v>102.84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2223</v>
      </c>
      <c r="D58" s="50" t="s">
        <v>42</v>
      </c>
      <c r="E58" s="32" t="s">
        <v>3</v>
      </c>
      <c r="F58" s="32" t="s">
        <v>2268</v>
      </c>
      <c r="G58" s="32"/>
      <c r="H58" s="32"/>
      <c r="I58" s="32"/>
      <c r="J58" s="33">
        <v>36.04</v>
      </c>
      <c r="K58" s="33">
        <v>38.34</v>
      </c>
      <c r="L58" s="33">
        <v>70.59</v>
      </c>
      <c r="M58" s="33">
        <v>71.42</v>
      </c>
      <c r="N58" s="33">
        <v>36.94</v>
      </c>
      <c r="O58" s="33">
        <v>73.41</v>
      </c>
      <c r="P58" s="33">
        <v>33.42</v>
      </c>
      <c r="Q58" s="33">
        <v>36.79</v>
      </c>
      <c r="R58" s="33">
        <v>48.84</v>
      </c>
      <c r="S58" s="33">
        <v>31.64</v>
      </c>
      <c r="T58" s="33">
        <v>27.98</v>
      </c>
      <c r="U58" s="33">
        <v>27.28</v>
      </c>
      <c r="V58" s="33">
        <v>26.85</v>
      </c>
      <c r="W58" s="33">
        <v>48.04</v>
      </c>
      <c r="X58" s="33">
        <v>75.59</v>
      </c>
      <c r="Y58" s="33">
        <v>84.57</v>
      </c>
      <c r="Z58" s="33">
        <v>27.17</v>
      </c>
      <c r="AA58" s="33">
        <v>26.85</v>
      </c>
      <c r="AB58" s="33">
        <v>26.85</v>
      </c>
      <c r="AC58" s="33">
        <v>26.85</v>
      </c>
      <c r="AD58" s="33">
        <v>26.85</v>
      </c>
      <c r="AE58" s="33">
        <v>26.87</v>
      </c>
      <c r="AF58" s="33">
        <v>26.87</v>
      </c>
      <c r="AG58" s="33">
        <v>26.87</v>
      </c>
      <c r="AH58" s="33">
        <v>33.38</v>
      </c>
      <c r="AI58" s="33">
        <v>84.18</v>
      </c>
      <c r="AJ58" s="33">
        <v>105.84</v>
      </c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2223</v>
      </c>
      <c r="D59" s="50" t="s">
        <v>42</v>
      </c>
      <c r="E59" s="32" t="s">
        <v>3</v>
      </c>
      <c r="F59" s="32" t="s">
        <v>2269</v>
      </c>
      <c r="G59" s="32"/>
      <c r="H59" s="32"/>
      <c r="I59" s="32"/>
      <c r="J59" s="33">
        <v>106.9</v>
      </c>
      <c r="K59" s="33">
        <v>93.1</v>
      </c>
      <c r="L59" s="33">
        <v>137.62</v>
      </c>
      <c r="M59" s="33">
        <v>157.19</v>
      </c>
      <c r="N59" s="33">
        <v>130.66</v>
      </c>
      <c r="O59" s="33">
        <v>28.16</v>
      </c>
      <c r="P59" s="33">
        <v>27.21</v>
      </c>
      <c r="Q59" s="33">
        <v>27.15</v>
      </c>
      <c r="R59" s="33">
        <v>27.25</v>
      </c>
      <c r="S59" s="33">
        <v>27.16</v>
      </c>
      <c r="T59" s="33">
        <v>27.21</v>
      </c>
      <c r="U59" s="33">
        <v>32.41</v>
      </c>
      <c r="V59" s="33">
        <v>138.9</v>
      </c>
      <c r="W59" s="33">
        <v>166.28</v>
      </c>
      <c r="X59" s="33">
        <v>154.46</v>
      </c>
      <c r="Y59" s="33">
        <v>163.54</v>
      </c>
      <c r="Z59" s="33">
        <v>121.12</v>
      </c>
      <c r="AA59" s="33">
        <v>28.34</v>
      </c>
      <c r="AB59" s="33">
        <v>26.95</v>
      </c>
      <c r="AC59" s="33">
        <v>27</v>
      </c>
      <c r="AD59" s="33">
        <v>26.85</v>
      </c>
      <c r="AE59" s="33">
        <v>27.03</v>
      </c>
      <c r="AF59" s="33">
        <v>30.17</v>
      </c>
      <c r="AG59" s="33">
        <v>55.26</v>
      </c>
      <c r="AH59" s="33">
        <v>119.89</v>
      </c>
      <c r="AI59" s="33">
        <v>105.51</v>
      </c>
      <c r="AJ59" s="33">
        <v>76.94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2223</v>
      </c>
      <c r="D60" s="50" t="s">
        <v>42</v>
      </c>
      <c r="E60" s="32" t="s">
        <v>3</v>
      </c>
      <c r="F60" s="32" t="s">
        <v>2270</v>
      </c>
      <c r="G60" s="32"/>
      <c r="H60" s="32"/>
      <c r="I60" s="32"/>
      <c r="J60" s="33">
        <v>70.2</v>
      </c>
      <c r="K60" s="33">
        <v>109.06</v>
      </c>
      <c r="L60" s="33">
        <v>117.59</v>
      </c>
      <c r="M60" s="33">
        <v>93.1</v>
      </c>
      <c r="N60" s="33">
        <v>102.91</v>
      </c>
      <c r="O60" s="33">
        <v>155.09</v>
      </c>
      <c r="P60" s="33">
        <v>127.9</v>
      </c>
      <c r="Q60" s="33">
        <v>146.86</v>
      </c>
      <c r="R60" s="33">
        <v>159.5</v>
      </c>
      <c r="S60" s="33">
        <v>145.43</v>
      </c>
      <c r="T60" s="33">
        <v>113.41</v>
      </c>
      <c r="U60" s="33">
        <v>106.75</v>
      </c>
      <c r="V60" s="33">
        <v>108.1</v>
      </c>
      <c r="W60" s="33">
        <v>129.94</v>
      </c>
      <c r="X60" s="33">
        <v>93.16</v>
      </c>
      <c r="Y60" s="33">
        <v>126.57</v>
      </c>
      <c r="Z60" s="33">
        <v>34.18</v>
      </c>
      <c r="AA60" s="33">
        <v>33.22</v>
      </c>
      <c r="AB60" s="33">
        <v>26.85</v>
      </c>
      <c r="AC60" s="33">
        <v>26.85</v>
      </c>
      <c r="AD60" s="33">
        <v>26.85</v>
      </c>
      <c r="AE60" s="33">
        <v>26.87</v>
      </c>
      <c r="AF60" s="33">
        <v>27.93</v>
      </c>
      <c r="AG60" s="33">
        <v>36.24</v>
      </c>
      <c r="AH60" s="33">
        <v>37.72</v>
      </c>
      <c r="AI60" s="33">
        <v>42.49</v>
      </c>
      <c r="AJ60" s="33">
        <v>43.69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2223</v>
      </c>
      <c r="D61" s="50" t="s">
        <v>42</v>
      </c>
      <c r="E61" s="32" t="s">
        <v>3</v>
      </c>
      <c r="F61" s="32" t="s">
        <v>2271</v>
      </c>
      <c r="G61" s="32"/>
      <c r="H61" s="32"/>
      <c r="I61" s="32"/>
      <c r="J61" s="33">
        <v>81</v>
      </c>
      <c r="K61" s="33">
        <v>95.6</v>
      </c>
      <c r="L61" s="33">
        <v>111.8</v>
      </c>
      <c r="M61" s="33">
        <v>94.84</v>
      </c>
      <c r="N61" s="33">
        <v>92.31</v>
      </c>
      <c r="O61" s="33">
        <v>105.59</v>
      </c>
      <c r="P61" s="33">
        <v>32.03</v>
      </c>
      <c r="Q61" s="33">
        <v>26.85</v>
      </c>
      <c r="R61" s="33">
        <v>131.9</v>
      </c>
      <c r="S61" s="33">
        <v>143.36</v>
      </c>
      <c r="T61" s="33">
        <v>62.33</v>
      </c>
      <c r="U61" s="33">
        <v>42.09</v>
      </c>
      <c r="V61" s="33">
        <v>99.12</v>
      </c>
      <c r="W61" s="33">
        <v>121.75</v>
      </c>
      <c r="X61" s="33">
        <v>97.83</v>
      </c>
      <c r="Y61" s="33">
        <v>110.31</v>
      </c>
      <c r="Z61" s="33">
        <v>111.99</v>
      </c>
      <c r="AA61" s="33">
        <v>149.75</v>
      </c>
      <c r="AB61" s="33">
        <v>132.94</v>
      </c>
      <c r="AC61" s="33">
        <v>108.62</v>
      </c>
      <c r="AD61" s="33">
        <v>100.03</v>
      </c>
      <c r="AE61" s="33">
        <v>82.82</v>
      </c>
      <c r="AF61" s="33">
        <v>93.61</v>
      </c>
      <c r="AG61" s="33">
        <v>106.27</v>
      </c>
      <c r="AH61" s="33">
        <v>69.54</v>
      </c>
      <c r="AI61" s="33">
        <v>106.96</v>
      </c>
      <c r="AJ61" s="33">
        <v>114.27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2223</v>
      </c>
      <c r="D62" s="50" t="s">
        <v>42</v>
      </c>
      <c r="E62" s="32" t="s">
        <v>3</v>
      </c>
      <c r="F62" s="32" t="s">
        <v>2272</v>
      </c>
      <c r="G62" s="32"/>
      <c r="H62" s="32"/>
      <c r="I62" s="32"/>
      <c r="J62" s="33">
        <v>89.66</v>
      </c>
      <c r="K62" s="33">
        <v>127.08</v>
      </c>
      <c r="L62" s="33">
        <v>156.36</v>
      </c>
      <c r="M62" s="33">
        <v>151.62</v>
      </c>
      <c r="N62" s="33">
        <v>56.99</v>
      </c>
      <c r="O62" s="33">
        <v>26.85</v>
      </c>
      <c r="P62" s="33">
        <v>26.85</v>
      </c>
      <c r="Q62" s="33">
        <v>31.39</v>
      </c>
      <c r="R62" s="33">
        <v>301.92</v>
      </c>
      <c r="S62" s="33">
        <v>155.91</v>
      </c>
      <c r="T62" s="33">
        <v>26.85</v>
      </c>
      <c r="U62" s="33">
        <v>26.85</v>
      </c>
      <c r="V62" s="33">
        <v>27.07</v>
      </c>
      <c r="W62" s="33">
        <v>39.05</v>
      </c>
      <c r="X62" s="33">
        <v>149.75</v>
      </c>
      <c r="Y62" s="33">
        <v>189.31</v>
      </c>
      <c r="Z62" s="33">
        <v>27.96</v>
      </c>
      <c r="AA62" s="33">
        <v>30.73</v>
      </c>
      <c r="AB62" s="33">
        <v>28.59</v>
      </c>
      <c r="AC62" s="33">
        <v>73.9</v>
      </c>
      <c r="AD62" s="33">
        <v>26.85</v>
      </c>
      <c r="AE62" s="33">
        <v>26.87</v>
      </c>
      <c r="AF62" s="33">
        <v>26.87</v>
      </c>
      <c r="AG62" s="33">
        <v>34.58</v>
      </c>
      <c r="AH62" s="33">
        <v>43.04</v>
      </c>
      <c r="AI62" s="33">
        <v>45.97</v>
      </c>
      <c r="AJ62" s="33">
        <v>52.56</v>
      </c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2223</v>
      </c>
      <c r="D63" s="50" t="s">
        <v>42</v>
      </c>
      <c r="E63" s="32" t="s">
        <v>3</v>
      </c>
      <c r="F63" s="32" t="s">
        <v>2273</v>
      </c>
      <c r="G63" s="32"/>
      <c r="H63" s="32"/>
      <c r="I63" s="32"/>
      <c r="J63" s="33">
        <v>38.33</v>
      </c>
      <c r="K63" s="33">
        <v>55.82</v>
      </c>
      <c r="L63" s="33">
        <v>65.31</v>
      </c>
      <c r="M63" s="33">
        <v>74.9</v>
      </c>
      <c r="N63" s="33">
        <v>27.09</v>
      </c>
      <c r="O63" s="33">
        <v>26.85</v>
      </c>
      <c r="P63" s="33">
        <v>26.85</v>
      </c>
      <c r="Q63" s="33">
        <v>26.85</v>
      </c>
      <c r="R63" s="33">
        <v>26.85</v>
      </c>
      <c r="S63" s="33">
        <v>26.85</v>
      </c>
      <c r="T63" s="33">
        <v>28.08</v>
      </c>
      <c r="U63" s="33">
        <v>144.73</v>
      </c>
      <c r="V63" s="33">
        <v>87.96</v>
      </c>
      <c r="W63" s="33">
        <v>129.7</v>
      </c>
      <c r="X63" s="33">
        <v>131.77</v>
      </c>
      <c r="Y63" s="33">
        <v>141.86</v>
      </c>
      <c r="Z63" s="33">
        <v>28.16</v>
      </c>
      <c r="AA63" s="33">
        <v>26.85</v>
      </c>
      <c r="AB63" s="33">
        <v>26.85</v>
      </c>
      <c r="AC63" s="33">
        <v>26.85</v>
      </c>
      <c r="AD63" s="33">
        <v>26.85</v>
      </c>
      <c r="AE63" s="33">
        <v>26.87</v>
      </c>
      <c r="AF63" s="33">
        <v>26.87</v>
      </c>
      <c r="AG63" s="33">
        <v>26.87</v>
      </c>
      <c r="AH63" s="33">
        <v>32.25</v>
      </c>
      <c r="AI63" s="33">
        <v>94.73</v>
      </c>
      <c r="AJ63" s="33">
        <v>84.69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2223</v>
      </c>
      <c r="D64" s="50" t="s">
        <v>42</v>
      </c>
      <c r="E64" s="32" t="s">
        <v>3</v>
      </c>
      <c r="F64" s="32" t="s">
        <v>2274</v>
      </c>
      <c r="G64" s="32"/>
      <c r="H64" s="32"/>
      <c r="I64" s="32"/>
      <c r="J64" s="33">
        <v>26.85</v>
      </c>
      <c r="K64" s="33">
        <v>73.74</v>
      </c>
      <c r="L64" s="33">
        <v>107.59</v>
      </c>
      <c r="M64" s="33">
        <v>109.05</v>
      </c>
      <c r="N64" s="33">
        <v>31.95</v>
      </c>
      <c r="O64" s="33">
        <v>26.85</v>
      </c>
      <c r="P64" s="33">
        <v>30.1</v>
      </c>
      <c r="Q64" s="33">
        <v>26.85</v>
      </c>
      <c r="R64" s="33">
        <v>26.85</v>
      </c>
      <c r="S64" s="33">
        <v>26.85</v>
      </c>
      <c r="T64" s="33">
        <v>28.56</v>
      </c>
      <c r="U64" s="33">
        <v>75.17</v>
      </c>
      <c r="V64" s="33">
        <v>41.05</v>
      </c>
      <c r="W64" s="33">
        <v>102.9</v>
      </c>
      <c r="X64" s="33">
        <v>93.8</v>
      </c>
      <c r="Y64" s="33">
        <v>102.13</v>
      </c>
      <c r="Z64" s="33">
        <v>35.95</v>
      </c>
      <c r="AA64" s="33">
        <v>26.85</v>
      </c>
      <c r="AB64" s="33">
        <v>26.85</v>
      </c>
      <c r="AC64" s="33">
        <v>26.85</v>
      </c>
      <c r="AD64" s="33">
        <v>26.85</v>
      </c>
      <c r="AE64" s="33">
        <v>26.87</v>
      </c>
      <c r="AF64" s="33">
        <v>26.87</v>
      </c>
      <c r="AG64" s="33">
        <v>26.87</v>
      </c>
      <c r="AH64" s="33">
        <v>33.15</v>
      </c>
      <c r="AI64" s="33">
        <v>116.46</v>
      </c>
      <c r="AJ64" s="33">
        <v>106.37</v>
      </c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2223</v>
      </c>
      <c r="D65" s="50" t="s">
        <v>42</v>
      </c>
      <c r="E65" s="32" t="s">
        <v>3</v>
      </c>
      <c r="F65" s="32" t="s">
        <v>2275</v>
      </c>
      <c r="G65" s="32"/>
      <c r="H65" s="32"/>
      <c r="I65" s="32"/>
      <c r="J65" s="33">
        <v>55.84</v>
      </c>
      <c r="K65" s="33">
        <v>61.21</v>
      </c>
      <c r="L65" s="33">
        <v>72.54</v>
      </c>
      <c r="M65" s="33">
        <v>97.84</v>
      </c>
      <c r="N65" s="33">
        <v>105.94</v>
      </c>
      <c r="O65" s="33">
        <v>170.53</v>
      </c>
      <c r="P65" s="33">
        <v>143.63</v>
      </c>
      <c r="Q65" s="33">
        <v>158.04</v>
      </c>
      <c r="R65" s="33">
        <v>175.79</v>
      </c>
      <c r="S65" s="33">
        <v>154.26</v>
      </c>
      <c r="T65" s="33">
        <v>97.43</v>
      </c>
      <c r="U65" s="33">
        <v>92.54</v>
      </c>
      <c r="V65" s="33">
        <v>106.15</v>
      </c>
      <c r="W65" s="33">
        <v>90.4</v>
      </c>
      <c r="X65" s="33">
        <v>126.06</v>
      </c>
      <c r="Y65" s="33">
        <v>124.12</v>
      </c>
      <c r="Z65" s="33">
        <v>184.91</v>
      </c>
      <c r="AA65" s="33">
        <v>217.5</v>
      </c>
      <c r="AB65" s="33">
        <v>182.63</v>
      </c>
      <c r="AC65" s="33">
        <v>233.42</v>
      </c>
      <c r="AD65" s="33">
        <v>218.56</v>
      </c>
      <c r="AE65" s="33">
        <v>178.57</v>
      </c>
      <c r="AF65" s="33">
        <v>163.41</v>
      </c>
      <c r="AG65" s="33">
        <v>110.04</v>
      </c>
      <c r="AH65" s="33">
        <v>111.84</v>
      </c>
      <c r="AI65" s="33">
        <v>99.46</v>
      </c>
      <c r="AJ65" s="33">
        <v>109.66</v>
      </c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2223</v>
      </c>
      <c r="D66" s="50" t="s">
        <v>42</v>
      </c>
      <c r="E66" s="32" t="s">
        <v>3</v>
      </c>
      <c r="F66" s="32" t="s">
        <v>2276</v>
      </c>
      <c r="G66" s="32"/>
      <c r="H66" s="32"/>
      <c r="I66" s="32"/>
      <c r="J66" s="33">
        <v>98.87</v>
      </c>
      <c r="K66" s="33">
        <v>161.12</v>
      </c>
      <c r="L66" s="33">
        <v>127.22</v>
      </c>
      <c r="M66" s="33">
        <v>123.37</v>
      </c>
      <c r="N66" s="33">
        <v>119.44</v>
      </c>
      <c r="O66" s="33">
        <v>26.85</v>
      </c>
      <c r="P66" s="33">
        <v>26.85</v>
      </c>
      <c r="Q66" s="33">
        <v>26.85</v>
      </c>
      <c r="R66" s="33">
        <v>26.85</v>
      </c>
      <c r="S66" s="33">
        <v>26.85</v>
      </c>
      <c r="T66" s="33">
        <v>26.85</v>
      </c>
      <c r="U66" s="33">
        <v>49.88</v>
      </c>
      <c r="V66" s="33">
        <v>46.78</v>
      </c>
      <c r="W66" s="33">
        <v>74.8</v>
      </c>
      <c r="X66" s="33">
        <v>78.34</v>
      </c>
      <c r="Y66" s="33">
        <v>79.89</v>
      </c>
      <c r="Z66" s="33">
        <v>33.75</v>
      </c>
      <c r="AA66" s="33">
        <v>26.85</v>
      </c>
      <c r="AB66" s="33">
        <v>26.85</v>
      </c>
      <c r="AC66" s="33">
        <v>26.85</v>
      </c>
      <c r="AD66" s="33">
        <v>26.85</v>
      </c>
      <c r="AE66" s="33">
        <v>26.87</v>
      </c>
      <c r="AF66" s="33">
        <v>26.87</v>
      </c>
      <c r="AG66" s="33">
        <v>26.87</v>
      </c>
      <c r="AH66" s="33">
        <v>32.25</v>
      </c>
      <c r="AI66" s="33">
        <v>64.14</v>
      </c>
      <c r="AJ66" s="33">
        <v>78.64</v>
      </c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2223</v>
      </c>
      <c r="D67" s="50" t="s">
        <v>42</v>
      </c>
      <c r="E67" s="32" t="s">
        <v>3</v>
      </c>
      <c r="F67" s="32" t="s">
        <v>2277</v>
      </c>
      <c r="G67" s="32"/>
      <c r="H67" s="32"/>
      <c r="I67" s="32"/>
      <c r="J67" s="33">
        <v>26.85</v>
      </c>
      <c r="K67" s="33">
        <v>26.85</v>
      </c>
      <c r="L67" s="33">
        <v>26.85</v>
      </c>
      <c r="M67" s="33">
        <v>26.85</v>
      </c>
      <c r="N67" s="33">
        <v>26.85</v>
      </c>
      <c r="O67" s="33">
        <v>26.85</v>
      </c>
      <c r="P67" s="33">
        <v>26.85</v>
      </c>
      <c r="Q67" s="33">
        <v>26.85</v>
      </c>
      <c r="R67" s="33">
        <v>26.85</v>
      </c>
      <c r="S67" s="33">
        <v>26.85</v>
      </c>
      <c r="T67" s="33">
        <v>26.85</v>
      </c>
      <c r="U67" s="33">
        <v>26.85</v>
      </c>
      <c r="V67" s="33">
        <v>26.85</v>
      </c>
      <c r="W67" s="33">
        <v>26.85</v>
      </c>
      <c r="X67" s="33">
        <v>26.85</v>
      </c>
      <c r="Y67" s="33">
        <v>26.85</v>
      </c>
      <c r="Z67" s="33">
        <v>26.85</v>
      </c>
      <c r="AA67" s="33">
        <v>26.85</v>
      </c>
      <c r="AB67" s="33">
        <v>26.85</v>
      </c>
      <c r="AC67" s="33">
        <v>26.85</v>
      </c>
      <c r="AD67" s="33">
        <v>26.85</v>
      </c>
      <c r="AE67" s="33">
        <v>26.87</v>
      </c>
      <c r="AF67" s="33">
        <v>26.87</v>
      </c>
      <c r="AG67" s="33">
        <v>26.87</v>
      </c>
      <c r="AH67" s="33">
        <v>32.25</v>
      </c>
      <c r="AI67" s="33">
        <v>32.25</v>
      </c>
      <c r="AJ67" s="33">
        <v>32.19</v>
      </c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2223</v>
      </c>
      <c r="D68" s="50" t="s">
        <v>42</v>
      </c>
      <c r="E68" s="32" t="s">
        <v>3</v>
      </c>
      <c r="F68" s="32" t="s">
        <v>2278</v>
      </c>
      <c r="G68" s="32"/>
      <c r="H68" s="32"/>
      <c r="I68" s="32"/>
      <c r="J68" s="33">
        <v>34.93</v>
      </c>
      <c r="K68" s="33">
        <v>52.13</v>
      </c>
      <c r="L68" s="33">
        <v>52.8</v>
      </c>
      <c r="M68" s="33">
        <v>86.5</v>
      </c>
      <c r="N68" s="33">
        <v>40.79</v>
      </c>
      <c r="O68" s="33">
        <v>29.49</v>
      </c>
      <c r="P68" s="33">
        <v>26.85</v>
      </c>
      <c r="Q68" s="33">
        <v>26.85</v>
      </c>
      <c r="R68" s="33">
        <v>26.85</v>
      </c>
      <c r="S68" s="33">
        <v>26.85</v>
      </c>
      <c r="T68" s="33">
        <v>32.38</v>
      </c>
      <c r="U68" s="33">
        <v>100.58</v>
      </c>
      <c r="V68" s="33">
        <v>91.86</v>
      </c>
      <c r="W68" s="33">
        <v>86.38</v>
      </c>
      <c r="X68" s="33">
        <v>102.79</v>
      </c>
      <c r="Y68" s="33">
        <v>116.44</v>
      </c>
      <c r="Z68" s="33">
        <v>45.81</v>
      </c>
      <c r="AA68" s="33">
        <v>26.85</v>
      </c>
      <c r="AB68" s="33">
        <v>26.85</v>
      </c>
      <c r="AC68" s="33">
        <v>26.85</v>
      </c>
      <c r="AD68" s="33">
        <v>26.85</v>
      </c>
      <c r="AE68" s="33">
        <v>26.87</v>
      </c>
      <c r="AF68" s="33">
        <v>33.78</v>
      </c>
      <c r="AG68" s="33">
        <v>110.15</v>
      </c>
      <c r="AH68" s="33">
        <v>106.46</v>
      </c>
      <c r="AI68" s="33">
        <v>122.67</v>
      </c>
      <c r="AJ68" s="33">
        <v>111.24</v>
      </c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2223</v>
      </c>
      <c r="D69" s="50" t="s">
        <v>42</v>
      </c>
      <c r="E69" s="32" t="s">
        <v>3</v>
      </c>
      <c r="F69" s="32" t="s">
        <v>2279</v>
      </c>
      <c r="G69" s="32"/>
      <c r="H69" s="32"/>
      <c r="I69" s="32"/>
      <c r="J69" s="33">
        <v>100.57</v>
      </c>
      <c r="K69" s="33">
        <v>103.37</v>
      </c>
      <c r="L69" s="33">
        <v>106.8</v>
      </c>
      <c r="M69" s="33">
        <v>127.73</v>
      </c>
      <c r="N69" s="33">
        <v>135.37</v>
      </c>
      <c r="O69" s="33">
        <v>128.32</v>
      </c>
      <c r="P69" s="33">
        <v>85.77</v>
      </c>
      <c r="Q69" s="33">
        <v>28.78</v>
      </c>
      <c r="R69" s="33">
        <v>29.72</v>
      </c>
      <c r="S69" s="33">
        <v>86.71</v>
      </c>
      <c r="T69" s="33">
        <v>98.93</v>
      </c>
      <c r="U69" s="33">
        <v>98.6</v>
      </c>
      <c r="V69" s="33">
        <v>99</v>
      </c>
      <c r="W69" s="33">
        <v>98.48</v>
      </c>
      <c r="X69" s="33">
        <v>105.88</v>
      </c>
      <c r="Y69" s="33">
        <v>111.61</v>
      </c>
      <c r="Z69" s="33">
        <v>154.6</v>
      </c>
      <c r="AA69" s="33">
        <v>196.14</v>
      </c>
      <c r="AB69" s="33">
        <v>143.83</v>
      </c>
      <c r="AC69" s="33">
        <v>26.85</v>
      </c>
      <c r="AD69" s="33">
        <v>32.06</v>
      </c>
      <c r="AE69" s="33">
        <v>52.76</v>
      </c>
      <c r="AF69" s="33">
        <v>35.8</v>
      </c>
      <c r="AG69" s="33">
        <v>34.16</v>
      </c>
      <c r="AH69" s="33">
        <v>75.6</v>
      </c>
      <c r="AI69" s="33">
        <v>58.51</v>
      </c>
      <c r="AJ69" s="33">
        <v>42.8</v>
      </c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2223</v>
      </c>
      <c r="D70" s="50" t="s">
        <v>42</v>
      </c>
      <c r="E70" s="32" t="s">
        <v>3</v>
      </c>
      <c r="F70" s="32" t="s">
        <v>2280</v>
      </c>
      <c r="G70" s="32"/>
      <c r="H70" s="32"/>
      <c r="I70" s="32"/>
      <c r="J70" s="33">
        <v>33.37</v>
      </c>
      <c r="K70" s="33">
        <v>80.99</v>
      </c>
      <c r="L70" s="33">
        <v>80.58</v>
      </c>
      <c r="M70" s="33">
        <v>125.24</v>
      </c>
      <c r="N70" s="33">
        <v>66.9</v>
      </c>
      <c r="O70" s="33">
        <v>26.85</v>
      </c>
      <c r="P70" s="33">
        <v>26.85</v>
      </c>
      <c r="Q70" s="33">
        <v>65.72</v>
      </c>
      <c r="R70" s="33">
        <v>62.71</v>
      </c>
      <c r="S70" s="33">
        <v>56.17</v>
      </c>
      <c r="T70" s="33">
        <v>40.44</v>
      </c>
      <c r="U70" s="33">
        <v>29.49</v>
      </c>
      <c r="V70" s="33">
        <v>42.61</v>
      </c>
      <c r="W70" s="33">
        <v>87.32</v>
      </c>
      <c r="X70" s="33">
        <v>82.48</v>
      </c>
      <c r="Y70" s="33">
        <v>99.65</v>
      </c>
      <c r="Z70" s="33">
        <v>26.85</v>
      </c>
      <c r="AA70" s="33">
        <v>35.98</v>
      </c>
      <c r="AB70" s="33">
        <v>26.85</v>
      </c>
      <c r="AC70" s="33">
        <v>26.85</v>
      </c>
      <c r="AD70" s="33">
        <v>26.85</v>
      </c>
      <c r="AE70" s="33">
        <v>26.87</v>
      </c>
      <c r="AF70" s="33">
        <v>26.87</v>
      </c>
      <c r="AG70" s="33">
        <v>87.89</v>
      </c>
      <c r="AH70" s="33">
        <v>75.09</v>
      </c>
      <c r="AI70" s="33">
        <v>89.71</v>
      </c>
      <c r="AJ70" s="33">
        <v>107.7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2223</v>
      </c>
      <c r="D71" s="50" t="s">
        <v>42</v>
      </c>
      <c r="E71" s="32" t="s">
        <v>3</v>
      </c>
      <c r="F71" s="32" t="s">
        <v>2281</v>
      </c>
      <c r="G71" s="32"/>
      <c r="H71" s="32"/>
      <c r="I71" s="32"/>
      <c r="J71" s="33">
        <v>26.85</v>
      </c>
      <c r="K71" s="33">
        <v>38.96</v>
      </c>
      <c r="L71" s="33">
        <v>41.19</v>
      </c>
      <c r="M71" s="33">
        <v>74.16</v>
      </c>
      <c r="N71" s="33">
        <v>33.77</v>
      </c>
      <c r="O71" s="33">
        <v>26.85</v>
      </c>
      <c r="P71" s="33">
        <v>26.85</v>
      </c>
      <c r="Q71" s="33">
        <v>26.85</v>
      </c>
      <c r="R71" s="33">
        <v>26.85</v>
      </c>
      <c r="S71" s="33">
        <v>26.85</v>
      </c>
      <c r="T71" s="33">
        <v>26.85</v>
      </c>
      <c r="U71" s="33">
        <v>26.85</v>
      </c>
      <c r="V71" s="33">
        <v>26.85</v>
      </c>
      <c r="W71" s="33">
        <v>48.54</v>
      </c>
      <c r="X71" s="33">
        <v>72.22</v>
      </c>
      <c r="Y71" s="33">
        <v>29.67</v>
      </c>
      <c r="Z71" s="33">
        <v>26.85</v>
      </c>
      <c r="AA71" s="33">
        <v>26.85</v>
      </c>
      <c r="AB71" s="33">
        <v>26.85</v>
      </c>
      <c r="AC71" s="33">
        <v>26.85</v>
      </c>
      <c r="AD71" s="33">
        <v>26.85</v>
      </c>
      <c r="AE71" s="33">
        <v>26.87</v>
      </c>
      <c r="AF71" s="33">
        <v>26.87</v>
      </c>
      <c r="AG71" s="33">
        <v>37.81</v>
      </c>
      <c r="AH71" s="33">
        <v>56.64</v>
      </c>
      <c r="AI71" s="33">
        <v>73.77</v>
      </c>
      <c r="AJ71" s="33">
        <v>80.6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2223</v>
      </c>
      <c r="D72" s="50" t="s">
        <v>42</v>
      </c>
      <c r="E72" s="32" t="s">
        <v>3</v>
      </c>
      <c r="F72" s="32" t="s">
        <v>2282</v>
      </c>
      <c r="G72" s="32"/>
      <c r="H72" s="32"/>
      <c r="I72" s="32"/>
      <c r="J72" s="33">
        <v>107.29</v>
      </c>
      <c r="K72" s="33">
        <v>123.13</v>
      </c>
      <c r="L72" s="33">
        <v>123.27</v>
      </c>
      <c r="M72" s="33">
        <v>140.54</v>
      </c>
      <c r="N72" s="33">
        <v>56.4</v>
      </c>
      <c r="O72" s="33">
        <v>26.85</v>
      </c>
      <c r="P72" s="33">
        <v>26.85</v>
      </c>
      <c r="Q72" s="33">
        <v>26.85</v>
      </c>
      <c r="R72" s="33">
        <v>26.85</v>
      </c>
      <c r="S72" s="33">
        <v>26.85</v>
      </c>
      <c r="T72" s="33">
        <v>26.85</v>
      </c>
      <c r="U72" s="33">
        <v>88.69</v>
      </c>
      <c r="V72" s="33">
        <v>130.05</v>
      </c>
      <c r="W72" s="33">
        <v>129.42</v>
      </c>
      <c r="X72" s="33">
        <v>123.57</v>
      </c>
      <c r="Y72" s="33">
        <v>137.63</v>
      </c>
      <c r="Z72" s="33">
        <v>65.59</v>
      </c>
      <c r="AA72" s="33">
        <v>26.85</v>
      </c>
      <c r="AB72" s="33">
        <v>26.85</v>
      </c>
      <c r="AC72" s="33">
        <v>26.85</v>
      </c>
      <c r="AD72" s="33">
        <v>26.85</v>
      </c>
      <c r="AE72" s="33">
        <v>100.12</v>
      </c>
      <c r="AF72" s="33">
        <v>69.02</v>
      </c>
      <c r="AG72" s="33">
        <v>52.62</v>
      </c>
      <c r="AH72" s="33">
        <v>43.52</v>
      </c>
      <c r="AI72" s="33">
        <v>42.64</v>
      </c>
      <c r="AJ72" s="33">
        <v>55.88</v>
      </c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2223</v>
      </c>
      <c r="D73" s="50" t="s">
        <v>42</v>
      </c>
      <c r="E73" s="32" t="s">
        <v>3</v>
      </c>
      <c r="F73" s="32" t="s">
        <v>2283</v>
      </c>
      <c r="G73" s="32"/>
      <c r="H73" s="32"/>
      <c r="I73" s="32"/>
      <c r="J73" s="33">
        <v>195.47</v>
      </c>
      <c r="K73" s="33">
        <v>134.73</v>
      </c>
      <c r="L73" s="33">
        <v>228.2</v>
      </c>
      <c r="M73" s="33">
        <v>79.16</v>
      </c>
      <c r="N73" s="33">
        <v>72.25</v>
      </c>
      <c r="O73" s="33">
        <v>73.41</v>
      </c>
      <c r="P73" s="33">
        <v>32.81</v>
      </c>
      <c r="Q73" s="33">
        <v>26.85</v>
      </c>
      <c r="R73" s="33">
        <v>26.85</v>
      </c>
      <c r="S73" s="33">
        <v>31.14</v>
      </c>
      <c r="T73" s="33">
        <v>39.84</v>
      </c>
      <c r="U73" s="33">
        <v>26.85</v>
      </c>
      <c r="V73" s="33">
        <v>26.85</v>
      </c>
      <c r="W73" s="33">
        <v>63.89</v>
      </c>
      <c r="X73" s="33">
        <v>44.25</v>
      </c>
      <c r="Y73" s="33">
        <v>43.36</v>
      </c>
      <c r="Z73" s="33">
        <v>165.51</v>
      </c>
      <c r="AA73" s="33">
        <v>209.17</v>
      </c>
      <c r="AB73" s="33">
        <v>148.85</v>
      </c>
      <c r="AC73" s="33">
        <v>69.87</v>
      </c>
      <c r="AD73" s="33">
        <v>39.94</v>
      </c>
      <c r="AE73" s="33">
        <v>33</v>
      </c>
      <c r="AF73" s="33">
        <v>28.32</v>
      </c>
      <c r="AG73" s="33">
        <v>47.3</v>
      </c>
      <c r="AH73" s="33">
        <v>55.19</v>
      </c>
      <c r="AI73" s="33">
        <v>59.13</v>
      </c>
      <c r="AJ73" s="33">
        <v>53.38</v>
      </c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2223</v>
      </c>
      <c r="D74" s="50" t="s">
        <v>42</v>
      </c>
      <c r="E74" s="32" t="s">
        <v>3</v>
      </c>
      <c r="F74" s="32" t="s">
        <v>2284</v>
      </c>
      <c r="G74" s="32"/>
      <c r="H74" s="32"/>
      <c r="I74" s="32"/>
      <c r="J74" s="33">
        <v>122.43</v>
      </c>
      <c r="K74" s="33">
        <v>113.39</v>
      </c>
      <c r="L74" s="33">
        <v>44.89</v>
      </c>
      <c r="M74" s="33">
        <v>74.43</v>
      </c>
      <c r="N74" s="33">
        <v>134.52</v>
      </c>
      <c r="O74" s="33">
        <v>235.97</v>
      </c>
      <c r="P74" s="33">
        <v>74.01</v>
      </c>
      <c r="Q74" s="33">
        <v>30.64</v>
      </c>
      <c r="R74" s="33">
        <v>77.51</v>
      </c>
      <c r="S74" s="33">
        <v>91.02</v>
      </c>
      <c r="T74" s="33">
        <v>31.09</v>
      </c>
      <c r="U74" s="33">
        <v>29.45</v>
      </c>
      <c r="V74" s="33">
        <v>137.08</v>
      </c>
      <c r="W74" s="33">
        <v>90.05</v>
      </c>
      <c r="X74" s="33">
        <v>70.14</v>
      </c>
      <c r="Y74" s="33">
        <v>72.73</v>
      </c>
      <c r="Z74" s="33">
        <v>96.77</v>
      </c>
      <c r="AA74" s="33">
        <v>110.44</v>
      </c>
      <c r="AB74" s="33">
        <v>33.16</v>
      </c>
      <c r="AC74" s="33">
        <v>26.85</v>
      </c>
      <c r="AD74" s="33">
        <v>178.69</v>
      </c>
      <c r="AE74" s="33">
        <v>134.74</v>
      </c>
      <c r="AF74" s="33">
        <v>33</v>
      </c>
      <c r="AG74" s="33">
        <v>60.44</v>
      </c>
      <c r="AH74" s="33">
        <v>54.4</v>
      </c>
      <c r="AI74" s="33">
        <v>44.65</v>
      </c>
      <c r="AJ74" s="33">
        <v>42.56</v>
      </c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2223</v>
      </c>
      <c r="D75" s="50" t="s">
        <v>42</v>
      </c>
      <c r="E75" s="32" t="s">
        <v>3</v>
      </c>
      <c r="F75" s="32" t="s">
        <v>2285</v>
      </c>
      <c r="G75" s="32"/>
      <c r="H75" s="32"/>
      <c r="I75" s="32"/>
      <c r="J75" s="33">
        <v>38.94</v>
      </c>
      <c r="K75" s="33">
        <v>72.43</v>
      </c>
      <c r="L75" s="33">
        <v>93.49</v>
      </c>
      <c r="M75" s="33">
        <v>108.43</v>
      </c>
      <c r="N75" s="33">
        <v>69.7</v>
      </c>
      <c r="O75" s="33">
        <v>57.34</v>
      </c>
      <c r="P75" s="33">
        <v>59.54</v>
      </c>
      <c r="Q75" s="33">
        <v>39.18</v>
      </c>
      <c r="R75" s="33">
        <v>26.85</v>
      </c>
      <c r="S75" s="33">
        <v>26.85</v>
      </c>
      <c r="T75" s="33">
        <v>28.05</v>
      </c>
      <c r="U75" s="33">
        <v>98</v>
      </c>
      <c r="V75" s="33">
        <v>46.12</v>
      </c>
      <c r="W75" s="33">
        <v>99.38</v>
      </c>
      <c r="X75" s="33">
        <v>93.8</v>
      </c>
      <c r="Y75" s="33">
        <v>119.8</v>
      </c>
      <c r="Z75" s="33">
        <v>64.4</v>
      </c>
      <c r="AA75" s="33">
        <v>26.85</v>
      </c>
      <c r="AB75" s="33">
        <v>26.85</v>
      </c>
      <c r="AC75" s="33">
        <v>26.85</v>
      </c>
      <c r="AD75" s="33">
        <v>26.85</v>
      </c>
      <c r="AE75" s="33">
        <v>27.34</v>
      </c>
      <c r="AF75" s="33">
        <v>33.47</v>
      </c>
      <c r="AG75" s="33">
        <v>82.96</v>
      </c>
      <c r="AH75" s="33">
        <v>79.58</v>
      </c>
      <c r="AI75" s="33">
        <v>69.42</v>
      </c>
      <c r="AJ75" s="33">
        <v>59.17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2223</v>
      </c>
      <c r="D76" s="50" t="s">
        <v>42</v>
      </c>
      <c r="E76" s="32" t="s">
        <v>3</v>
      </c>
      <c r="F76" s="32" t="s">
        <v>2286</v>
      </c>
      <c r="G76" s="32"/>
      <c r="H76" s="32"/>
      <c r="I76" s="32"/>
      <c r="J76" s="33">
        <v>83.99</v>
      </c>
      <c r="K76" s="33">
        <v>68.09</v>
      </c>
      <c r="L76" s="33">
        <v>89.26</v>
      </c>
      <c r="M76" s="33">
        <v>128.98</v>
      </c>
      <c r="N76" s="33">
        <v>82.75</v>
      </c>
      <c r="O76" s="33">
        <v>125.05</v>
      </c>
      <c r="P76" s="33">
        <v>123.41</v>
      </c>
      <c r="Q76" s="33">
        <v>111.17</v>
      </c>
      <c r="R76" s="33">
        <v>153.3</v>
      </c>
      <c r="S76" s="33">
        <v>125.88</v>
      </c>
      <c r="T76" s="33">
        <v>98.1</v>
      </c>
      <c r="U76" s="33">
        <v>121.54</v>
      </c>
      <c r="V76" s="33">
        <v>114.21</v>
      </c>
      <c r="W76" s="33">
        <v>111.74</v>
      </c>
      <c r="X76" s="33">
        <v>114.09</v>
      </c>
      <c r="Y76" s="33">
        <v>122.54</v>
      </c>
      <c r="Z76" s="33">
        <v>127.88</v>
      </c>
      <c r="AA76" s="33">
        <v>114.2</v>
      </c>
      <c r="AB76" s="33">
        <v>118.64</v>
      </c>
      <c r="AC76" s="33">
        <v>119.68</v>
      </c>
      <c r="AD76" s="33">
        <v>127.07</v>
      </c>
      <c r="AE76" s="33">
        <v>111.85</v>
      </c>
      <c r="AF76" s="33">
        <v>98.18</v>
      </c>
      <c r="AG76" s="33">
        <v>91.3</v>
      </c>
      <c r="AH76" s="33">
        <v>110.66</v>
      </c>
      <c r="AI76" s="33">
        <v>100.54</v>
      </c>
      <c r="AJ76" s="33">
        <v>107.3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2223</v>
      </c>
      <c r="D77" s="50" t="s">
        <v>42</v>
      </c>
      <c r="E77" s="32" t="s">
        <v>3</v>
      </c>
      <c r="F77" s="32" t="s">
        <v>2287</v>
      </c>
      <c r="G77" s="32"/>
      <c r="H77" s="32"/>
      <c r="I77" s="32"/>
      <c r="J77" s="33">
        <v>120.33</v>
      </c>
      <c r="K77" s="33">
        <v>112.99</v>
      </c>
      <c r="L77" s="33">
        <v>129.83</v>
      </c>
      <c r="M77" s="33">
        <v>144.33</v>
      </c>
      <c r="N77" s="33">
        <v>137.85</v>
      </c>
      <c r="O77" s="33">
        <v>26.85</v>
      </c>
      <c r="P77" s="33">
        <v>26.85</v>
      </c>
      <c r="Q77" s="33">
        <v>26.85</v>
      </c>
      <c r="R77" s="33">
        <v>26.85</v>
      </c>
      <c r="S77" s="33">
        <v>26.85</v>
      </c>
      <c r="T77" s="33">
        <v>28.08</v>
      </c>
      <c r="U77" s="33">
        <v>26.85</v>
      </c>
      <c r="V77" s="33">
        <v>85.08</v>
      </c>
      <c r="W77" s="33">
        <v>84.3</v>
      </c>
      <c r="X77" s="33">
        <v>82.74</v>
      </c>
      <c r="Y77" s="33">
        <v>94.58</v>
      </c>
      <c r="Z77" s="33">
        <v>116.16</v>
      </c>
      <c r="AA77" s="33">
        <v>26.85</v>
      </c>
      <c r="AB77" s="33">
        <v>26.85</v>
      </c>
      <c r="AC77" s="33">
        <v>26.85</v>
      </c>
      <c r="AD77" s="33">
        <v>26.85</v>
      </c>
      <c r="AE77" s="33">
        <v>26.87</v>
      </c>
      <c r="AF77" s="33">
        <v>26.87</v>
      </c>
      <c r="AG77" s="33">
        <v>26.87</v>
      </c>
      <c r="AH77" s="33">
        <v>44.52</v>
      </c>
      <c r="AI77" s="33">
        <v>53.63</v>
      </c>
      <c r="AJ77" s="33">
        <v>53.12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2223</v>
      </c>
      <c r="D78" s="50" t="s">
        <v>42</v>
      </c>
      <c r="E78" s="32" t="s">
        <v>3</v>
      </c>
      <c r="F78" s="32" t="s">
        <v>2288</v>
      </c>
      <c r="G78" s="32"/>
      <c r="H78" s="32"/>
      <c r="I78" s="32"/>
      <c r="J78" s="33">
        <v>45.57</v>
      </c>
      <c r="K78" s="33">
        <v>70.31</v>
      </c>
      <c r="L78" s="33">
        <v>88.75</v>
      </c>
      <c r="M78" s="33">
        <v>70.92</v>
      </c>
      <c r="N78" s="33">
        <v>34.1</v>
      </c>
      <c r="O78" s="33">
        <v>50.81</v>
      </c>
      <c r="P78" s="33">
        <v>36.01</v>
      </c>
      <c r="Q78" s="33">
        <v>44.9</v>
      </c>
      <c r="R78" s="33">
        <v>47.31</v>
      </c>
      <c r="S78" s="33">
        <v>46.63</v>
      </c>
      <c r="T78" s="33">
        <v>32.31</v>
      </c>
      <c r="U78" s="33">
        <v>73.78</v>
      </c>
      <c r="V78" s="33">
        <v>77.95</v>
      </c>
      <c r="W78" s="33">
        <v>71.68</v>
      </c>
      <c r="X78" s="33">
        <v>68.44</v>
      </c>
      <c r="Y78" s="33">
        <v>34.65</v>
      </c>
      <c r="Z78" s="33">
        <v>95.09</v>
      </c>
      <c r="AA78" s="33">
        <v>27.55</v>
      </c>
      <c r="AB78" s="33">
        <v>65.59</v>
      </c>
      <c r="AC78" s="33">
        <v>85.09</v>
      </c>
      <c r="AD78" s="33">
        <v>77.54</v>
      </c>
      <c r="AE78" s="33">
        <v>62.92</v>
      </c>
      <c r="AF78" s="33">
        <v>50.68</v>
      </c>
      <c r="AG78" s="33">
        <v>68.64</v>
      </c>
      <c r="AH78" s="33">
        <v>72.44</v>
      </c>
      <c r="AI78" s="33">
        <v>75.23</v>
      </c>
      <c r="AJ78" s="33">
        <v>97.32</v>
      </c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2223</v>
      </c>
      <c r="D79" s="50" t="s">
        <v>42</v>
      </c>
      <c r="E79" s="32" t="s">
        <v>3</v>
      </c>
      <c r="F79" s="32" t="s">
        <v>2289</v>
      </c>
      <c r="G79" s="32"/>
      <c r="H79" s="32"/>
      <c r="I79" s="32"/>
      <c r="J79" s="33">
        <v>82.17</v>
      </c>
      <c r="K79" s="33">
        <v>128.24</v>
      </c>
      <c r="L79" s="33">
        <v>142.42</v>
      </c>
      <c r="M79" s="33">
        <v>121.65</v>
      </c>
      <c r="N79" s="33">
        <v>135.77</v>
      </c>
      <c r="O79" s="33">
        <v>26.85</v>
      </c>
      <c r="P79" s="33">
        <v>44.52</v>
      </c>
      <c r="Q79" s="33">
        <v>27.58</v>
      </c>
      <c r="R79" s="33">
        <v>84.49</v>
      </c>
      <c r="S79" s="33">
        <v>114.09</v>
      </c>
      <c r="T79" s="33">
        <v>71.79</v>
      </c>
      <c r="U79" s="33">
        <v>108.62</v>
      </c>
      <c r="V79" s="33">
        <v>86.39</v>
      </c>
      <c r="W79" s="33">
        <v>151.73</v>
      </c>
      <c r="X79" s="33">
        <v>138.01</v>
      </c>
      <c r="Y79" s="33">
        <v>143.98</v>
      </c>
      <c r="Z79" s="33">
        <v>149.29</v>
      </c>
      <c r="AA79" s="33">
        <v>26.85</v>
      </c>
      <c r="AB79" s="33">
        <v>34.34</v>
      </c>
      <c r="AC79" s="33">
        <v>28.38</v>
      </c>
      <c r="AD79" s="33">
        <v>26.85</v>
      </c>
      <c r="AE79" s="33">
        <v>116.79</v>
      </c>
      <c r="AF79" s="33">
        <v>32.65</v>
      </c>
      <c r="AG79" s="33">
        <v>63.3</v>
      </c>
      <c r="AH79" s="33">
        <v>83.79</v>
      </c>
      <c r="AI79" s="33">
        <v>99.34</v>
      </c>
      <c r="AJ79" s="33">
        <v>93.63</v>
      </c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2223</v>
      </c>
      <c r="D80" s="50" t="s">
        <v>42</v>
      </c>
      <c r="E80" s="32" t="s">
        <v>3</v>
      </c>
      <c r="F80" s="32" t="s">
        <v>2290</v>
      </c>
      <c r="G80" s="32"/>
      <c r="H80" s="32"/>
      <c r="I80" s="32"/>
      <c r="J80" s="33">
        <v>69.66</v>
      </c>
      <c r="K80" s="33">
        <v>72.27</v>
      </c>
      <c r="L80" s="33">
        <v>67.43</v>
      </c>
      <c r="M80" s="33">
        <v>65.94</v>
      </c>
      <c r="N80" s="33">
        <v>70.49</v>
      </c>
      <c r="O80" s="33">
        <v>141.16</v>
      </c>
      <c r="P80" s="33">
        <v>107.9</v>
      </c>
      <c r="Q80" s="33">
        <v>118.06</v>
      </c>
      <c r="R80" s="33">
        <v>135.37</v>
      </c>
      <c r="S80" s="33">
        <v>49.98</v>
      </c>
      <c r="T80" s="33">
        <v>32.81</v>
      </c>
      <c r="U80" s="33">
        <v>37.53</v>
      </c>
      <c r="V80" s="33">
        <v>64.56</v>
      </c>
      <c r="W80" s="33">
        <v>59.99</v>
      </c>
      <c r="X80" s="33">
        <v>56.76</v>
      </c>
      <c r="Y80" s="33">
        <v>64.69</v>
      </c>
      <c r="Z80" s="33">
        <v>42.97</v>
      </c>
      <c r="AA80" s="33">
        <v>26.85</v>
      </c>
      <c r="AB80" s="33">
        <v>26.85</v>
      </c>
      <c r="AC80" s="33">
        <v>26.85</v>
      </c>
      <c r="AD80" s="33">
        <v>26.85</v>
      </c>
      <c r="AE80" s="33">
        <v>26.87</v>
      </c>
      <c r="AF80" s="33">
        <v>26.87</v>
      </c>
      <c r="AG80" s="33">
        <v>26.87</v>
      </c>
      <c r="AH80" s="33">
        <v>32.72</v>
      </c>
      <c r="AI80" s="33">
        <v>42.83</v>
      </c>
      <c r="AJ80" s="33">
        <v>76.39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2223</v>
      </c>
      <c r="D81" s="50" t="s">
        <v>42</v>
      </c>
      <c r="E81" s="32" t="s">
        <v>3</v>
      </c>
      <c r="F81" s="32" t="s">
        <v>2291</v>
      </c>
      <c r="G81" s="32"/>
      <c r="H81" s="32"/>
      <c r="I81" s="32"/>
      <c r="J81" s="33">
        <v>87.56</v>
      </c>
      <c r="K81" s="33">
        <v>93.63</v>
      </c>
      <c r="L81" s="33">
        <v>97.06</v>
      </c>
      <c r="M81" s="33">
        <v>113.32</v>
      </c>
      <c r="N81" s="33">
        <v>33.03</v>
      </c>
      <c r="O81" s="33">
        <v>26.85</v>
      </c>
      <c r="P81" s="33">
        <v>26.85</v>
      </c>
      <c r="Q81" s="33">
        <v>26.85</v>
      </c>
      <c r="R81" s="33">
        <v>26.85</v>
      </c>
      <c r="S81" s="33">
        <v>26.85</v>
      </c>
      <c r="T81" s="33">
        <v>26.85</v>
      </c>
      <c r="U81" s="33">
        <v>26.85</v>
      </c>
      <c r="V81" s="33">
        <v>26.85</v>
      </c>
      <c r="W81" s="33">
        <v>39.7</v>
      </c>
      <c r="X81" s="33">
        <v>69.24</v>
      </c>
      <c r="Y81" s="33">
        <v>43.49</v>
      </c>
      <c r="Z81" s="33">
        <v>27.64</v>
      </c>
      <c r="AA81" s="33">
        <v>26.85</v>
      </c>
      <c r="AB81" s="33">
        <v>26.85</v>
      </c>
      <c r="AC81" s="33">
        <v>26.85</v>
      </c>
      <c r="AD81" s="33">
        <v>26.85</v>
      </c>
      <c r="AE81" s="33">
        <v>26.87</v>
      </c>
      <c r="AF81" s="33">
        <v>26.87</v>
      </c>
      <c r="AG81" s="33">
        <v>26.87</v>
      </c>
      <c r="AH81" s="33">
        <v>32.25</v>
      </c>
      <c r="AI81" s="33">
        <v>72.19</v>
      </c>
      <c r="AJ81" s="33">
        <v>76.01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2223</v>
      </c>
      <c r="D82" s="50" t="s">
        <v>42</v>
      </c>
      <c r="E82" s="32" t="s">
        <v>3</v>
      </c>
      <c r="F82" s="32" t="s">
        <v>2292</v>
      </c>
      <c r="G82" s="32"/>
      <c r="H82" s="32"/>
      <c r="I82" s="32"/>
      <c r="J82" s="33">
        <v>34.88</v>
      </c>
      <c r="K82" s="33">
        <v>33.19</v>
      </c>
      <c r="L82" s="33">
        <v>33.03</v>
      </c>
      <c r="M82" s="33">
        <v>35.75</v>
      </c>
      <c r="N82" s="33">
        <v>27.53</v>
      </c>
      <c r="O82" s="33">
        <v>26.85</v>
      </c>
      <c r="P82" s="33">
        <v>26.85</v>
      </c>
      <c r="Q82" s="33">
        <v>26.85</v>
      </c>
      <c r="R82" s="33">
        <v>26.85</v>
      </c>
      <c r="S82" s="33">
        <v>26.85</v>
      </c>
      <c r="T82" s="33">
        <v>27.77</v>
      </c>
      <c r="U82" s="33">
        <v>49.88</v>
      </c>
      <c r="V82" s="33">
        <v>40.4</v>
      </c>
      <c r="W82" s="33">
        <v>58.57</v>
      </c>
      <c r="X82" s="33">
        <v>55.45</v>
      </c>
      <c r="Y82" s="33">
        <v>57.91</v>
      </c>
      <c r="Z82" s="33">
        <v>34.34</v>
      </c>
      <c r="AA82" s="33">
        <v>26.85</v>
      </c>
      <c r="AB82" s="33">
        <v>26.85</v>
      </c>
      <c r="AC82" s="33">
        <v>26.85</v>
      </c>
      <c r="AD82" s="33">
        <v>26.85</v>
      </c>
      <c r="AE82" s="33">
        <v>26.87</v>
      </c>
      <c r="AF82" s="33">
        <v>26.87</v>
      </c>
      <c r="AG82" s="33">
        <v>26.87</v>
      </c>
      <c r="AH82" s="33">
        <v>35.01</v>
      </c>
      <c r="AI82" s="33">
        <v>80.36</v>
      </c>
      <c r="AJ82" s="33">
        <v>75.6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2223</v>
      </c>
      <c r="D83" s="50" t="s">
        <v>42</v>
      </c>
      <c r="E83" s="32" t="s">
        <v>3</v>
      </c>
      <c r="F83" s="32" t="s">
        <v>2293</v>
      </c>
      <c r="G83" s="32"/>
      <c r="H83" s="32"/>
      <c r="I83" s="32"/>
      <c r="J83" s="33">
        <v>40.7</v>
      </c>
      <c r="K83" s="33">
        <v>69.91</v>
      </c>
      <c r="L83" s="33">
        <v>77.17</v>
      </c>
      <c r="M83" s="33">
        <v>77.78</v>
      </c>
      <c r="N83" s="33">
        <v>35.23</v>
      </c>
      <c r="O83" s="33">
        <v>51.96</v>
      </c>
      <c r="P83" s="33">
        <v>26.85</v>
      </c>
      <c r="Q83" s="33">
        <v>26.85</v>
      </c>
      <c r="R83" s="33">
        <v>26.85</v>
      </c>
      <c r="S83" s="33">
        <v>30.43</v>
      </c>
      <c r="T83" s="33">
        <v>76.57</v>
      </c>
      <c r="U83" s="33">
        <v>114.32</v>
      </c>
      <c r="V83" s="33">
        <v>126.42</v>
      </c>
      <c r="W83" s="33">
        <v>131.37</v>
      </c>
      <c r="X83" s="33">
        <v>112.91</v>
      </c>
      <c r="Y83" s="33">
        <v>117.34</v>
      </c>
      <c r="Z83" s="33">
        <v>142.01</v>
      </c>
      <c r="AA83" s="33">
        <v>182.63</v>
      </c>
      <c r="AB83" s="33">
        <v>162.93</v>
      </c>
      <c r="AC83" s="33">
        <v>199.15</v>
      </c>
      <c r="AD83" s="33">
        <v>183.54</v>
      </c>
      <c r="AE83" s="33">
        <v>69.94</v>
      </c>
      <c r="AF83" s="33">
        <v>26.87</v>
      </c>
      <c r="AG83" s="33">
        <v>26.87</v>
      </c>
      <c r="AH83" s="33">
        <v>33.67</v>
      </c>
      <c r="AI83" s="33">
        <v>64.28</v>
      </c>
      <c r="AJ83" s="33">
        <v>78.23</v>
      </c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2223</v>
      </c>
      <c r="D84" s="50" t="s">
        <v>42</v>
      </c>
      <c r="E84" s="32" t="s">
        <v>3</v>
      </c>
      <c r="F84" s="32" t="s">
        <v>2294</v>
      </c>
      <c r="G84" s="32"/>
      <c r="H84" s="32"/>
      <c r="I84" s="32"/>
      <c r="J84" s="33">
        <v>34.46</v>
      </c>
      <c r="K84" s="33">
        <v>49.25</v>
      </c>
      <c r="L84" s="33">
        <v>43.45</v>
      </c>
      <c r="M84" s="33">
        <v>46.63</v>
      </c>
      <c r="N84" s="33">
        <v>70.28</v>
      </c>
      <c r="O84" s="33">
        <v>82.05</v>
      </c>
      <c r="P84" s="33">
        <v>194.42</v>
      </c>
      <c r="Q84" s="33">
        <v>89.83</v>
      </c>
      <c r="R84" s="33">
        <v>68.18</v>
      </c>
      <c r="S84" s="33">
        <v>28.21</v>
      </c>
      <c r="T84" s="33">
        <v>27.77</v>
      </c>
      <c r="U84" s="33">
        <v>27.8</v>
      </c>
      <c r="V84" s="33">
        <v>42.76</v>
      </c>
      <c r="W84" s="33">
        <v>56.1</v>
      </c>
      <c r="X84" s="33">
        <v>59.34</v>
      </c>
      <c r="Y84" s="33">
        <v>62.2</v>
      </c>
      <c r="Z84" s="33">
        <v>35.87</v>
      </c>
      <c r="AA84" s="33">
        <v>52.57</v>
      </c>
      <c r="AB84" s="33">
        <v>27.75</v>
      </c>
      <c r="AC84" s="33">
        <v>28.01</v>
      </c>
      <c r="AD84" s="33">
        <v>27.59</v>
      </c>
      <c r="AE84" s="33">
        <v>28.09</v>
      </c>
      <c r="AF84" s="33">
        <v>28.46</v>
      </c>
      <c r="AG84" s="33">
        <v>51.98</v>
      </c>
      <c r="AH84" s="33">
        <v>73.77</v>
      </c>
      <c r="AI84" s="33">
        <v>60.45</v>
      </c>
      <c r="AJ84" s="33">
        <v>60.75</v>
      </c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2223</v>
      </c>
      <c r="D85" s="50" t="s">
        <v>42</v>
      </c>
      <c r="E85" s="32" t="s">
        <v>3</v>
      </c>
      <c r="F85" s="32" t="s">
        <v>2295</v>
      </c>
      <c r="G85" s="32"/>
      <c r="H85" s="32"/>
      <c r="I85" s="32"/>
      <c r="J85" s="33">
        <v>106.38</v>
      </c>
      <c r="K85" s="33">
        <v>150.7</v>
      </c>
      <c r="L85" s="33">
        <v>182.43</v>
      </c>
      <c r="M85" s="33">
        <v>205.23</v>
      </c>
      <c r="N85" s="33">
        <v>215.66</v>
      </c>
      <c r="O85" s="33">
        <v>44.3</v>
      </c>
      <c r="P85" s="33">
        <v>31.46</v>
      </c>
      <c r="Q85" s="33">
        <v>26.85</v>
      </c>
      <c r="R85" s="33">
        <v>26.85</v>
      </c>
      <c r="S85" s="33">
        <v>30.55</v>
      </c>
      <c r="T85" s="33">
        <v>52.09</v>
      </c>
      <c r="U85" s="33">
        <v>38.8</v>
      </c>
      <c r="V85" s="33">
        <v>31.73</v>
      </c>
      <c r="W85" s="33">
        <v>31.26</v>
      </c>
      <c r="X85" s="33">
        <v>30.66</v>
      </c>
      <c r="Y85" s="33">
        <v>41.14</v>
      </c>
      <c r="Z85" s="33">
        <v>75.86</v>
      </c>
      <c r="AA85" s="33">
        <v>97.32</v>
      </c>
      <c r="AB85" s="33">
        <v>84.3</v>
      </c>
      <c r="AC85" s="33">
        <v>62.86</v>
      </c>
      <c r="AD85" s="33">
        <v>71.68</v>
      </c>
      <c r="AE85" s="33">
        <v>62.52</v>
      </c>
      <c r="AF85" s="33">
        <v>54.84</v>
      </c>
      <c r="AG85" s="33">
        <v>43.77</v>
      </c>
      <c r="AH85" s="33">
        <v>45.05</v>
      </c>
      <c r="AI85" s="33">
        <v>35.95</v>
      </c>
      <c r="AJ85" s="33">
        <v>37.24</v>
      </c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2223</v>
      </c>
      <c r="D86" s="50" t="s">
        <v>42</v>
      </c>
      <c r="E86" s="32" t="s">
        <v>3</v>
      </c>
      <c r="F86" s="32" t="s">
        <v>2296</v>
      </c>
      <c r="G86" s="32"/>
      <c r="H86" s="32"/>
      <c r="I86" s="32"/>
      <c r="J86" s="33">
        <v>63.07</v>
      </c>
      <c r="K86" s="33">
        <v>90.62</v>
      </c>
      <c r="L86" s="33">
        <v>91.27</v>
      </c>
      <c r="M86" s="33">
        <v>118.27</v>
      </c>
      <c r="N86" s="33">
        <v>26.85</v>
      </c>
      <c r="O86" s="33">
        <v>26.85</v>
      </c>
      <c r="P86" s="33">
        <v>26.85</v>
      </c>
      <c r="Q86" s="33">
        <v>26.85</v>
      </c>
      <c r="R86" s="33">
        <v>26.85</v>
      </c>
      <c r="S86" s="33">
        <v>26.85</v>
      </c>
      <c r="T86" s="33">
        <v>26.85</v>
      </c>
      <c r="U86" s="33">
        <v>140.04</v>
      </c>
      <c r="V86" s="33">
        <v>73.28</v>
      </c>
      <c r="W86" s="33">
        <v>108.24</v>
      </c>
      <c r="X86" s="33">
        <v>97.95</v>
      </c>
      <c r="Y86" s="33">
        <v>99.65</v>
      </c>
      <c r="Z86" s="33">
        <v>70.53</v>
      </c>
      <c r="AA86" s="33">
        <v>26.85</v>
      </c>
      <c r="AB86" s="33">
        <v>26.85</v>
      </c>
      <c r="AC86" s="33">
        <v>31.14</v>
      </c>
      <c r="AD86" s="33">
        <v>26.85</v>
      </c>
      <c r="AE86" s="33">
        <v>26.87</v>
      </c>
      <c r="AF86" s="33">
        <v>27.82</v>
      </c>
      <c r="AG86" s="33">
        <v>68.51</v>
      </c>
      <c r="AH86" s="33">
        <v>51.36</v>
      </c>
      <c r="AI86" s="33">
        <v>85.48</v>
      </c>
      <c r="AJ86" s="33">
        <v>92.31</v>
      </c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2223</v>
      </c>
      <c r="D87" s="50" t="s">
        <v>42</v>
      </c>
      <c r="E87" s="32" t="s">
        <v>3</v>
      </c>
      <c r="F87" s="32" t="s">
        <v>2297</v>
      </c>
      <c r="G87" s="32"/>
      <c r="H87" s="32"/>
      <c r="I87" s="32"/>
      <c r="J87" s="33">
        <v>30.47</v>
      </c>
      <c r="K87" s="33">
        <v>56.36</v>
      </c>
      <c r="L87" s="33">
        <v>65.31</v>
      </c>
      <c r="M87" s="33">
        <v>66.82</v>
      </c>
      <c r="N87" s="33">
        <v>55.7</v>
      </c>
      <c r="O87" s="33">
        <v>26.85</v>
      </c>
      <c r="P87" s="33">
        <v>26.85</v>
      </c>
      <c r="Q87" s="33">
        <v>26.85</v>
      </c>
      <c r="R87" s="33">
        <v>26.85</v>
      </c>
      <c r="S87" s="33">
        <v>26.85</v>
      </c>
      <c r="T87" s="33">
        <v>28.16</v>
      </c>
      <c r="U87" s="33">
        <v>33.6</v>
      </c>
      <c r="V87" s="33">
        <v>30.22</v>
      </c>
      <c r="W87" s="33">
        <v>59.09</v>
      </c>
      <c r="X87" s="33">
        <v>72.87</v>
      </c>
      <c r="Y87" s="33">
        <v>45.05</v>
      </c>
      <c r="Z87" s="33">
        <v>54</v>
      </c>
      <c r="AA87" s="33">
        <v>27.43</v>
      </c>
      <c r="AB87" s="33">
        <v>26.85</v>
      </c>
      <c r="AC87" s="33">
        <v>30.14</v>
      </c>
      <c r="AD87" s="33">
        <v>27.43</v>
      </c>
      <c r="AE87" s="33">
        <v>26.87</v>
      </c>
      <c r="AF87" s="33">
        <v>33.99</v>
      </c>
      <c r="AG87" s="33">
        <v>64.75</v>
      </c>
      <c r="AH87" s="33">
        <v>37.21</v>
      </c>
      <c r="AI87" s="33">
        <v>67.84</v>
      </c>
      <c r="AJ87" s="33">
        <v>68.77</v>
      </c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2223</v>
      </c>
      <c r="D88" s="50" t="s">
        <v>42</v>
      </c>
      <c r="E88" s="32" t="s">
        <v>3</v>
      </c>
      <c r="F88" s="32" t="s">
        <v>2298</v>
      </c>
      <c r="G88" s="32"/>
      <c r="H88" s="32"/>
      <c r="I88" s="32"/>
      <c r="J88" s="33">
        <v>47.7</v>
      </c>
      <c r="K88" s="33">
        <v>47.28</v>
      </c>
      <c r="L88" s="33">
        <v>67.39</v>
      </c>
      <c r="M88" s="33">
        <v>63.94</v>
      </c>
      <c r="N88" s="33">
        <v>70.3</v>
      </c>
      <c r="O88" s="33">
        <v>107.87</v>
      </c>
      <c r="P88" s="33">
        <v>71.44</v>
      </c>
      <c r="Q88" s="33">
        <v>77.39</v>
      </c>
      <c r="R88" s="33">
        <f>82.41+0.00</f>
        <v>82.41</v>
      </c>
      <c r="S88" s="33">
        <v>72.09</v>
      </c>
      <c r="T88" s="33">
        <v>43.67</v>
      </c>
      <c r="U88" s="33">
        <v>43.14</v>
      </c>
      <c r="V88" s="33">
        <v>47.7</v>
      </c>
      <c r="W88" s="33">
        <v>49.57</v>
      </c>
      <c r="X88" s="33">
        <v>70.91</v>
      </c>
      <c r="Y88" s="33">
        <v>62.65</v>
      </c>
      <c r="Z88" s="33">
        <v>77.01</v>
      </c>
      <c r="AA88" s="33">
        <v>112.73</v>
      </c>
      <c r="AB88" s="33">
        <v>82.29</v>
      </c>
      <c r="AC88" s="33">
        <v>99.64</v>
      </c>
      <c r="AD88" s="33">
        <v>91.54</v>
      </c>
      <c r="AE88" s="33">
        <v>79.65</v>
      </c>
      <c r="AF88" s="33">
        <v>69.27</v>
      </c>
      <c r="AG88" s="33">
        <v>53.73</v>
      </c>
      <c r="AH88" s="33">
        <v>61.03</v>
      </c>
      <c r="AI88" s="33">
        <v>63.64</v>
      </c>
      <c r="AJ88" s="33">
        <v>44.59</v>
      </c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2223</v>
      </c>
      <c r="D89" s="50" t="s">
        <v>42</v>
      </c>
      <c r="E89" s="32" t="s">
        <v>3</v>
      </c>
      <c r="F89" s="32" t="s">
        <v>2299</v>
      </c>
      <c r="G89" s="32"/>
      <c r="H89" s="32"/>
      <c r="I89" s="32"/>
      <c r="J89" s="33">
        <v>65.72</v>
      </c>
      <c r="K89" s="33">
        <v>65.56</v>
      </c>
      <c r="L89" s="33">
        <v>63.34</v>
      </c>
      <c r="M89" s="33">
        <v>72.92</v>
      </c>
      <c r="N89" s="33">
        <v>43.84</v>
      </c>
      <c r="O89" s="33">
        <v>27.21</v>
      </c>
      <c r="P89" s="33">
        <v>27.16</v>
      </c>
      <c r="Q89" s="33">
        <v>27.2</v>
      </c>
      <c r="R89" s="33">
        <v>55.7</v>
      </c>
      <c r="S89" s="33">
        <v>69.7</v>
      </c>
      <c r="T89" s="33">
        <v>36.84</v>
      </c>
      <c r="U89" s="33">
        <v>33.42</v>
      </c>
      <c r="V89" s="33">
        <v>65.07</v>
      </c>
      <c r="W89" s="33">
        <v>67.53</v>
      </c>
      <c r="X89" s="33">
        <v>66.22</v>
      </c>
      <c r="Y89" s="33">
        <v>79.49</v>
      </c>
      <c r="Z89" s="33">
        <v>70.4</v>
      </c>
      <c r="AA89" s="33">
        <v>75.21</v>
      </c>
      <c r="AB89" s="33">
        <v>83.65</v>
      </c>
      <c r="AC89" s="33">
        <v>85.61</v>
      </c>
      <c r="AD89" s="33">
        <v>77.42</v>
      </c>
      <c r="AE89" s="33">
        <v>62.12</v>
      </c>
      <c r="AF89" s="33">
        <v>62.64</v>
      </c>
      <c r="AG89" s="33">
        <v>80.35</v>
      </c>
      <c r="AH89" s="33">
        <v>70.47</v>
      </c>
      <c r="AI89" s="33">
        <v>82.59</v>
      </c>
      <c r="AJ89" s="33">
        <v>68.64</v>
      </c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2223</v>
      </c>
      <c r="D90" s="50" t="s">
        <v>42</v>
      </c>
      <c r="E90" s="32" t="s">
        <v>3</v>
      </c>
      <c r="F90" s="32" t="s">
        <v>2300</v>
      </c>
      <c r="G90" s="32"/>
      <c r="H90" s="32"/>
      <c r="I90" s="32"/>
      <c r="J90" s="33">
        <v>104.54</v>
      </c>
      <c r="K90" s="33">
        <v>124.59</v>
      </c>
      <c r="L90" s="33">
        <v>127.08</v>
      </c>
      <c r="M90" s="33">
        <v>154.84</v>
      </c>
      <c r="N90" s="33">
        <v>162.67</v>
      </c>
      <c r="O90" s="33">
        <v>273.38</v>
      </c>
      <c r="P90" s="33">
        <v>270.2</v>
      </c>
      <c r="Q90" s="33">
        <v>259.85</v>
      </c>
      <c r="R90" s="33">
        <v>287.69</v>
      </c>
      <c r="S90" s="33">
        <v>225.47</v>
      </c>
      <c r="T90" s="33">
        <v>95.09</v>
      </c>
      <c r="U90" s="33">
        <v>43.47</v>
      </c>
      <c r="V90" s="33">
        <v>38.13</v>
      </c>
      <c r="W90" s="33">
        <v>36.21</v>
      </c>
      <c r="X90" s="33">
        <v>56.61</v>
      </c>
      <c r="Y90" s="33">
        <v>86.26</v>
      </c>
      <c r="Z90" s="33">
        <v>144.45</v>
      </c>
      <c r="AA90" s="33">
        <v>54.91</v>
      </c>
      <c r="AB90" s="33">
        <v>26.85</v>
      </c>
      <c r="AC90" s="33">
        <v>26.85</v>
      </c>
      <c r="AD90" s="33">
        <v>26.85</v>
      </c>
      <c r="AE90" s="33">
        <v>26.87</v>
      </c>
      <c r="AF90" s="33">
        <v>91.8</v>
      </c>
      <c r="AG90" s="33">
        <v>70.07</v>
      </c>
      <c r="AH90" s="33">
        <v>62.82</v>
      </c>
      <c r="AI90" s="33">
        <v>58.23</v>
      </c>
      <c r="AJ90" s="33">
        <v>73.23</v>
      </c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2223</v>
      </c>
      <c r="D91" s="50" t="s">
        <v>42</v>
      </c>
      <c r="E91" s="32" t="s">
        <v>3</v>
      </c>
      <c r="F91" s="32" t="s">
        <v>2301</v>
      </c>
      <c r="G91" s="32"/>
      <c r="H91" s="32"/>
      <c r="I91" s="32"/>
      <c r="J91" s="33">
        <v>102.42</v>
      </c>
      <c r="K91" s="33">
        <v>93.24</v>
      </c>
      <c r="L91" s="33">
        <v>101.27</v>
      </c>
      <c r="M91" s="33">
        <v>89.62</v>
      </c>
      <c r="N91" s="33">
        <v>87.75</v>
      </c>
      <c r="O91" s="33">
        <v>139.35</v>
      </c>
      <c r="P91" s="33">
        <v>58.97</v>
      </c>
      <c r="Q91" s="33">
        <v>59.62</v>
      </c>
      <c r="R91" s="33">
        <v>63.97</v>
      </c>
      <c r="S91" s="33">
        <v>108.51</v>
      </c>
      <c r="T91" s="33">
        <v>81.8</v>
      </c>
      <c r="U91" s="33">
        <v>93.59</v>
      </c>
      <c r="V91" s="33">
        <v>92.38</v>
      </c>
      <c r="W91" s="33">
        <v>117.99</v>
      </c>
      <c r="X91" s="33">
        <v>114.75</v>
      </c>
      <c r="Y91" s="33">
        <v>109</v>
      </c>
      <c r="Z91" s="33">
        <v>123.45</v>
      </c>
      <c r="AA91" s="33">
        <v>144.89</v>
      </c>
      <c r="AB91" s="33">
        <v>70.66</v>
      </c>
      <c r="AC91" s="33">
        <v>119.8</v>
      </c>
      <c r="AD91" s="33">
        <v>116.3</v>
      </c>
      <c r="AE91" s="33">
        <v>105.72</v>
      </c>
      <c r="AF91" s="33">
        <v>161.41</v>
      </c>
      <c r="AG91" s="33">
        <v>116.91</v>
      </c>
      <c r="AH91" s="33">
        <v>118.19</v>
      </c>
      <c r="AI91" s="33">
        <v>142.95</v>
      </c>
      <c r="AJ91" s="33">
        <v>125.05</v>
      </c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2223</v>
      </c>
      <c r="D92" s="50" t="s">
        <v>42</v>
      </c>
      <c r="E92" s="32" t="s">
        <v>3</v>
      </c>
      <c r="F92" s="32" t="s">
        <v>2302</v>
      </c>
      <c r="G92" s="32"/>
      <c r="H92" s="32"/>
      <c r="I92" s="32"/>
      <c r="J92" s="33">
        <v>51.12</v>
      </c>
      <c r="K92" s="33">
        <v>57.39</v>
      </c>
      <c r="L92" s="33">
        <v>62.95</v>
      </c>
      <c r="M92" s="33">
        <v>74.16</v>
      </c>
      <c r="N92" s="33">
        <v>58.63</v>
      </c>
      <c r="O92" s="33">
        <v>91.96</v>
      </c>
      <c r="P92" s="33">
        <v>75.17</v>
      </c>
      <c r="Q92" s="33">
        <v>79.5</v>
      </c>
      <c r="R92" s="33">
        <v>73.3</v>
      </c>
      <c r="S92" s="33">
        <v>65.38</v>
      </c>
      <c r="T92" s="33">
        <v>50.58</v>
      </c>
      <c r="U92" s="33">
        <v>58.97</v>
      </c>
      <c r="V92" s="33">
        <v>54.94</v>
      </c>
      <c r="W92" s="33">
        <v>65.59</v>
      </c>
      <c r="X92" s="33">
        <v>60.51</v>
      </c>
      <c r="Y92" s="33">
        <v>91.33</v>
      </c>
      <c r="Z92" s="33">
        <v>73.25</v>
      </c>
      <c r="AA92" s="33">
        <v>77.8</v>
      </c>
      <c r="AB92" s="33">
        <v>71.18</v>
      </c>
      <c r="AC92" s="33">
        <v>95.09</v>
      </c>
      <c r="AD92" s="33">
        <v>87.16</v>
      </c>
      <c r="AE92" s="33">
        <v>74.62</v>
      </c>
      <c r="AF92" s="33">
        <v>82.17</v>
      </c>
      <c r="AG92" s="33">
        <v>95.07</v>
      </c>
      <c r="AH92" s="33">
        <v>58.88</v>
      </c>
      <c r="AI92" s="33">
        <v>113.03</v>
      </c>
      <c r="AJ92" s="33">
        <v>72.98</v>
      </c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2223</v>
      </c>
      <c r="D93" s="50" t="s">
        <v>42</v>
      </c>
      <c r="E93" s="32" t="s">
        <v>3</v>
      </c>
      <c r="F93" s="32" t="s">
        <v>2303</v>
      </c>
      <c r="G93" s="32"/>
      <c r="H93" s="32"/>
      <c r="I93" s="32"/>
      <c r="J93" s="33">
        <v>45.17</v>
      </c>
      <c r="K93" s="33">
        <v>43.69</v>
      </c>
      <c r="L93" s="33">
        <v>67.8</v>
      </c>
      <c r="M93" s="33">
        <v>92.37</v>
      </c>
      <c r="N93" s="33">
        <v>84.84</v>
      </c>
      <c r="O93" s="33">
        <v>81.46</v>
      </c>
      <c r="P93" s="33">
        <v>62.33</v>
      </c>
      <c r="Q93" s="33">
        <v>69.39</v>
      </c>
      <c r="R93" s="33">
        <v>72.02</v>
      </c>
      <c r="S93" s="33">
        <v>71.79</v>
      </c>
      <c r="T93" s="33">
        <v>39.74</v>
      </c>
      <c r="U93" s="33">
        <v>34.86</v>
      </c>
      <c r="V93" s="33">
        <v>37.28</v>
      </c>
      <c r="W93" s="33">
        <v>100.83</v>
      </c>
      <c r="X93" s="33">
        <v>45.44</v>
      </c>
      <c r="Y93" s="33">
        <v>39.19</v>
      </c>
      <c r="Z93" s="33">
        <v>29.78</v>
      </c>
      <c r="AA93" s="33">
        <v>26.85</v>
      </c>
      <c r="AB93" s="33">
        <v>26.85</v>
      </c>
      <c r="AC93" s="33">
        <v>26.85</v>
      </c>
      <c r="AD93" s="33">
        <v>26.85</v>
      </c>
      <c r="AE93" s="33">
        <v>26.87</v>
      </c>
      <c r="AF93" s="33">
        <v>26.87</v>
      </c>
      <c r="AG93" s="33">
        <v>33.04</v>
      </c>
      <c r="AH93" s="33">
        <v>38.63</v>
      </c>
      <c r="AI93" s="33">
        <v>78.25</v>
      </c>
      <c r="AJ93" s="33">
        <v>40.56</v>
      </c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2223</v>
      </c>
      <c r="D94" s="50" t="s">
        <v>42</v>
      </c>
      <c r="E94" s="32" t="s">
        <v>3</v>
      </c>
      <c r="F94" s="32" t="s">
        <v>2304</v>
      </c>
      <c r="G94" s="32"/>
      <c r="H94" s="32"/>
      <c r="I94" s="32"/>
      <c r="J94" s="33">
        <v>41.63</v>
      </c>
      <c r="K94" s="33">
        <v>43.86</v>
      </c>
      <c r="L94" s="33">
        <v>52.92</v>
      </c>
      <c r="M94" s="33">
        <v>57.1</v>
      </c>
      <c r="N94" s="33">
        <v>52.45</v>
      </c>
      <c r="O94" s="33">
        <v>32.62</v>
      </c>
      <c r="P94" s="33">
        <v>26.85</v>
      </c>
      <c r="Q94" s="33">
        <v>26.85</v>
      </c>
      <c r="R94" s="33">
        <v>26.85</v>
      </c>
      <c r="S94" s="33">
        <v>26.85</v>
      </c>
      <c r="T94" s="33">
        <v>26.85</v>
      </c>
      <c r="U94" s="33">
        <v>51.28</v>
      </c>
      <c r="V94" s="33">
        <v>34.65</v>
      </c>
      <c r="W94" s="33">
        <v>40.23</v>
      </c>
      <c r="X94" s="33">
        <v>36.77</v>
      </c>
      <c r="Y94" s="33">
        <v>48.54</v>
      </c>
      <c r="Z94" s="33">
        <v>33.75</v>
      </c>
      <c r="AA94" s="33">
        <v>26.85</v>
      </c>
      <c r="AB94" s="33">
        <v>26.85</v>
      </c>
      <c r="AC94" s="33">
        <v>26.85</v>
      </c>
      <c r="AD94" s="33">
        <v>26.85</v>
      </c>
      <c r="AE94" s="33">
        <v>26.87</v>
      </c>
      <c r="AF94" s="33">
        <v>26.87</v>
      </c>
      <c r="AG94" s="33">
        <v>26.87</v>
      </c>
      <c r="AH94" s="33">
        <v>42.64</v>
      </c>
      <c r="AI94" s="33">
        <v>74.82</v>
      </c>
      <c r="AJ94" s="33">
        <v>66.65</v>
      </c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2223</v>
      </c>
      <c r="D95" s="50" t="s">
        <v>42</v>
      </c>
      <c r="E95" s="32" t="s">
        <v>3</v>
      </c>
      <c r="F95" s="32" t="s">
        <v>2305</v>
      </c>
      <c r="G95" s="32"/>
      <c r="H95" s="32"/>
      <c r="I95" s="32"/>
      <c r="J95" s="33">
        <v>38.23</v>
      </c>
      <c r="K95" s="33">
        <v>37.97</v>
      </c>
      <c r="L95" s="33">
        <v>40.15</v>
      </c>
      <c r="M95" s="33">
        <v>54.98</v>
      </c>
      <c r="N95" s="33">
        <v>55.35</v>
      </c>
      <c r="O95" s="33">
        <v>90.08</v>
      </c>
      <c r="P95" s="33">
        <v>82.27</v>
      </c>
      <c r="Q95" s="33">
        <v>80.4</v>
      </c>
      <c r="R95" s="33">
        <v>94.63</v>
      </c>
      <c r="S95" s="33">
        <v>88.12</v>
      </c>
      <c r="T95" s="33">
        <v>53.16</v>
      </c>
      <c r="U95" s="33">
        <v>49.78</v>
      </c>
      <c r="V95" s="33">
        <v>36.9</v>
      </c>
      <c r="W95" s="33">
        <v>37.62</v>
      </c>
      <c r="X95" s="33">
        <v>33.6</v>
      </c>
      <c r="Y95" s="33">
        <v>43.49</v>
      </c>
      <c r="Z95" s="33">
        <v>55.96</v>
      </c>
      <c r="AA95" s="33">
        <v>83.54</v>
      </c>
      <c r="AB95" s="33">
        <v>33.01</v>
      </c>
      <c r="AC95" s="33">
        <v>31.42</v>
      </c>
      <c r="AD95" s="33">
        <v>29.88</v>
      </c>
      <c r="AE95" s="33">
        <v>29.09</v>
      </c>
      <c r="AF95" s="33">
        <v>29.17</v>
      </c>
      <c r="AG95" s="33">
        <v>29.09</v>
      </c>
      <c r="AH95" s="33">
        <v>52.66</v>
      </c>
      <c r="AI95" s="33">
        <v>89.71</v>
      </c>
      <c r="AJ95" s="33">
        <v>108.75</v>
      </c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2223</v>
      </c>
      <c r="D96" s="50" t="s">
        <v>42</v>
      </c>
      <c r="E96" s="32" t="s">
        <v>3</v>
      </c>
      <c r="F96" s="32" t="s">
        <v>2306</v>
      </c>
      <c r="G96" s="32"/>
      <c r="H96" s="32"/>
      <c r="I96" s="32"/>
      <c r="J96" s="33">
        <v>66.78</v>
      </c>
      <c r="K96" s="33">
        <v>62.01</v>
      </c>
      <c r="L96" s="33">
        <v>75.99</v>
      </c>
      <c r="M96" s="33">
        <v>63.57</v>
      </c>
      <c r="N96" s="33">
        <v>65.85</v>
      </c>
      <c r="O96" s="33">
        <v>96.72</v>
      </c>
      <c r="P96" s="33">
        <v>79.96</v>
      </c>
      <c r="Q96" s="33">
        <v>86.49</v>
      </c>
      <c r="R96" s="33">
        <v>91.96</v>
      </c>
      <c r="S96" s="33">
        <v>84.36</v>
      </c>
      <c r="T96" s="33">
        <v>72.6</v>
      </c>
      <c r="U96" s="33">
        <v>65.51</v>
      </c>
      <c r="V96" s="33">
        <v>57.7</v>
      </c>
      <c r="W96" s="33">
        <v>52.42</v>
      </c>
      <c r="X96" s="33">
        <v>72.99</v>
      </c>
      <c r="Y96" s="33">
        <v>78.59</v>
      </c>
      <c r="Z96" s="33">
        <v>95.46</v>
      </c>
      <c r="AA96" s="33">
        <v>90.29</v>
      </c>
      <c r="AB96" s="33">
        <v>75.59</v>
      </c>
      <c r="AC96" s="33">
        <v>95.35</v>
      </c>
      <c r="AD96" s="33">
        <v>88.98</v>
      </c>
      <c r="AE96" s="33">
        <v>80.09</v>
      </c>
      <c r="AF96" s="33">
        <v>74.62</v>
      </c>
      <c r="AG96" s="33">
        <v>68.51</v>
      </c>
      <c r="AH96" s="33">
        <v>62.42</v>
      </c>
      <c r="AI96" s="33">
        <v>60.86</v>
      </c>
      <c r="AJ96" s="33">
        <v>58.25</v>
      </c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2223</v>
      </c>
      <c r="D97" s="50" t="s">
        <v>42</v>
      </c>
      <c r="E97" s="32" t="s">
        <v>3</v>
      </c>
      <c r="F97" s="32" t="s">
        <v>2307</v>
      </c>
      <c r="G97" s="32"/>
      <c r="H97" s="32"/>
      <c r="I97" s="32"/>
      <c r="J97" s="33">
        <v>29.81</v>
      </c>
      <c r="K97" s="33">
        <v>58.45</v>
      </c>
      <c r="L97" s="33">
        <v>71.1</v>
      </c>
      <c r="M97" s="33">
        <v>71.42</v>
      </c>
      <c r="N97" s="33">
        <v>75.28</v>
      </c>
      <c r="O97" s="33">
        <v>27.7</v>
      </c>
      <c r="P97" s="33">
        <v>27.53</v>
      </c>
      <c r="Q97" s="33">
        <v>27.54</v>
      </c>
      <c r="R97" s="33">
        <v>27.61</v>
      </c>
      <c r="S97" s="33">
        <v>27.49</v>
      </c>
      <c r="T97" s="33">
        <v>44.76</v>
      </c>
      <c r="U97" s="33">
        <v>56.76</v>
      </c>
      <c r="V97" s="33">
        <v>56.78</v>
      </c>
      <c r="W97" s="33">
        <v>68.06</v>
      </c>
      <c r="X97" s="33">
        <v>64.94</v>
      </c>
      <c r="Y97" s="33">
        <v>32.2</v>
      </c>
      <c r="Z97" s="33">
        <v>30.36</v>
      </c>
      <c r="AA97" s="33">
        <v>26.85</v>
      </c>
      <c r="AB97" s="33">
        <v>26.85</v>
      </c>
      <c r="AC97" s="33">
        <v>26.85</v>
      </c>
      <c r="AD97" s="33">
        <v>26.85</v>
      </c>
      <c r="AE97" s="33">
        <v>26.87</v>
      </c>
      <c r="AF97" s="33">
        <v>26.87</v>
      </c>
      <c r="AG97" s="33">
        <v>26.87</v>
      </c>
      <c r="AH97" s="33">
        <v>34.42</v>
      </c>
      <c r="AI97" s="33">
        <v>41.55</v>
      </c>
      <c r="AJ97" s="33">
        <v>77.85</v>
      </c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2223</v>
      </c>
      <c r="D98" s="50" t="s">
        <v>42</v>
      </c>
      <c r="E98" s="32" t="s">
        <v>3</v>
      </c>
      <c r="F98" s="32" t="s">
        <v>2308</v>
      </c>
      <c r="G98" s="32"/>
      <c r="H98" s="32"/>
      <c r="I98" s="32"/>
      <c r="J98" s="33">
        <v>117.96</v>
      </c>
      <c r="K98" s="33">
        <v>93.77</v>
      </c>
      <c r="L98" s="33">
        <v>118.64</v>
      </c>
      <c r="M98" s="33">
        <v>121.12</v>
      </c>
      <c r="N98" s="33">
        <v>82.27</v>
      </c>
      <c r="O98" s="33">
        <v>56.28</v>
      </c>
      <c r="P98" s="33">
        <v>46.74</v>
      </c>
      <c r="Q98" s="33">
        <v>57.91</v>
      </c>
      <c r="R98" s="33">
        <v>60.84</v>
      </c>
      <c r="S98" s="33">
        <v>56.28</v>
      </c>
      <c r="T98" s="33">
        <v>36.57</v>
      </c>
      <c r="U98" s="33">
        <v>119.91</v>
      </c>
      <c r="V98" s="33">
        <v>82.24</v>
      </c>
      <c r="W98" s="33">
        <v>97.32</v>
      </c>
      <c r="X98" s="33">
        <v>116.8</v>
      </c>
      <c r="Y98" s="33">
        <v>126.06</v>
      </c>
      <c r="Z98" s="33">
        <v>114.75</v>
      </c>
      <c r="AA98" s="33">
        <v>39.57</v>
      </c>
      <c r="AB98" s="33">
        <v>26.85</v>
      </c>
      <c r="AC98" s="33">
        <v>27.17</v>
      </c>
      <c r="AD98" s="33">
        <v>26.85</v>
      </c>
      <c r="AE98" s="33">
        <v>27.09</v>
      </c>
      <c r="AF98" s="33">
        <v>27.15</v>
      </c>
      <c r="AG98" s="33">
        <v>27.25</v>
      </c>
      <c r="AH98" s="33">
        <v>174.06</v>
      </c>
      <c r="AI98" s="33">
        <v>191.82</v>
      </c>
      <c r="AJ98" s="33">
        <v>181.2</v>
      </c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2223</v>
      </c>
      <c r="D99" s="50" t="s">
        <v>42</v>
      </c>
      <c r="E99" s="32" t="s">
        <v>3</v>
      </c>
      <c r="F99" s="32" t="s">
        <v>2309</v>
      </c>
      <c r="G99" s="32"/>
      <c r="H99" s="32"/>
      <c r="I99" s="32"/>
      <c r="J99" s="33">
        <v>37.82</v>
      </c>
      <c r="K99" s="33">
        <v>79.53</v>
      </c>
      <c r="L99" s="33">
        <v>82.94</v>
      </c>
      <c r="M99" s="33">
        <v>90.6</v>
      </c>
      <c r="N99" s="33">
        <v>41.24</v>
      </c>
      <c r="O99" s="33">
        <v>26.85</v>
      </c>
      <c r="P99" s="33">
        <v>26.85</v>
      </c>
      <c r="Q99" s="33">
        <v>26.85</v>
      </c>
      <c r="R99" s="33">
        <v>26.85</v>
      </c>
      <c r="S99" s="33">
        <v>26.85</v>
      </c>
      <c r="T99" s="33">
        <v>26.85</v>
      </c>
      <c r="U99" s="33">
        <v>88.82</v>
      </c>
      <c r="V99" s="33">
        <v>57.15</v>
      </c>
      <c r="W99" s="33">
        <v>137.24</v>
      </c>
      <c r="X99" s="33">
        <v>119.15</v>
      </c>
      <c r="Y99" s="33">
        <v>128.13</v>
      </c>
      <c r="Z99" s="33">
        <v>60.11</v>
      </c>
      <c r="AA99" s="33">
        <v>26.85</v>
      </c>
      <c r="AB99" s="33">
        <v>27.55</v>
      </c>
      <c r="AC99" s="33">
        <v>33.96</v>
      </c>
      <c r="AD99" s="33">
        <v>26.85</v>
      </c>
      <c r="AE99" s="33">
        <v>26.87</v>
      </c>
      <c r="AF99" s="33">
        <v>29.25</v>
      </c>
      <c r="AG99" s="33">
        <v>69.94</v>
      </c>
      <c r="AH99" s="33">
        <v>50.43</v>
      </c>
      <c r="AI99" s="33">
        <v>144.93</v>
      </c>
      <c r="AJ99" s="33">
        <v>137.17</v>
      </c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2223</v>
      </c>
      <c r="D100" s="50" t="s">
        <v>42</v>
      </c>
      <c r="E100" s="32" t="s">
        <v>3</v>
      </c>
      <c r="F100" s="32" t="s">
        <v>2310</v>
      </c>
      <c r="G100" s="32"/>
      <c r="H100" s="32"/>
      <c r="I100" s="32"/>
      <c r="J100" s="33">
        <v>59.39</v>
      </c>
      <c r="K100" s="33">
        <v>85.46</v>
      </c>
      <c r="L100" s="33">
        <v>94.43</v>
      </c>
      <c r="M100" s="33">
        <v>108.17</v>
      </c>
      <c r="N100" s="33">
        <v>80.4</v>
      </c>
      <c r="O100" s="33">
        <v>27.49</v>
      </c>
      <c r="P100" s="33">
        <v>26.85</v>
      </c>
      <c r="Q100" s="33">
        <v>26.85</v>
      </c>
      <c r="R100" s="33">
        <v>26.85</v>
      </c>
      <c r="S100" s="33">
        <v>26.85</v>
      </c>
      <c r="T100" s="33">
        <v>33.6</v>
      </c>
      <c r="U100" s="33">
        <v>83.89</v>
      </c>
      <c r="V100" s="33">
        <v>28.93</v>
      </c>
      <c r="W100" s="33">
        <v>64.14</v>
      </c>
      <c r="X100" s="33">
        <v>48.17</v>
      </c>
      <c r="Y100" s="33">
        <v>58.68</v>
      </c>
      <c r="Z100" s="33">
        <v>62.32</v>
      </c>
      <c r="AA100" s="33">
        <v>29.02</v>
      </c>
      <c r="AB100" s="33">
        <v>26.85</v>
      </c>
      <c r="AC100" s="33">
        <v>26.85</v>
      </c>
      <c r="AD100" s="33">
        <v>26.85</v>
      </c>
      <c r="AE100" s="33">
        <v>26.87</v>
      </c>
      <c r="AF100" s="33">
        <v>30.82</v>
      </c>
      <c r="AG100" s="33">
        <v>41.97</v>
      </c>
      <c r="AH100" s="33">
        <v>103.15</v>
      </c>
      <c r="AI100" s="33">
        <v>111.72</v>
      </c>
      <c r="AJ100" s="33">
        <v>76.25</v>
      </c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2223</v>
      </c>
      <c r="D101" s="50" t="s">
        <v>42</v>
      </c>
      <c r="E101" s="32" t="s">
        <v>3</v>
      </c>
      <c r="F101" s="32" t="s">
        <v>2311</v>
      </c>
      <c r="G101" s="32"/>
      <c r="H101" s="32"/>
      <c r="I101" s="32"/>
      <c r="J101" s="33">
        <v>79.26</v>
      </c>
      <c r="K101" s="33">
        <v>91.27</v>
      </c>
      <c r="L101" s="33">
        <v>97.84</v>
      </c>
      <c r="M101" s="33">
        <v>96.22</v>
      </c>
      <c r="N101" s="33">
        <v>72.6</v>
      </c>
      <c r="O101" s="33">
        <v>26.85</v>
      </c>
      <c r="P101" s="33">
        <v>26.85</v>
      </c>
      <c r="Q101" s="33">
        <v>26.85</v>
      </c>
      <c r="R101" s="33">
        <v>26.85</v>
      </c>
      <c r="S101" s="33">
        <v>28.6</v>
      </c>
      <c r="T101" s="33">
        <v>77.74</v>
      </c>
      <c r="U101" s="33">
        <v>77.03</v>
      </c>
      <c r="V101" s="33">
        <v>68.84</v>
      </c>
      <c r="W101" s="33">
        <v>84.84</v>
      </c>
      <c r="X101" s="33">
        <v>65.98</v>
      </c>
      <c r="Y101" s="33">
        <v>78.99</v>
      </c>
      <c r="Z101" s="33">
        <v>40.73</v>
      </c>
      <c r="AA101" s="33">
        <v>26.85</v>
      </c>
      <c r="AB101" s="33">
        <v>26.85</v>
      </c>
      <c r="AC101" s="33">
        <v>26.85</v>
      </c>
      <c r="AD101" s="33">
        <v>26.85</v>
      </c>
      <c r="AE101" s="33">
        <v>26.87</v>
      </c>
      <c r="AF101" s="33">
        <v>26.87</v>
      </c>
      <c r="AG101" s="33">
        <v>33.15</v>
      </c>
      <c r="AH101" s="33">
        <v>77.73</v>
      </c>
      <c r="AI101" s="33">
        <v>60.32</v>
      </c>
      <c r="AJ101" s="33">
        <v>68.11</v>
      </c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2223</v>
      </c>
      <c r="D102" s="50" t="s">
        <v>42</v>
      </c>
      <c r="E102" s="32" t="s">
        <v>3</v>
      </c>
      <c r="F102" s="32" t="s">
        <v>2312</v>
      </c>
      <c r="G102" s="32"/>
      <c r="H102" s="32"/>
      <c r="I102" s="32"/>
      <c r="J102" s="33">
        <v>62.94</v>
      </c>
      <c r="K102" s="33">
        <v>64.77</v>
      </c>
      <c r="L102" s="33">
        <v>64.64</v>
      </c>
      <c r="M102" s="33">
        <v>99.47</v>
      </c>
      <c r="N102" s="33">
        <v>54.19</v>
      </c>
      <c r="O102" s="33">
        <v>46.63</v>
      </c>
      <c r="P102" s="33">
        <v>60.02</v>
      </c>
      <c r="Q102" s="33">
        <v>90.05</v>
      </c>
      <c r="R102" s="33">
        <v>26.85</v>
      </c>
      <c r="S102" s="33">
        <v>26.85</v>
      </c>
      <c r="T102" s="33">
        <v>26.85</v>
      </c>
      <c r="U102" s="33">
        <v>32.77</v>
      </c>
      <c r="V102" s="33">
        <v>39.87</v>
      </c>
      <c r="W102" s="33">
        <v>56.1</v>
      </c>
      <c r="X102" s="33">
        <v>130.32</v>
      </c>
      <c r="Y102" s="33">
        <v>30.41</v>
      </c>
      <c r="Z102" s="33">
        <v>30.14</v>
      </c>
      <c r="AA102" s="33">
        <v>34.34</v>
      </c>
      <c r="AB102" s="33">
        <v>26.85</v>
      </c>
      <c r="AC102" s="33">
        <v>26.85</v>
      </c>
      <c r="AD102" s="33">
        <v>26.85</v>
      </c>
      <c r="AE102" s="33">
        <v>26.87</v>
      </c>
      <c r="AF102" s="33">
        <v>29.35</v>
      </c>
      <c r="AG102" s="33">
        <v>33.1</v>
      </c>
      <c r="AH102" s="33">
        <v>50.18</v>
      </c>
      <c r="AI102" s="33">
        <v>46.1</v>
      </c>
      <c r="AJ102" s="33">
        <v>133.21</v>
      </c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2223</v>
      </c>
      <c r="D103" s="50" t="s">
        <v>42</v>
      </c>
      <c r="E103" s="32" t="s">
        <v>3</v>
      </c>
      <c r="F103" s="32" t="s">
        <v>2313</v>
      </c>
      <c r="G103" s="32"/>
      <c r="H103" s="32"/>
      <c r="I103" s="32"/>
      <c r="J103" s="33">
        <v>163.8</v>
      </c>
      <c r="K103" s="33">
        <v>139.19</v>
      </c>
      <c r="L103" s="33">
        <v>186.09</v>
      </c>
      <c r="M103" s="33">
        <v>171.78</v>
      </c>
      <c r="N103" s="33">
        <v>191.94</v>
      </c>
      <c r="O103" s="33">
        <v>31.4</v>
      </c>
      <c r="P103" s="33">
        <v>27.01</v>
      </c>
      <c r="Q103" s="33">
        <v>27.12</v>
      </c>
      <c r="R103" s="33">
        <v>27.25</v>
      </c>
      <c r="S103" s="33">
        <v>27.16</v>
      </c>
      <c r="T103" s="33">
        <v>32.38</v>
      </c>
      <c r="U103" s="33">
        <v>95.45</v>
      </c>
      <c r="V103" s="33">
        <v>128.5</v>
      </c>
      <c r="W103" s="33">
        <v>149.91</v>
      </c>
      <c r="X103" s="33">
        <v>123.05</v>
      </c>
      <c r="Y103" s="33">
        <v>132.02</v>
      </c>
      <c r="Z103" s="33">
        <v>131.77</v>
      </c>
      <c r="AA103" s="33">
        <v>184.15</v>
      </c>
      <c r="AB103" s="33">
        <v>167.33</v>
      </c>
      <c r="AC103" s="33">
        <v>215.08</v>
      </c>
      <c r="AD103" s="33">
        <v>191.14</v>
      </c>
      <c r="AE103" s="33">
        <v>156.26</v>
      </c>
      <c r="AF103" s="33">
        <v>122.39</v>
      </c>
      <c r="AG103" s="33">
        <v>68.64</v>
      </c>
      <c r="AH103" s="33">
        <v>59.28</v>
      </c>
      <c r="AI103" s="33">
        <v>62.17</v>
      </c>
      <c r="AJ103" s="33">
        <v>57.83</v>
      </c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2223</v>
      </c>
      <c r="D104" s="50" t="s">
        <v>42</v>
      </c>
      <c r="E104" s="32" t="s">
        <v>3</v>
      </c>
      <c r="F104" s="32" t="s">
        <v>2314</v>
      </c>
      <c r="G104" s="32"/>
      <c r="H104" s="32"/>
      <c r="I104" s="32"/>
      <c r="J104" s="33">
        <v>30.97</v>
      </c>
      <c r="K104" s="33">
        <v>35.65</v>
      </c>
      <c r="L104" s="33">
        <v>33.26</v>
      </c>
      <c r="M104" s="33">
        <v>53.49</v>
      </c>
      <c r="N104" s="33">
        <v>34.07</v>
      </c>
      <c r="O104" s="33">
        <v>43.95</v>
      </c>
      <c r="P104" s="33">
        <v>72.13</v>
      </c>
      <c r="Q104" s="33">
        <v>46.97</v>
      </c>
      <c r="R104" s="33">
        <v>28.71</v>
      </c>
      <c r="S104" s="33">
        <v>32.03</v>
      </c>
      <c r="T104" s="33">
        <v>37.63</v>
      </c>
      <c r="U104" s="33">
        <v>38.45</v>
      </c>
      <c r="V104" s="33">
        <v>34.45</v>
      </c>
      <c r="W104" s="33">
        <v>56.36</v>
      </c>
      <c r="X104" s="33">
        <v>37.84</v>
      </c>
      <c r="Y104" s="33">
        <v>41.93</v>
      </c>
      <c r="Z104" s="33">
        <v>54.54</v>
      </c>
      <c r="AA104" s="33">
        <v>26.85</v>
      </c>
      <c r="AB104" s="33">
        <v>26.85</v>
      </c>
      <c r="AC104" s="33">
        <v>28.11</v>
      </c>
      <c r="AD104" s="33">
        <v>27.13</v>
      </c>
      <c r="AE104" s="33">
        <v>37.66</v>
      </c>
      <c r="AF104" s="33">
        <v>27.34</v>
      </c>
      <c r="AG104" s="33">
        <v>32.71</v>
      </c>
      <c r="AH104" s="33">
        <v>41.04</v>
      </c>
      <c r="AI104" s="33">
        <v>52.29</v>
      </c>
      <c r="AJ104" s="33">
        <v>46.28</v>
      </c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2223</v>
      </c>
      <c r="D105" s="50" t="s">
        <v>42</v>
      </c>
      <c r="E105" s="32" t="s">
        <v>3</v>
      </c>
      <c r="F105" s="32" t="s">
        <v>2315</v>
      </c>
      <c r="G105" s="32"/>
      <c r="H105" s="32"/>
      <c r="I105" s="32"/>
      <c r="J105" s="33">
        <v>120.33</v>
      </c>
      <c r="K105" s="33">
        <v>117.85</v>
      </c>
      <c r="L105" s="33">
        <v>140.64</v>
      </c>
      <c r="M105" s="33">
        <v>150.61</v>
      </c>
      <c r="N105" s="33">
        <v>165.72</v>
      </c>
      <c r="O105" s="33">
        <v>164.62</v>
      </c>
      <c r="P105" s="33">
        <v>26.85</v>
      </c>
      <c r="Q105" s="33">
        <v>26.85</v>
      </c>
      <c r="R105" s="33">
        <v>26.85</v>
      </c>
      <c r="S105" s="33">
        <v>26.85</v>
      </c>
      <c r="T105" s="33">
        <v>26.85</v>
      </c>
      <c r="U105" s="33">
        <v>34.6</v>
      </c>
      <c r="V105" s="33">
        <v>133.17</v>
      </c>
      <c r="W105" s="33">
        <v>161.26</v>
      </c>
      <c r="X105" s="33">
        <v>144.12</v>
      </c>
      <c r="Y105" s="33">
        <v>201.42</v>
      </c>
      <c r="Z105" s="33">
        <v>257.22</v>
      </c>
      <c r="AA105" s="33">
        <v>190.51</v>
      </c>
      <c r="AB105" s="33">
        <v>26.85</v>
      </c>
      <c r="AC105" s="33">
        <v>26.85</v>
      </c>
      <c r="AD105" s="33">
        <v>29.22</v>
      </c>
      <c r="AE105" s="33">
        <v>28.37</v>
      </c>
      <c r="AF105" s="33">
        <v>28.62</v>
      </c>
      <c r="AG105" s="33">
        <v>60.97</v>
      </c>
      <c r="AH105" s="33">
        <v>104.08</v>
      </c>
      <c r="AI105" s="33">
        <v>104.48</v>
      </c>
      <c r="AJ105" s="33">
        <v>106.76</v>
      </c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2223</v>
      </c>
      <c r="D106" s="50" t="s">
        <v>42</v>
      </c>
      <c r="E106" s="32" t="s">
        <v>3</v>
      </c>
      <c r="F106" s="32" t="s">
        <v>2316</v>
      </c>
      <c r="G106" s="32"/>
      <c r="H106" s="32"/>
      <c r="I106" s="32"/>
      <c r="J106" s="33">
        <v>27.28</v>
      </c>
      <c r="K106" s="33">
        <v>38.56</v>
      </c>
      <c r="L106" s="33">
        <v>64.64</v>
      </c>
      <c r="M106" s="33">
        <v>91.99</v>
      </c>
      <c r="N106" s="33">
        <v>109.57</v>
      </c>
      <c r="O106" s="33">
        <v>118.16</v>
      </c>
      <c r="P106" s="33">
        <v>86.81</v>
      </c>
      <c r="Q106" s="33">
        <v>98.66</v>
      </c>
      <c r="R106" s="33">
        <v>105.81</v>
      </c>
      <c r="S106" s="33">
        <v>98.6</v>
      </c>
      <c r="T106" s="33">
        <v>55.95</v>
      </c>
      <c r="U106" s="33">
        <v>56.4</v>
      </c>
      <c r="V106" s="33">
        <v>89.51</v>
      </c>
      <c r="W106" s="33">
        <v>92.36</v>
      </c>
      <c r="X106" s="33">
        <v>101.35</v>
      </c>
      <c r="Y106" s="33">
        <v>119.68</v>
      </c>
      <c r="Z106" s="33">
        <v>33.91</v>
      </c>
      <c r="AA106" s="33">
        <v>50.75</v>
      </c>
      <c r="AB106" s="33">
        <v>44.91</v>
      </c>
      <c r="AC106" s="33">
        <v>61.56</v>
      </c>
      <c r="AD106" s="33">
        <v>57.38</v>
      </c>
      <c r="AE106" s="33">
        <v>44.43</v>
      </c>
      <c r="AF106" s="33">
        <v>35.8</v>
      </c>
      <c r="AG106" s="33">
        <v>127.47</v>
      </c>
      <c r="AH106" s="33">
        <v>83.5</v>
      </c>
      <c r="AI106" s="33">
        <v>116.21</v>
      </c>
      <c r="AJ106" s="33">
        <v>118.2</v>
      </c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2223</v>
      </c>
      <c r="D107" s="50" t="s">
        <v>42</v>
      </c>
      <c r="E107" s="32" t="s">
        <v>3</v>
      </c>
      <c r="F107" s="32" t="s">
        <v>2317</v>
      </c>
      <c r="G107" s="32"/>
      <c r="H107" s="32"/>
      <c r="I107" s="32"/>
      <c r="J107" s="33">
        <v>274.88</v>
      </c>
      <c r="K107" s="33">
        <v>262.67</v>
      </c>
      <c r="L107" s="33">
        <v>280.43</v>
      </c>
      <c r="M107" s="33">
        <v>274.47</v>
      </c>
      <c r="N107" s="33">
        <v>283</v>
      </c>
      <c r="O107" s="33">
        <v>411.39</v>
      </c>
      <c r="P107" s="33">
        <v>366.79</v>
      </c>
      <c r="Q107" s="33">
        <v>340.81</v>
      </c>
      <c r="R107" s="33">
        <v>253.21</v>
      </c>
      <c r="S107" s="33">
        <v>237.21</v>
      </c>
      <c r="T107" s="33">
        <v>215.4</v>
      </c>
      <c r="U107" s="33">
        <v>212.34</v>
      </c>
      <c r="V107" s="33">
        <v>283.87</v>
      </c>
      <c r="W107" s="33">
        <v>293.9</v>
      </c>
      <c r="X107" s="33">
        <v>258.73</v>
      </c>
      <c r="Y107" s="33">
        <v>265.55</v>
      </c>
      <c r="Z107" s="33">
        <v>291.47</v>
      </c>
      <c r="AA107" s="33">
        <v>26.85</v>
      </c>
      <c r="AB107" s="33">
        <v>34.27</v>
      </c>
      <c r="AC107" s="33">
        <v>120.97</v>
      </c>
      <c r="AD107" s="33">
        <v>63.35</v>
      </c>
      <c r="AE107" s="33">
        <v>41.97</v>
      </c>
      <c r="AF107" s="33">
        <v>101.82</v>
      </c>
      <c r="AG107" s="33">
        <v>30.56</v>
      </c>
      <c r="AH107" s="33">
        <v>36.38</v>
      </c>
      <c r="AI107" s="33">
        <v>84.31</v>
      </c>
      <c r="AJ107" s="33">
        <v>87.03</v>
      </c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2223</v>
      </c>
      <c r="D108" s="50" t="s">
        <v>42</v>
      </c>
      <c r="E108" s="32" t="s">
        <v>3</v>
      </c>
      <c r="F108" s="32" t="s">
        <v>2318</v>
      </c>
      <c r="G108" s="32"/>
      <c r="H108" s="32"/>
      <c r="I108" s="32"/>
      <c r="J108" s="33">
        <v>47.29</v>
      </c>
      <c r="K108" s="33">
        <v>63.19</v>
      </c>
      <c r="L108" s="33">
        <v>75.2</v>
      </c>
      <c r="M108" s="33">
        <v>84.39</v>
      </c>
      <c r="N108" s="33">
        <v>85.77</v>
      </c>
      <c r="O108" s="33">
        <v>120.25</v>
      </c>
      <c r="P108" s="33">
        <v>132.58</v>
      </c>
      <c r="Q108" s="33">
        <v>108.09</v>
      </c>
      <c r="R108" s="33">
        <v>42.2</v>
      </c>
      <c r="S108" s="33">
        <v>26.85</v>
      </c>
      <c r="T108" s="33">
        <v>26.85</v>
      </c>
      <c r="U108" s="33">
        <v>26.85</v>
      </c>
      <c r="V108" s="33">
        <v>27.96</v>
      </c>
      <c r="W108" s="33">
        <v>57.51</v>
      </c>
      <c r="X108" s="33">
        <v>76.24</v>
      </c>
      <c r="Y108" s="33">
        <v>40.73</v>
      </c>
      <c r="Z108" s="33">
        <v>26.85</v>
      </c>
      <c r="AA108" s="33">
        <v>26.85</v>
      </c>
      <c r="AB108" s="33">
        <v>26.85</v>
      </c>
      <c r="AC108" s="33">
        <v>26.85</v>
      </c>
      <c r="AD108" s="33">
        <v>26.85</v>
      </c>
      <c r="AE108" s="33">
        <v>26.87</v>
      </c>
      <c r="AF108" s="33">
        <v>30.82</v>
      </c>
      <c r="AG108" s="33">
        <v>42.1</v>
      </c>
      <c r="AH108" s="33">
        <v>107.24</v>
      </c>
      <c r="AI108" s="33">
        <v>107.24</v>
      </c>
      <c r="AJ108" s="33">
        <v>80.99</v>
      </c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2223</v>
      </c>
      <c r="D109" s="50" t="s">
        <v>42</v>
      </c>
      <c r="E109" s="32" t="s">
        <v>3</v>
      </c>
      <c r="F109" s="32" t="s">
        <v>2319</v>
      </c>
      <c r="G109" s="32"/>
      <c r="H109" s="32"/>
      <c r="I109" s="32"/>
      <c r="J109" s="33">
        <v>116.24</v>
      </c>
      <c r="K109" s="33">
        <v>111.67</v>
      </c>
      <c r="L109" s="33">
        <v>136.56</v>
      </c>
      <c r="M109" s="33">
        <v>124.5</v>
      </c>
      <c r="N109" s="33">
        <v>109.57</v>
      </c>
      <c r="O109" s="33">
        <v>148.18</v>
      </c>
      <c r="P109" s="33">
        <v>112.48</v>
      </c>
      <c r="Q109" s="33">
        <v>118.62</v>
      </c>
      <c r="R109" s="33">
        <v>116.89</v>
      </c>
      <c r="S109" s="33">
        <v>111.17</v>
      </c>
      <c r="T109" s="33">
        <v>85.41</v>
      </c>
      <c r="U109" s="33">
        <v>73.3</v>
      </c>
      <c r="V109" s="33">
        <v>66.67</v>
      </c>
      <c r="W109" s="33">
        <v>60.63</v>
      </c>
      <c r="X109" s="33">
        <v>67.27</v>
      </c>
      <c r="Y109" s="33">
        <v>69.61</v>
      </c>
      <c r="Z109" s="33">
        <v>97.95</v>
      </c>
      <c r="AA109" s="33">
        <v>151.73</v>
      </c>
      <c r="AB109" s="33">
        <v>125.13</v>
      </c>
      <c r="AC109" s="33">
        <v>172.34</v>
      </c>
      <c r="AD109" s="33">
        <v>141.27</v>
      </c>
      <c r="AE109" s="33">
        <v>130.98</v>
      </c>
      <c r="AF109" s="33">
        <v>110.67</v>
      </c>
      <c r="AG109" s="33">
        <v>77.75</v>
      </c>
      <c r="AH109" s="33">
        <v>79.44</v>
      </c>
      <c r="AI109" s="33">
        <v>79.17</v>
      </c>
      <c r="AJ109" s="33">
        <v>62.83</v>
      </c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2223</v>
      </c>
      <c r="D110" s="50" t="s">
        <v>42</v>
      </c>
      <c r="E110" s="32" t="s">
        <v>3</v>
      </c>
      <c r="F110" s="32" t="s">
        <v>2320</v>
      </c>
      <c r="G110" s="32"/>
      <c r="H110" s="32"/>
      <c r="I110" s="32"/>
      <c r="J110" s="33">
        <v>207.87</v>
      </c>
      <c r="K110" s="33">
        <v>172.43</v>
      </c>
      <c r="L110" s="33">
        <v>129.19</v>
      </c>
      <c r="M110" s="33">
        <v>180.85</v>
      </c>
      <c r="N110" s="33">
        <v>202.96</v>
      </c>
      <c r="O110" s="33">
        <v>330.36</v>
      </c>
      <c r="P110" s="33">
        <v>265.77</v>
      </c>
      <c r="Q110" s="33">
        <v>260.92</v>
      </c>
      <c r="R110" s="33">
        <v>284.67</v>
      </c>
      <c r="S110" s="33">
        <v>256.54</v>
      </c>
      <c r="T110" s="33">
        <v>165.15</v>
      </c>
      <c r="U110" s="33">
        <v>209.33</v>
      </c>
      <c r="V110" s="33">
        <v>196.36</v>
      </c>
      <c r="W110" s="33">
        <v>174.16</v>
      </c>
      <c r="X110" s="33">
        <v>186.73</v>
      </c>
      <c r="Y110" s="33">
        <v>201.27</v>
      </c>
      <c r="Z110" s="33">
        <v>271.9</v>
      </c>
      <c r="AA110" s="33">
        <v>356.49</v>
      </c>
      <c r="AB110" s="33">
        <v>308.28</v>
      </c>
      <c r="AC110" s="33">
        <v>384.85</v>
      </c>
      <c r="AD110" s="33">
        <v>378.18</v>
      </c>
      <c r="AE110" s="33">
        <v>337.27</v>
      </c>
      <c r="AF110" s="33">
        <v>312.05</v>
      </c>
      <c r="AG110" s="33">
        <v>243.36</v>
      </c>
      <c r="AH110" s="33">
        <v>261.11</v>
      </c>
      <c r="AI110" s="33">
        <v>237.5</v>
      </c>
      <c r="AJ110" s="33">
        <v>234.46</v>
      </c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2223</v>
      </c>
      <c r="D111" s="50" t="s">
        <v>42</v>
      </c>
      <c r="E111" s="32" t="s">
        <v>3</v>
      </c>
      <c r="F111" s="32" t="s">
        <v>2321</v>
      </c>
      <c r="G111" s="32"/>
      <c r="H111" s="32"/>
      <c r="I111" s="32"/>
      <c r="J111" s="33">
        <v>87.56</v>
      </c>
      <c r="K111" s="33">
        <v>116.67</v>
      </c>
      <c r="L111" s="33">
        <v>156.06</v>
      </c>
      <c r="M111" s="33">
        <v>190.63</v>
      </c>
      <c r="N111" s="33">
        <v>177.59</v>
      </c>
      <c r="O111" s="33">
        <v>281.64</v>
      </c>
      <c r="P111" s="33">
        <v>249.19</v>
      </c>
      <c r="Q111" s="33">
        <v>37.81</v>
      </c>
      <c r="R111" s="33">
        <v>26.85</v>
      </c>
      <c r="S111" s="33">
        <v>26.85</v>
      </c>
      <c r="T111" s="33">
        <v>28.66</v>
      </c>
      <c r="U111" s="33">
        <v>99.42</v>
      </c>
      <c r="V111" s="33">
        <v>50.93</v>
      </c>
      <c r="W111" s="33">
        <v>85.74</v>
      </c>
      <c r="X111" s="33">
        <v>88.08</v>
      </c>
      <c r="Y111" s="33">
        <v>89.76</v>
      </c>
      <c r="Z111" s="33">
        <v>104.97</v>
      </c>
      <c r="AA111" s="33">
        <v>26.85</v>
      </c>
      <c r="AB111" s="33">
        <v>26.85</v>
      </c>
      <c r="AC111" s="33">
        <v>26.85</v>
      </c>
      <c r="AD111" s="33">
        <v>26.85</v>
      </c>
      <c r="AE111" s="33">
        <v>26.87</v>
      </c>
      <c r="AF111" s="33">
        <v>26.87</v>
      </c>
      <c r="AG111" s="33">
        <v>29.97</v>
      </c>
      <c r="AH111" s="33">
        <v>108.16</v>
      </c>
      <c r="AI111" s="33">
        <v>62.32</v>
      </c>
      <c r="AJ111" s="33">
        <v>83.89</v>
      </c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2223</v>
      </c>
      <c r="D112" s="50" t="s">
        <v>42</v>
      </c>
      <c r="E112" s="32" t="s">
        <v>3</v>
      </c>
      <c r="F112" s="32" t="s">
        <v>2322</v>
      </c>
      <c r="G112" s="32"/>
      <c r="H112" s="32"/>
      <c r="I112" s="32"/>
      <c r="J112" s="33">
        <v>62.94</v>
      </c>
      <c r="K112" s="33">
        <v>100.47</v>
      </c>
      <c r="L112" s="33">
        <v>112.47</v>
      </c>
      <c r="M112" s="33">
        <v>111.05</v>
      </c>
      <c r="N112" s="33">
        <v>66.66</v>
      </c>
      <c r="O112" s="33">
        <v>27.7</v>
      </c>
      <c r="P112" s="33">
        <v>26.85</v>
      </c>
      <c r="Q112" s="33">
        <v>26.85</v>
      </c>
      <c r="R112" s="33">
        <v>26.85</v>
      </c>
      <c r="S112" s="33">
        <v>26.85</v>
      </c>
      <c r="T112" s="33">
        <v>27.61</v>
      </c>
      <c r="U112" s="33">
        <v>88.82</v>
      </c>
      <c r="V112" s="33">
        <v>72.1</v>
      </c>
      <c r="W112" s="33">
        <v>96.13</v>
      </c>
      <c r="X112" s="33">
        <v>102.25</v>
      </c>
      <c r="Y112" s="33">
        <v>119.68</v>
      </c>
      <c r="Z112" s="33">
        <v>64.94</v>
      </c>
      <c r="AA112" s="33">
        <v>76.5</v>
      </c>
      <c r="AB112" s="33">
        <v>63.63</v>
      </c>
      <c r="AC112" s="33">
        <v>83.4</v>
      </c>
      <c r="AD112" s="33">
        <v>80.41</v>
      </c>
      <c r="AE112" s="33">
        <v>66.43</v>
      </c>
      <c r="AF112" s="33">
        <v>101.82</v>
      </c>
      <c r="AG112" s="33">
        <v>89.36</v>
      </c>
      <c r="AH112" s="33">
        <v>69.54</v>
      </c>
      <c r="AI112" s="33">
        <v>117.53</v>
      </c>
      <c r="AJ112" s="33">
        <v>73.36</v>
      </c>
      <c r="AK112" s="32"/>
      <c r="AL112" s="34">
        <f>SUM(G112:AK112)</f>
      </c>
      <c r="AM112" s="35"/>
    </row>
    <row r="113" ht="13.5" customHeight="1" spans="2:39" x14ac:dyDescent="0.25">
      <c r="B113" s="48" t="s">
        <v>3</v>
      </c>
      <c r="C113" s="49" t="s">
        <v>2223</v>
      </c>
      <c r="D113" s="50" t="s">
        <v>42</v>
      </c>
      <c r="E113" s="32" t="s">
        <v>3</v>
      </c>
      <c r="F113" s="32" t="s">
        <v>2323</v>
      </c>
      <c r="G113" s="32"/>
      <c r="H113" s="32"/>
      <c r="I113" s="32"/>
      <c r="J113" s="33">
        <v>117.16</v>
      </c>
      <c r="K113" s="33">
        <v>108.91</v>
      </c>
      <c r="L113" s="33">
        <v>119.82</v>
      </c>
      <c r="M113" s="33">
        <v>113.9</v>
      </c>
      <c r="N113" s="33">
        <v>106.86</v>
      </c>
      <c r="O113" s="33">
        <v>26.85</v>
      </c>
      <c r="P113" s="33">
        <v>26.85</v>
      </c>
      <c r="Q113" s="33">
        <v>26.85</v>
      </c>
      <c r="R113" s="33">
        <v>26.85</v>
      </c>
      <c r="S113" s="33">
        <v>26.85</v>
      </c>
      <c r="T113" s="33">
        <v>55.25</v>
      </c>
      <c r="U113" s="33">
        <v>115.51</v>
      </c>
      <c r="V113" s="33">
        <v>119.91</v>
      </c>
      <c r="W113" s="33">
        <v>137.36</v>
      </c>
      <c r="X113" s="33">
        <v>116.44</v>
      </c>
      <c r="Y113" s="33">
        <v>128.91</v>
      </c>
      <c r="Z113" s="33">
        <v>140.49</v>
      </c>
      <c r="AA113" s="33">
        <v>26.85</v>
      </c>
      <c r="AB113" s="33">
        <v>26.85</v>
      </c>
      <c r="AC113" s="33">
        <v>26.85</v>
      </c>
      <c r="AD113" s="33">
        <v>26.85</v>
      </c>
      <c r="AE113" s="33">
        <v>26.87</v>
      </c>
      <c r="AF113" s="33">
        <v>26.87</v>
      </c>
      <c r="AG113" s="33">
        <v>121.86</v>
      </c>
      <c r="AH113" s="33">
        <v>142.82</v>
      </c>
      <c r="AI113" s="33">
        <v>142.03</v>
      </c>
      <c r="AJ113" s="33">
        <v>137.43</v>
      </c>
      <c r="AK113" s="32"/>
      <c r="AL113" s="34">
        <f>SUM(G113:AK113)</f>
      </c>
      <c r="AM113" s="35"/>
    </row>
    <row r="114" ht="13.5" customHeight="1" spans="2:39" x14ac:dyDescent="0.25">
      <c r="B114" s="48" t="s">
        <v>3</v>
      </c>
      <c r="C114" s="49" t="s">
        <v>2223</v>
      </c>
      <c r="D114" s="50" t="s">
        <v>42</v>
      </c>
      <c r="E114" s="32" t="s">
        <v>3</v>
      </c>
      <c r="F114" s="32" t="s">
        <v>2324</v>
      </c>
      <c r="G114" s="32"/>
      <c r="H114" s="32"/>
      <c r="I114" s="32"/>
      <c r="J114" s="33">
        <v>94.26</v>
      </c>
      <c r="K114" s="33">
        <v>101</v>
      </c>
      <c r="L114" s="33">
        <v>108.91</v>
      </c>
      <c r="M114" s="33">
        <v>124</v>
      </c>
      <c r="N114" s="33">
        <v>102.91</v>
      </c>
      <c r="O114" s="33">
        <v>26.85</v>
      </c>
      <c r="P114" s="33">
        <v>33.42</v>
      </c>
      <c r="Q114" s="33">
        <v>26.85</v>
      </c>
      <c r="R114" s="33">
        <v>26.85</v>
      </c>
      <c r="S114" s="33">
        <v>30.08</v>
      </c>
      <c r="T114" s="33">
        <v>183.79</v>
      </c>
      <c r="U114" s="33">
        <v>195.4</v>
      </c>
      <c r="V114" s="33">
        <v>165.93</v>
      </c>
      <c r="W114" s="33">
        <v>122.27</v>
      </c>
      <c r="X114" s="33">
        <v>137.5</v>
      </c>
      <c r="Y114" s="33">
        <v>192.8</v>
      </c>
      <c r="Z114" s="33">
        <v>150.07</v>
      </c>
      <c r="AA114" s="33">
        <v>65.72</v>
      </c>
      <c r="AB114" s="33">
        <v>58.45</v>
      </c>
      <c r="AC114" s="33">
        <v>46.21</v>
      </c>
      <c r="AD114" s="33">
        <v>162.63</v>
      </c>
      <c r="AE114" s="33">
        <v>151.26</v>
      </c>
      <c r="AF114" s="33">
        <v>142.76</v>
      </c>
      <c r="AG114" s="33">
        <v>119.4</v>
      </c>
      <c r="AH114" s="33">
        <v>127.55</v>
      </c>
      <c r="AI114" s="33">
        <v>142.82</v>
      </c>
      <c r="AJ114" s="33">
        <v>138.34</v>
      </c>
      <c r="AK114" s="32"/>
      <c r="AL114" s="34">
        <f>SUM(G114:AK114)</f>
      </c>
      <c r="AM114" s="35"/>
    </row>
    <row r="115" ht="13.5" customHeight="1" spans="2:39" x14ac:dyDescent="0.25">
      <c r="B115" s="48" t="s">
        <v>3</v>
      </c>
      <c r="C115" s="49" t="s">
        <v>2223</v>
      </c>
      <c r="D115" s="50" t="s">
        <v>42</v>
      </c>
      <c r="E115" s="32" t="s">
        <v>3</v>
      </c>
      <c r="F115" s="32" t="s">
        <v>2325</v>
      </c>
      <c r="G115" s="32"/>
      <c r="H115" s="32"/>
      <c r="I115" s="32"/>
      <c r="J115" s="33">
        <v>50.7</v>
      </c>
      <c r="K115" s="33">
        <v>55.82</v>
      </c>
      <c r="L115" s="33">
        <v>60.82</v>
      </c>
      <c r="M115" s="33">
        <v>81.27</v>
      </c>
      <c r="N115" s="33">
        <v>30.86</v>
      </c>
      <c r="O115" s="33">
        <v>26.85</v>
      </c>
      <c r="P115" s="33">
        <v>26.85</v>
      </c>
      <c r="Q115" s="33">
        <v>31.5</v>
      </c>
      <c r="R115" s="33">
        <v>26.85</v>
      </c>
      <c r="S115" s="33">
        <v>26.85</v>
      </c>
      <c r="T115" s="33">
        <v>26.85</v>
      </c>
      <c r="U115" s="33">
        <v>28.24</v>
      </c>
      <c r="V115" s="33">
        <v>43.65</v>
      </c>
      <c r="W115" s="33">
        <v>51.79</v>
      </c>
      <c r="X115" s="33">
        <v>51.67</v>
      </c>
      <c r="Y115" s="33">
        <v>68.58</v>
      </c>
      <c r="Z115" s="33">
        <v>32.56</v>
      </c>
      <c r="AA115" s="33">
        <v>30.88</v>
      </c>
      <c r="AB115" s="33">
        <v>26.85</v>
      </c>
      <c r="AC115" s="33">
        <v>26.85</v>
      </c>
      <c r="AD115" s="33">
        <v>26.85</v>
      </c>
      <c r="AE115" s="33">
        <v>26.87</v>
      </c>
      <c r="AF115" s="33">
        <v>26.87</v>
      </c>
      <c r="AG115" s="33">
        <v>33.78</v>
      </c>
      <c r="AH115" s="33">
        <v>74.18</v>
      </c>
      <c r="AI115" s="33">
        <v>84.7</v>
      </c>
      <c r="AJ115" s="33">
        <v>79.02</v>
      </c>
      <c r="AK115" s="32"/>
      <c r="AL115" s="34">
        <f>SUM(G115:AK115)</f>
      </c>
      <c r="AM115" s="35"/>
    </row>
    <row r="116" ht="13.5" customHeight="1" spans="2:39" x14ac:dyDescent="0.25">
      <c r="B116" s="48" t="s">
        <v>3</v>
      </c>
      <c r="C116" s="49" t="s">
        <v>2223</v>
      </c>
      <c r="D116" s="50" t="s">
        <v>42</v>
      </c>
      <c r="E116" s="32" t="s">
        <v>3</v>
      </c>
      <c r="F116" s="32" t="s">
        <v>2326</v>
      </c>
      <c r="G116" s="32"/>
      <c r="H116" s="32"/>
      <c r="I116" s="32"/>
      <c r="J116" s="33">
        <v>49.53</v>
      </c>
      <c r="K116" s="33">
        <v>66.89</v>
      </c>
      <c r="L116" s="33">
        <v>85.46</v>
      </c>
      <c r="M116" s="33">
        <v>101.83</v>
      </c>
      <c r="N116" s="33">
        <v>33.6</v>
      </c>
      <c r="O116" s="33">
        <v>26.85</v>
      </c>
      <c r="P116" s="33">
        <v>26.85</v>
      </c>
      <c r="Q116" s="33">
        <v>26.85</v>
      </c>
      <c r="R116" s="33">
        <v>26.85</v>
      </c>
      <c r="S116" s="33">
        <v>26.85</v>
      </c>
      <c r="T116" s="33">
        <v>26.85</v>
      </c>
      <c r="U116" s="33">
        <v>57.79</v>
      </c>
      <c r="V116" s="33">
        <v>87.42</v>
      </c>
      <c r="W116" s="33">
        <v>81.44</v>
      </c>
      <c r="X116" s="33">
        <v>97.04</v>
      </c>
      <c r="Y116" s="33">
        <v>111.23</v>
      </c>
      <c r="Z116" s="33">
        <v>58.96</v>
      </c>
      <c r="AA116" s="33">
        <v>26.85</v>
      </c>
      <c r="AB116" s="33">
        <v>26.85</v>
      </c>
      <c r="AC116" s="33">
        <v>26.85</v>
      </c>
      <c r="AD116" s="33">
        <v>26.85</v>
      </c>
      <c r="AE116" s="33">
        <v>26.87</v>
      </c>
      <c r="AF116" s="33">
        <v>26.87</v>
      </c>
      <c r="AG116" s="33">
        <v>26.87</v>
      </c>
      <c r="AH116" s="33">
        <v>69.03</v>
      </c>
      <c r="AI116" s="33">
        <v>94.85</v>
      </c>
      <c r="AJ116" s="33">
        <v>86.79</v>
      </c>
      <c r="AK116" s="32"/>
      <c r="AL116" s="34">
        <f>SUM(G116:AK116)</f>
      </c>
      <c r="AM116" s="35"/>
    </row>
    <row r="117" ht="13.5" customHeight="1" spans="2:39" x14ac:dyDescent="0.25">
      <c r="B117" s="48" t="s">
        <v>3</v>
      </c>
      <c r="C117" s="49" t="s">
        <v>2223</v>
      </c>
      <c r="D117" s="50" t="s">
        <v>42</v>
      </c>
      <c r="E117" s="32" t="s">
        <v>3</v>
      </c>
      <c r="F117" s="32" t="s">
        <v>2327</v>
      </c>
      <c r="G117" s="32"/>
      <c r="H117" s="32"/>
      <c r="I117" s="32"/>
      <c r="J117" s="33">
        <v>105.19</v>
      </c>
      <c r="K117" s="33">
        <v>97.58</v>
      </c>
      <c r="L117" s="33">
        <v>92.84</v>
      </c>
      <c r="M117" s="33">
        <v>125.62</v>
      </c>
      <c r="N117" s="33">
        <v>103.84</v>
      </c>
      <c r="O117" s="33">
        <v>26.85</v>
      </c>
      <c r="P117" s="33">
        <v>26.85</v>
      </c>
      <c r="Q117" s="33">
        <v>26.85</v>
      </c>
      <c r="R117" s="33">
        <v>26.85</v>
      </c>
      <c r="S117" s="33">
        <v>26.85</v>
      </c>
      <c r="T117" s="33">
        <v>26.85</v>
      </c>
      <c r="U117" s="33">
        <v>115.71</v>
      </c>
      <c r="V117" s="33">
        <v>99</v>
      </c>
      <c r="W117" s="33">
        <v>100.03</v>
      </c>
      <c r="X117" s="33">
        <v>121.24</v>
      </c>
      <c r="Y117" s="33">
        <v>125.79</v>
      </c>
      <c r="Z117" s="33">
        <v>177.48</v>
      </c>
      <c r="AA117" s="33">
        <v>85.98</v>
      </c>
      <c r="AB117" s="33">
        <v>77.68</v>
      </c>
      <c r="AC117" s="33">
        <v>91.86</v>
      </c>
      <c r="AD117" s="33">
        <v>86.26</v>
      </c>
      <c r="AE117" s="33">
        <v>81.67</v>
      </c>
      <c r="AF117" s="33">
        <v>76.42</v>
      </c>
      <c r="AG117" s="33">
        <v>127.85</v>
      </c>
      <c r="AH117" s="33">
        <v>128.47</v>
      </c>
      <c r="AI117" s="33">
        <v>110.39</v>
      </c>
      <c r="AJ117" s="33">
        <v>112.02</v>
      </c>
      <c r="AK117" s="32"/>
      <c r="AL117" s="34">
        <f>SUM(G117:AK117)</f>
      </c>
      <c r="AM117" s="35"/>
    </row>
    <row r="118" ht="13.5" customHeight="1" spans="2:39" x14ac:dyDescent="0.25">
      <c r="B118" s="48" t="s">
        <v>3</v>
      </c>
      <c r="C118" s="49" t="s">
        <v>2223</v>
      </c>
      <c r="D118" s="50" t="s">
        <v>42</v>
      </c>
      <c r="E118" s="32" t="s">
        <v>3</v>
      </c>
      <c r="F118" s="32" t="s">
        <v>2328</v>
      </c>
      <c r="G118" s="32"/>
      <c r="H118" s="32"/>
      <c r="I118" s="32"/>
      <c r="J118" s="33">
        <v>76.09</v>
      </c>
      <c r="K118" s="33">
        <v>91.4</v>
      </c>
      <c r="L118" s="33">
        <v>108.24</v>
      </c>
      <c r="M118" s="33">
        <v>125.24</v>
      </c>
      <c r="N118" s="33">
        <v>136.19</v>
      </c>
      <c r="O118" s="33">
        <v>26.85</v>
      </c>
      <c r="P118" s="33">
        <v>26.85</v>
      </c>
      <c r="Q118" s="33">
        <v>26.85</v>
      </c>
      <c r="R118" s="33">
        <v>26.85</v>
      </c>
      <c r="S118" s="33">
        <v>26.85</v>
      </c>
      <c r="T118" s="33">
        <v>26.85</v>
      </c>
      <c r="U118" s="33">
        <v>73.64</v>
      </c>
      <c r="V118" s="33">
        <v>83.55</v>
      </c>
      <c r="W118" s="33">
        <v>101.21</v>
      </c>
      <c r="X118" s="33">
        <v>95.46</v>
      </c>
      <c r="Y118" s="33">
        <v>115.91</v>
      </c>
      <c r="Z118" s="33">
        <v>148.85</v>
      </c>
      <c r="AA118" s="33">
        <v>31.38</v>
      </c>
      <c r="AB118" s="33">
        <v>26.85</v>
      </c>
      <c r="AC118" s="33">
        <v>26.85</v>
      </c>
      <c r="AD118" s="33">
        <v>26.85</v>
      </c>
      <c r="AE118" s="33">
        <v>26.87</v>
      </c>
      <c r="AF118" s="33">
        <v>26.87</v>
      </c>
      <c r="AG118" s="33">
        <v>98.44</v>
      </c>
      <c r="AH118" s="33">
        <v>96.58</v>
      </c>
      <c r="AI118" s="33">
        <v>75.23</v>
      </c>
      <c r="AJ118" s="33">
        <v>90.34</v>
      </c>
      <c r="AK118" s="32"/>
      <c r="AL118" s="34">
        <f>SUM(G118:AK118)</f>
      </c>
      <c r="AM118" s="35"/>
    </row>
    <row r="119" ht="13.5" customHeight="1" spans="2:39" x14ac:dyDescent="0.25">
      <c r="B119" s="48" t="s">
        <v>3</v>
      </c>
      <c r="C119" s="49" t="s">
        <v>2223</v>
      </c>
      <c r="D119" s="50" t="s">
        <v>42</v>
      </c>
      <c r="E119" s="32" t="s">
        <v>3</v>
      </c>
      <c r="F119" s="32" t="s">
        <v>2329</v>
      </c>
      <c r="G119" s="32"/>
      <c r="H119" s="32"/>
      <c r="I119" s="32"/>
      <c r="J119" s="33">
        <v>41.88</v>
      </c>
      <c r="K119" s="33">
        <v>86.37</v>
      </c>
      <c r="L119" s="33">
        <v>98.76</v>
      </c>
      <c r="M119" s="33">
        <v>105.17</v>
      </c>
      <c r="N119" s="33">
        <v>100.35</v>
      </c>
      <c r="O119" s="33">
        <v>27.61</v>
      </c>
      <c r="P119" s="33">
        <v>32.31</v>
      </c>
      <c r="Q119" s="33">
        <v>27.54</v>
      </c>
      <c r="R119" s="33">
        <v>27.61</v>
      </c>
      <c r="S119" s="33">
        <v>27.49</v>
      </c>
      <c r="T119" s="33">
        <v>28.34</v>
      </c>
      <c r="U119" s="33">
        <v>122.48</v>
      </c>
      <c r="V119" s="33">
        <v>60.17</v>
      </c>
      <c r="W119" s="33">
        <v>78.2</v>
      </c>
      <c r="X119" s="33">
        <v>79.1</v>
      </c>
      <c r="Y119" s="33">
        <v>119.29</v>
      </c>
      <c r="Z119" s="33">
        <v>128.38</v>
      </c>
      <c r="AA119" s="33">
        <v>27.8</v>
      </c>
      <c r="AB119" s="33">
        <v>27.75</v>
      </c>
      <c r="AC119" s="33">
        <v>27.86</v>
      </c>
      <c r="AD119" s="33">
        <v>27.75</v>
      </c>
      <c r="AE119" s="33">
        <v>27.82</v>
      </c>
      <c r="AF119" s="33">
        <v>27.82</v>
      </c>
      <c r="AG119" s="33">
        <v>47.3</v>
      </c>
      <c r="AH119" s="33">
        <v>61.25</v>
      </c>
      <c r="AI119" s="33">
        <v>77.08</v>
      </c>
      <c r="AJ119" s="33">
        <v>40.67</v>
      </c>
      <c r="AK119" s="32"/>
      <c r="AL119" s="34">
        <f>SUM(G119:AK119)</f>
      </c>
      <c r="AM119" s="35"/>
    </row>
    <row r="120" ht="13.5" customHeight="1" spans="2:39" x14ac:dyDescent="0.25">
      <c r="B120" s="48" t="s">
        <v>3</v>
      </c>
      <c r="C120" s="49" t="s">
        <v>2223</v>
      </c>
      <c r="D120" s="50" t="s">
        <v>42</v>
      </c>
      <c r="E120" s="32" t="s">
        <v>3</v>
      </c>
      <c r="F120" s="32" t="s">
        <v>2330</v>
      </c>
      <c r="G120" s="32"/>
      <c r="H120" s="32"/>
      <c r="I120" s="32"/>
      <c r="J120" s="33">
        <v>28.85</v>
      </c>
      <c r="K120" s="33">
        <v>28.85</v>
      </c>
      <c r="L120" s="33">
        <v>28.85</v>
      </c>
      <c r="M120" s="33">
        <v>28.85</v>
      </c>
      <c r="N120" s="33">
        <v>28.85</v>
      </c>
      <c r="O120" s="33">
        <v>28.85</v>
      </c>
      <c r="P120" s="33">
        <v>28.85</v>
      </c>
      <c r="Q120" s="33">
        <v>28.85</v>
      </c>
      <c r="R120" s="33">
        <f>0.00+28.85</f>
        <v>28.85</v>
      </c>
      <c r="S120" s="33">
        <v>28.85</v>
      </c>
      <c r="T120" s="33">
        <v>28.85</v>
      </c>
      <c r="U120" s="33">
        <v>28.85</v>
      </c>
      <c r="V120" s="33">
        <v>28.85</v>
      </c>
      <c r="W120" s="33">
        <v>28.85</v>
      </c>
      <c r="X120" s="33">
        <v>28.85</v>
      </c>
      <c r="Y120" s="33">
        <v>28.85</v>
      </c>
      <c r="Z120" s="33">
        <v>28.85</v>
      </c>
      <c r="AA120" s="33">
        <v>28.85</v>
      </c>
      <c r="AB120" s="33">
        <v>28.85</v>
      </c>
      <c r="AC120" s="33">
        <v>28.85</v>
      </c>
      <c r="AD120" s="33">
        <v>28.85</v>
      </c>
      <c r="AE120" s="33">
        <v>28.87</v>
      </c>
      <c r="AF120" s="33">
        <v>28.87</v>
      </c>
      <c r="AG120" s="33">
        <v>28.87</v>
      </c>
      <c r="AH120" s="33">
        <v>34.65</v>
      </c>
      <c r="AI120" s="33">
        <v>34.65</v>
      </c>
      <c r="AJ120" s="33">
        <v>34.59</v>
      </c>
      <c r="AK120" s="32"/>
      <c r="AL120" s="34">
        <f>SUM(G120:AK120)</f>
      </c>
      <c r="AM120" s="35"/>
    </row>
    <row r="121" ht="13.5" customHeight="1" spans="2:39" x14ac:dyDescent="0.25">
      <c r="B121" s="48" t="s">
        <v>3</v>
      </c>
      <c r="C121" s="49" t="s">
        <v>2223</v>
      </c>
      <c r="D121" s="50" t="s">
        <v>42</v>
      </c>
      <c r="E121" s="32" t="s">
        <v>3</v>
      </c>
      <c r="F121" s="32" t="s">
        <v>2331</v>
      </c>
      <c r="G121" s="32"/>
      <c r="H121" s="32"/>
      <c r="I121" s="32"/>
      <c r="J121" s="33">
        <v>158.28</v>
      </c>
      <c r="K121" s="33">
        <v>168.17</v>
      </c>
      <c r="L121" s="33">
        <v>184.25</v>
      </c>
      <c r="M121" s="33">
        <v>203.91</v>
      </c>
      <c r="N121" s="33">
        <v>190.41</v>
      </c>
      <c r="O121" s="33">
        <v>300.97</v>
      </c>
      <c r="P121" s="33">
        <v>26.85</v>
      </c>
      <c r="Q121" s="33">
        <v>26.85</v>
      </c>
      <c r="R121" s="33">
        <v>26.85</v>
      </c>
      <c r="S121" s="33">
        <v>26.85</v>
      </c>
      <c r="T121" s="33">
        <v>28.41</v>
      </c>
      <c r="U121" s="33">
        <v>72.02</v>
      </c>
      <c r="V121" s="33">
        <v>58.46</v>
      </c>
      <c r="W121" s="33">
        <v>49.84</v>
      </c>
      <c r="X121" s="33">
        <v>63.75</v>
      </c>
      <c r="Y121" s="33">
        <v>88.08</v>
      </c>
      <c r="Z121" s="33">
        <v>70.14</v>
      </c>
      <c r="AA121" s="33">
        <v>42.84</v>
      </c>
      <c r="AB121" s="33">
        <v>33.16</v>
      </c>
      <c r="AC121" s="33">
        <v>26.85</v>
      </c>
      <c r="AD121" s="33">
        <v>29.06</v>
      </c>
      <c r="AE121" s="33">
        <v>26.87</v>
      </c>
      <c r="AF121" s="33">
        <v>29.58</v>
      </c>
      <c r="AG121" s="33">
        <v>83.35</v>
      </c>
      <c r="AH121" s="33">
        <v>54</v>
      </c>
      <c r="AI121" s="33">
        <v>82.08</v>
      </c>
      <c r="AJ121" s="33">
        <v>92.71</v>
      </c>
      <c r="AK121" s="32"/>
      <c r="AL121" s="34">
        <f>SUM(G121:AK121)</f>
      </c>
      <c r="AM121" s="35"/>
    </row>
    <row r="122" ht="13.5" customHeight="1" spans="2:39" x14ac:dyDescent="0.25">
      <c r="B122" s="48" t="s">
        <v>3</v>
      </c>
      <c r="C122" s="49" t="s">
        <v>2223</v>
      </c>
      <c r="D122" s="50" t="s">
        <v>42</v>
      </c>
      <c r="E122" s="32" t="s">
        <v>3</v>
      </c>
      <c r="F122" s="32" t="s">
        <v>2332</v>
      </c>
      <c r="G122" s="32"/>
      <c r="H122" s="32"/>
      <c r="I122" s="32"/>
      <c r="J122" s="33">
        <v>46.23</v>
      </c>
      <c r="K122" s="33">
        <v>43.86</v>
      </c>
      <c r="L122" s="33">
        <v>57.29</v>
      </c>
      <c r="M122" s="33">
        <v>96.48</v>
      </c>
      <c r="N122" s="33">
        <v>90.32</v>
      </c>
      <c r="O122" s="33">
        <v>106.05</v>
      </c>
      <c r="P122" s="33">
        <v>83.56</v>
      </c>
      <c r="Q122" s="33">
        <v>70.3</v>
      </c>
      <c r="R122" s="33">
        <v>94.52</v>
      </c>
      <c r="S122" s="33">
        <v>87.06</v>
      </c>
      <c r="T122" s="33">
        <v>77.97</v>
      </c>
      <c r="U122" s="33">
        <v>64.8</v>
      </c>
      <c r="V122" s="33">
        <v>48.45</v>
      </c>
      <c r="W122" s="33">
        <v>62.58</v>
      </c>
      <c r="X122" s="33">
        <v>94.06</v>
      </c>
      <c r="Y122" s="33">
        <v>82.09</v>
      </c>
      <c r="Z122" s="33">
        <v>91.99</v>
      </c>
      <c r="AA122" s="33">
        <v>111.74</v>
      </c>
      <c r="AB122" s="33">
        <v>93.02</v>
      </c>
      <c r="AC122" s="33">
        <v>112.65</v>
      </c>
      <c r="AD122" s="33">
        <v>105.37</v>
      </c>
      <c r="AE122" s="33">
        <v>93.38</v>
      </c>
      <c r="AF122" s="33">
        <v>85.17</v>
      </c>
      <c r="AG122" s="33">
        <v>56.81</v>
      </c>
      <c r="AH122" s="33">
        <v>63.51</v>
      </c>
      <c r="AI122" s="33">
        <v>63.63</v>
      </c>
      <c r="AJ122" s="33">
        <v>49.03</v>
      </c>
      <c r="AK122" s="32"/>
      <c r="AL122" s="34">
        <f>SUM(G122:AK122)</f>
      </c>
      <c r="AM122" s="35"/>
    </row>
    <row r="123" ht="13.5" customHeight="1" spans="2:39" x14ac:dyDescent="0.25">
      <c r="B123" s="48" t="s">
        <v>3</v>
      </c>
      <c r="C123" s="49" t="s">
        <v>2223</v>
      </c>
      <c r="D123" s="50" t="s">
        <v>42</v>
      </c>
      <c r="E123" s="32" t="s">
        <v>3</v>
      </c>
      <c r="F123" s="32" t="s">
        <v>2333</v>
      </c>
      <c r="G123" s="32"/>
      <c r="H123" s="32"/>
      <c r="I123" s="32"/>
      <c r="J123" s="33">
        <v>84.65</v>
      </c>
      <c r="K123" s="33">
        <v>86.91</v>
      </c>
      <c r="L123" s="33">
        <v>94.54</v>
      </c>
      <c r="M123" s="33">
        <v>108.3</v>
      </c>
      <c r="N123" s="33">
        <v>46.39</v>
      </c>
      <c r="O123" s="33">
        <v>26.85</v>
      </c>
      <c r="P123" s="33">
        <v>26.85</v>
      </c>
      <c r="Q123" s="33">
        <v>42.98</v>
      </c>
      <c r="R123" s="33">
        <v>26.85</v>
      </c>
      <c r="S123" s="33">
        <v>53.02</v>
      </c>
      <c r="T123" s="33">
        <v>27.01</v>
      </c>
      <c r="U123" s="33">
        <v>69.58</v>
      </c>
      <c r="V123" s="33">
        <v>71.58</v>
      </c>
      <c r="W123" s="33">
        <v>117.2</v>
      </c>
      <c r="X123" s="33">
        <v>90.4</v>
      </c>
      <c r="Y123" s="33">
        <v>98.88</v>
      </c>
      <c r="Z123" s="33">
        <v>26.85</v>
      </c>
      <c r="AA123" s="33">
        <v>29.78</v>
      </c>
      <c r="AB123" s="33">
        <v>26.85</v>
      </c>
      <c r="AC123" s="33">
        <v>26.85</v>
      </c>
      <c r="AD123" s="33">
        <v>26.85</v>
      </c>
      <c r="AE123" s="33">
        <v>26.87</v>
      </c>
      <c r="AF123" s="33">
        <v>26.87</v>
      </c>
      <c r="AG123" s="33">
        <v>69.81</v>
      </c>
      <c r="AH123" s="33">
        <v>72.44</v>
      </c>
      <c r="AI123" s="33">
        <v>114.36</v>
      </c>
      <c r="AJ123" s="33">
        <v>100.2</v>
      </c>
      <c r="AK123" s="32"/>
      <c r="AL123" s="34">
        <f>SUM(G123:AK123)</f>
      </c>
      <c r="AM123" s="35"/>
    </row>
    <row r="124" ht="13.5" customHeight="1" spans="2:39" x14ac:dyDescent="0.25">
      <c r="B124" s="48" t="s">
        <v>3</v>
      </c>
      <c r="C124" s="49" t="s">
        <v>2223</v>
      </c>
      <c r="D124" s="50" t="s">
        <v>42</v>
      </c>
      <c r="E124" s="32" t="s">
        <v>3</v>
      </c>
      <c r="F124" s="32" t="s">
        <v>2334</v>
      </c>
      <c r="G124" s="32"/>
      <c r="H124" s="32"/>
      <c r="I124" s="32"/>
      <c r="J124" s="33">
        <v>66.78</v>
      </c>
      <c r="K124" s="33">
        <v>70.97</v>
      </c>
      <c r="L124" s="33">
        <v>75.99</v>
      </c>
      <c r="M124" s="33">
        <v>93.6</v>
      </c>
      <c r="N124" s="33">
        <v>30.67</v>
      </c>
      <c r="O124" s="33">
        <v>26.85</v>
      </c>
      <c r="P124" s="33">
        <v>107.46</v>
      </c>
      <c r="Q124" s="33">
        <v>75.69</v>
      </c>
      <c r="R124" s="33">
        <v>115.02</v>
      </c>
      <c r="S124" s="33">
        <v>72.13</v>
      </c>
      <c r="T124" s="33">
        <v>54.55</v>
      </c>
      <c r="U124" s="33">
        <v>28.6</v>
      </c>
      <c r="V124" s="33">
        <v>75.61</v>
      </c>
      <c r="W124" s="33">
        <v>75.86</v>
      </c>
      <c r="X124" s="33">
        <v>90.81</v>
      </c>
      <c r="Y124" s="33">
        <v>97.95</v>
      </c>
      <c r="Z124" s="33">
        <v>26.85</v>
      </c>
      <c r="AA124" s="33">
        <v>26.85</v>
      </c>
      <c r="AB124" s="33">
        <v>26.85</v>
      </c>
      <c r="AC124" s="33">
        <v>26.85</v>
      </c>
      <c r="AD124" s="33">
        <v>47.11</v>
      </c>
      <c r="AE124" s="33">
        <v>32.14</v>
      </c>
      <c r="AF124" s="33">
        <v>26.87</v>
      </c>
      <c r="AG124" s="33">
        <v>26.87</v>
      </c>
      <c r="AH124" s="33">
        <v>65.72</v>
      </c>
      <c r="AI124" s="33">
        <v>85.23</v>
      </c>
      <c r="AJ124" s="33">
        <v>76.25</v>
      </c>
      <c r="AK124" s="32"/>
      <c r="AL124" s="34">
        <f>SUM(G124:AK124)</f>
      </c>
      <c r="AM124" s="35"/>
    </row>
    <row r="125" ht="13.5" customHeight="1" spans="2:39" x14ac:dyDescent="0.25">
      <c r="B125" s="48" t="s">
        <v>3</v>
      </c>
      <c r="C125" s="49" t="s">
        <v>2223</v>
      </c>
      <c r="D125" s="50" t="s">
        <v>42</v>
      </c>
      <c r="E125" s="32" t="s">
        <v>3</v>
      </c>
      <c r="F125" s="32" t="s">
        <v>2335</v>
      </c>
      <c r="G125" s="32"/>
      <c r="H125" s="32"/>
      <c r="I125" s="32"/>
      <c r="J125" s="33">
        <v>103.34</v>
      </c>
      <c r="K125" s="33">
        <v>94.68</v>
      </c>
      <c r="L125" s="33">
        <v>111.15</v>
      </c>
      <c r="M125" s="33">
        <v>108.93</v>
      </c>
      <c r="N125" s="33">
        <v>64.33</v>
      </c>
      <c r="O125" s="33">
        <v>242.59</v>
      </c>
      <c r="P125" s="33">
        <v>275.44</v>
      </c>
      <c r="Q125" s="33">
        <v>133.38</v>
      </c>
      <c r="R125" s="33">
        <v>241.91</v>
      </c>
      <c r="S125" s="33">
        <v>217.88</v>
      </c>
      <c r="T125" s="33">
        <v>95.45</v>
      </c>
      <c r="U125" s="33">
        <v>126.34</v>
      </c>
      <c r="V125" s="33">
        <v>116.53</v>
      </c>
      <c r="W125" s="33">
        <v>149.14</v>
      </c>
      <c r="X125" s="33">
        <v>138.8</v>
      </c>
      <c r="Y125" s="33">
        <v>155.97</v>
      </c>
      <c r="Z125" s="33">
        <v>52.32</v>
      </c>
      <c r="AA125" s="33">
        <v>160.37</v>
      </c>
      <c r="AB125" s="33">
        <v>217.5</v>
      </c>
      <c r="AC125" s="33">
        <v>307.68</v>
      </c>
      <c r="AD125" s="33">
        <v>220.98</v>
      </c>
      <c r="AE125" s="33">
        <v>81.67</v>
      </c>
      <c r="AF125" s="33">
        <v>124.75</v>
      </c>
      <c r="AG125" s="33">
        <v>87.62</v>
      </c>
      <c r="AH125" s="33">
        <v>52.66</v>
      </c>
      <c r="AI125" s="33">
        <v>124.51</v>
      </c>
      <c r="AJ125" s="33">
        <v>122.43</v>
      </c>
      <c r="AK125" s="32"/>
      <c r="AL125" s="34">
        <f>SUM(G125:AK125)</f>
      </c>
      <c r="AM125" s="35"/>
    </row>
    <row r="126" ht="13.5" customHeight="1" spans="2:39" x14ac:dyDescent="0.25">
      <c r="B126" s="48" t="s">
        <v>3</v>
      </c>
      <c r="C126" s="49" t="s">
        <v>2223</v>
      </c>
      <c r="D126" s="50" t="s">
        <v>42</v>
      </c>
      <c r="E126" s="32" t="s">
        <v>3</v>
      </c>
      <c r="F126" s="32" t="s">
        <v>2336</v>
      </c>
      <c r="G126" s="32"/>
      <c r="H126" s="32"/>
      <c r="I126" s="32"/>
      <c r="J126" s="33">
        <v>48.46</v>
      </c>
      <c r="K126" s="33">
        <v>65.56</v>
      </c>
      <c r="L126" s="33">
        <v>68.21</v>
      </c>
      <c r="M126" s="33">
        <v>95.23</v>
      </c>
      <c r="N126" s="33">
        <v>59.18</v>
      </c>
      <c r="O126" s="33">
        <v>96.62</v>
      </c>
      <c r="P126" s="33">
        <v>82.5</v>
      </c>
      <c r="Q126" s="33">
        <v>92.58</v>
      </c>
      <c r="R126" s="33">
        <v>100.48</v>
      </c>
      <c r="S126" s="33">
        <v>90.32</v>
      </c>
      <c r="T126" s="33">
        <v>69</v>
      </c>
      <c r="U126" s="33">
        <v>74.11</v>
      </c>
      <c r="V126" s="33">
        <v>81.6</v>
      </c>
      <c r="W126" s="33">
        <v>100.3</v>
      </c>
      <c r="X126" s="33">
        <v>73.25</v>
      </c>
      <c r="Y126" s="33">
        <v>82.74</v>
      </c>
      <c r="Z126" s="33">
        <v>83.65</v>
      </c>
      <c r="AA126" s="33">
        <v>93.16</v>
      </c>
      <c r="AB126" s="33">
        <v>83.27</v>
      </c>
      <c r="AC126" s="33">
        <v>107.58</v>
      </c>
      <c r="AD126" s="33">
        <v>100.43</v>
      </c>
      <c r="AE126" s="33">
        <v>89.47</v>
      </c>
      <c r="AF126" s="33">
        <v>82.69</v>
      </c>
      <c r="AG126" s="33">
        <v>78.28</v>
      </c>
      <c r="AH126" s="33">
        <v>90.51</v>
      </c>
      <c r="AI126" s="33">
        <v>72.84</v>
      </c>
      <c r="AJ126" s="33">
        <v>63.51</v>
      </c>
      <c r="AK126" s="32"/>
      <c r="AL126" s="34">
        <f>SUM(G126:AK126)</f>
      </c>
      <c r="AM126" s="35"/>
    </row>
    <row r="127" ht="13.5" customHeight="1" spans="2:39" x14ac:dyDescent="0.25">
      <c r="B127" s="48" t="s">
        <v>3</v>
      </c>
      <c r="C127" s="49" t="s">
        <v>2223</v>
      </c>
      <c r="D127" s="50" t="s">
        <v>42</v>
      </c>
      <c r="E127" s="32" t="s">
        <v>3</v>
      </c>
      <c r="F127" s="32" t="s">
        <v>2337</v>
      </c>
      <c r="G127" s="32"/>
      <c r="H127" s="32"/>
      <c r="I127" s="32"/>
      <c r="J127" s="33">
        <v>780.58</v>
      </c>
      <c r="K127" s="33">
        <v>763.86</v>
      </c>
      <c r="L127" s="33">
        <v>806.66</v>
      </c>
      <c r="M127" s="33">
        <v>644.76</v>
      </c>
      <c r="N127" s="33">
        <v>755.26</v>
      </c>
      <c r="O127" s="33">
        <v>845.41</v>
      </c>
      <c r="P127" s="33">
        <v>713.41</v>
      </c>
      <c r="Q127" s="33">
        <v>754.03</v>
      </c>
      <c r="R127" s="33">
        <f>812.72+0.00</f>
        <v>812.72</v>
      </c>
      <c r="S127" s="33">
        <v>650.28</v>
      </c>
      <c r="T127" s="33">
        <v>708.9</v>
      </c>
      <c r="U127" s="33">
        <v>634.11</v>
      </c>
      <c r="V127" s="33">
        <v>663.96</v>
      </c>
      <c r="W127" s="33">
        <v>690.18</v>
      </c>
      <c r="X127" s="33">
        <v>681.66</v>
      </c>
      <c r="Y127" s="33">
        <v>684.48</v>
      </c>
      <c r="Z127" s="33">
        <v>793.2</v>
      </c>
      <c r="AA127" s="33">
        <v>852.79</v>
      </c>
      <c r="AB127" s="33">
        <v>629.88</v>
      </c>
      <c r="AC127" s="33">
        <v>830.62</v>
      </c>
      <c r="AD127" s="33">
        <v>726.91</v>
      </c>
      <c r="AE127" s="33">
        <v>796.92</v>
      </c>
      <c r="AF127" s="33">
        <v>765.04</v>
      </c>
      <c r="AG127" s="33">
        <v>658.81</v>
      </c>
      <c r="AH127" s="33">
        <v>711.73</v>
      </c>
      <c r="AI127" s="33">
        <v>687.44</v>
      </c>
      <c r="AJ127" s="33">
        <v>673</v>
      </c>
      <c r="AK127" s="32"/>
      <c r="AL127" s="34">
        <f>SUM(G127:AK127)</f>
      </c>
      <c r="AM127" s="35"/>
    </row>
    <row r="128" ht="13.5" customHeight="1" spans="2:39" x14ac:dyDescent="0.25">
      <c r="B128" s="48" t="s">
        <v>3</v>
      </c>
      <c r="C128" s="49" t="s">
        <v>2223</v>
      </c>
      <c r="D128" s="50" t="s">
        <v>42</v>
      </c>
      <c r="E128" s="32" t="s">
        <v>3</v>
      </c>
      <c r="F128" s="32" t="s">
        <v>2338</v>
      </c>
      <c r="G128" s="32"/>
      <c r="H128" s="32"/>
      <c r="I128" s="32"/>
      <c r="J128" s="33">
        <v>62.15</v>
      </c>
      <c r="K128" s="33">
        <v>65.18</v>
      </c>
      <c r="L128" s="33">
        <v>74.53</v>
      </c>
      <c r="M128" s="33">
        <v>72.05</v>
      </c>
      <c r="N128" s="33">
        <v>66.78</v>
      </c>
      <c r="O128" s="33">
        <v>26.85</v>
      </c>
      <c r="P128" s="33">
        <v>26.85</v>
      </c>
      <c r="Q128" s="33">
        <v>26.85</v>
      </c>
      <c r="R128" s="33">
        <v>26.85</v>
      </c>
      <c r="S128" s="33">
        <v>26.85</v>
      </c>
      <c r="T128" s="33">
        <v>33.13</v>
      </c>
      <c r="U128" s="33">
        <v>80.54</v>
      </c>
      <c r="V128" s="33">
        <v>75.86</v>
      </c>
      <c r="W128" s="33">
        <v>81.96</v>
      </c>
      <c r="X128" s="33">
        <v>75.71</v>
      </c>
      <c r="Y128" s="33">
        <v>80.01</v>
      </c>
      <c r="Z128" s="33">
        <v>96.67</v>
      </c>
      <c r="AA128" s="33">
        <v>35.87</v>
      </c>
      <c r="AB128" s="33">
        <v>26.85</v>
      </c>
      <c r="AC128" s="33">
        <v>26.85</v>
      </c>
      <c r="AD128" s="33">
        <v>26.85</v>
      </c>
      <c r="AE128" s="33">
        <v>26.87</v>
      </c>
      <c r="AF128" s="33">
        <v>26.87</v>
      </c>
      <c r="AG128" s="33">
        <v>71.75</v>
      </c>
      <c r="AH128" s="33">
        <v>80.49</v>
      </c>
      <c r="AI128" s="33">
        <v>89.19</v>
      </c>
      <c r="AJ128" s="33">
        <v>72.06</v>
      </c>
      <c r="AK128" s="32"/>
      <c r="AL128" s="34">
        <f>SUM(G128:AK128)</f>
      </c>
      <c r="AM128" s="35"/>
    </row>
    <row r="129" ht="13.5" customHeight="1" spans="2:39" x14ac:dyDescent="0.25">
      <c r="B129" s="48" t="s">
        <v>3</v>
      </c>
      <c r="C129" s="49" t="s">
        <v>2223</v>
      </c>
      <c r="D129" s="50" t="s">
        <v>42</v>
      </c>
      <c r="E129" s="32" t="s">
        <v>3</v>
      </c>
      <c r="F129" s="32" t="s">
        <v>2339</v>
      </c>
      <c r="G129" s="32"/>
      <c r="H129" s="32"/>
      <c r="I129" s="32"/>
      <c r="J129" s="33">
        <v>93.48</v>
      </c>
      <c r="K129" s="33">
        <v>66.51</v>
      </c>
      <c r="L129" s="33">
        <v>71.37</v>
      </c>
      <c r="M129" s="33">
        <v>234.45</v>
      </c>
      <c r="N129" s="33">
        <v>247.27</v>
      </c>
      <c r="O129" s="33">
        <v>387.61</v>
      </c>
      <c r="P129" s="33">
        <v>324.71</v>
      </c>
      <c r="Q129" s="33">
        <v>318.72</v>
      </c>
      <c r="R129" s="33">
        <v>284.54</v>
      </c>
      <c r="S129" s="33">
        <v>254.88</v>
      </c>
      <c r="T129" s="33">
        <v>103.5</v>
      </c>
      <c r="U129" s="33">
        <v>82.17</v>
      </c>
      <c r="V129" s="33">
        <v>106.79</v>
      </c>
      <c r="W129" s="33">
        <v>132.43</v>
      </c>
      <c r="X129" s="33">
        <v>102.51</v>
      </c>
      <c r="Y129" s="33">
        <v>113.31</v>
      </c>
      <c r="Z129" s="33">
        <v>138.01</v>
      </c>
      <c r="AA129" s="33">
        <v>164.59</v>
      </c>
      <c r="AB129" s="33">
        <v>160.37</v>
      </c>
      <c r="AC129" s="33">
        <v>175.06</v>
      </c>
      <c r="AD129" s="33">
        <v>155.82</v>
      </c>
      <c r="AE129" s="33">
        <v>152.47</v>
      </c>
      <c r="AF129" s="33">
        <v>129.03</v>
      </c>
      <c r="AG129" s="33">
        <v>26.87</v>
      </c>
      <c r="AH129" s="33">
        <v>34.38</v>
      </c>
      <c r="AI129" s="33">
        <v>110.66</v>
      </c>
      <c r="AJ129" s="33">
        <v>110.06</v>
      </c>
      <c r="AK129" s="32"/>
      <c r="AL129" s="34">
        <f>SUM(G129:AK129)</f>
      </c>
      <c r="AM129" s="35"/>
    </row>
    <row r="130" ht="13.5" customHeight="1" spans="2:39" x14ac:dyDescent="0.25">
      <c r="B130" s="48" t="s">
        <v>3</v>
      </c>
      <c r="C130" s="49" t="s">
        <v>2223</v>
      </c>
      <c r="D130" s="50" t="s">
        <v>42</v>
      </c>
      <c r="E130" s="32" t="s">
        <v>3</v>
      </c>
      <c r="F130" s="32" t="s">
        <v>2340</v>
      </c>
      <c r="G130" s="32"/>
      <c r="H130" s="32"/>
      <c r="I130" s="32"/>
      <c r="J130" s="33">
        <v>33.37</v>
      </c>
      <c r="K130" s="33">
        <v>60.43</v>
      </c>
      <c r="L130" s="33">
        <v>76.23</v>
      </c>
      <c r="M130" s="33">
        <v>93.6</v>
      </c>
      <c r="N130" s="33">
        <v>80.06</v>
      </c>
      <c r="O130" s="33">
        <v>26.85</v>
      </c>
      <c r="P130" s="33">
        <v>26.85</v>
      </c>
      <c r="Q130" s="33">
        <v>26.85</v>
      </c>
      <c r="R130" s="33">
        <v>26.85</v>
      </c>
      <c r="S130" s="33">
        <v>26.85</v>
      </c>
      <c r="T130" s="33">
        <v>27.25</v>
      </c>
      <c r="U130" s="33">
        <v>40.54</v>
      </c>
      <c r="V130" s="33">
        <v>33.71</v>
      </c>
      <c r="W130" s="33">
        <v>68.19</v>
      </c>
      <c r="X130" s="33">
        <v>84.84</v>
      </c>
      <c r="Y130" s="33">
        <v>94.18</v>
      </c>
      <c r="Z130" s="33">
        <v>113.31</v>
      </c>
      <c r="AA130" s="33">
        <v>26.85</v>
      </c>
      <c r="AB130" s="33">
        <v>26.85</v>
      </c>
      <c r="AC130" s="33">
        <v>26.85</v>
      </c>
      <c r="AD130" s="33">
        <v>26.85</v>
      </c>
      <c r="AE130" s="33">
        <v>26.87</v>
      </c>
      <c r="AF130" s="33">
        <v>27.34</v>
      </c>
      <c r="AG130" s="33">
        <v>48.72</v>
      </c>
      <c r="AH130" s="33">
        <v>37.86</v>
      </c>
      <c r="AI130" s="33">
        <v>39.13</v>
      </c>
      <c r="AJ130" s="33">
        <v>104.54</v>
      </c>
      <c r="AK130" s="32"/>
      <c r="AL130" s="34">
        <f>SUM(G130:AK130)</f>
      </c>
      <c r="AM130" s="35"/>
    </row>
    <row r="131" ht="13.5" customHeight="1" spans="2:39" x14ac:dyDescent="0.25">
      <c r="B131" s="48" t="s">
        <v>3</v>
      </c>
      <c r="C131" s="49" t="s">
        <v>2223</v>
      </c>
      <c r="D131" s="50" t="s">
        <v>42</v>
      </c>
      <c r="E131" s="32" t="s">
        <v>3</v>
      </c>
      <c r="F131" s="32" t="s">
        <v>2341</v>
      </c>
      <c r="G131" s="32"/>
      <c r="H131" s="32"/>
      <c r="I131" s="32"/>
      <c r="J131" s="33">
        <v>53.99</v>
      </c>
      <c r="K131" s="33">
        <v>54.91</v>
      </c>
      <c r="L131" s="33">
        <v>63.73</v>
      </c>
      <c r="M131" s="33">
        <v>76.4</v>
      </c>
      <c r="N131" s="33">
        <v>86.03</v>
      </c>
      <c r="O131" s="33">
        <v>137.02</v>
      </c>
      <c r="P131" s="33">
        <v>115.51</v>
      </c>
      <c r="Q131" s="33">
        <v>134.05</v>
      </c>
      <c r="R131" s="33">
        <v>146.94</v>
      </c>
      <c r="S131" s="33">
        <v>128.87</v>
      </c>
      <c r="T131" s="33">
        <v>102.45</v>
      </c>
      <c r="U131" s="33">
        <v>83.11</v>
      </c>
      <c r="V131" s="33">
        <v>69.38</v>
      </c>
      <c r="W131" s="33">
        <v>59.86</v>
      </c>
      <c r="X131" s="33">
        <v>77.28</v>
      </c>
      <c r="Y131" s="33">
        <v>82.09</v>
      </c>
      <c r="Z131" s="33">
        <v>100.15</v>
      </c>
      <c r="AA131" s="33">
        <v>120.46</v>
      </c>
      <c r="AB131" s="33">
        <v>101.48</v>
      </c>
      <c r="AC131" s="33">
        <v>130.2</v>
      </c>
      <c r="AD131" s="33">
        <v>118.09</v>
      </c>
      <c r="AE131" s="33">
        <v>102.1</v>
      </c>
      <c r="AF131" s="33">
        <v>79.57</v>
      </c>
      <c r="AG131" s="33">
        <v>63.95</v>
      </c>
      <c r="AH131" s="33">
        <v>64.01</v>
      </c>
      <c r="AI131" s="33">
        <v>59.13</v>
      </c>
      <c r="AJ131" s="33">
        <v>65.88</v>
      </c>
      <c r="AK131" s="32"/>
      <c r="AL131" s="34">
        <f>SUM(G131:AK131)</f>
      </c>
      <c r="AM131" s="35"/>
    </row>
    <row r="132" ht="13.5" customHeight="1" spans="2:39" x14ac:dyDescent="0.25">
      <c r="B132" s="48" t="s">
        <v>3</v>
      </c>
      <c r="C132" s="49" t="s">
        <v>2223</v>
      </c>
      <c r="D132" s="50" t="s">
        <v>42</v>
      </c>
      <c r="E132" s="32" t="s">
        <v>3</v>
      </c>
      <c r="F132" s="32" t="s">
        <v>2342</v>
      </c>
      <c r="G132" s="32"/>
      <c r="H132" s="32"/>
      <c r="I132" s="32"/>
      <c r="J132" s="33">
        <v>240.12</v>
      </c>
      <c r="K132" s="33">
        <v>205.22</v>
      </c>
      <c r="L132" s="33">
        <v>204</v>
      </c>
      <c r="M132" s="33">
        <v>281.63</v>
      </c>
      <c r="N132" s="33">
        <v>371.91</v>
      </c>
      <c r="O132" s="33">
        <v>140.04</v>
      </c>
      <c r="P132" s="33">
        <v>48.59</v>
      </c>
      <c r="Q132" s="33">
        <v>31.26</v>
      </c>
      <c r="R132" s="33">
        <v>140.45</v>
      </c>
      <c r="S132" s="33">
        <v>207.4</v>
      </c>
      <c r="T132" s="33">
        <v>346.09</v>
      </c>
      <c r="U132" s="33">
        <v>152.05</v>
      </c>
      <c r="V132" s="33">
        <v>207.43</v>
      </c>
      <c r="W132" s="33">
        <v>246.61</v>
      </c>
      <c r="X132" s="33">
        <v>289.65</v>
      </c>
      <c r="Y132" s="33">
        <v>323.75</v>
      </c>
      <c r="Z132" s="33">
        <v>355.29</v>
      </c>
      <c r="AA132" s="33">
        <v>248.73</v>
      </c>
      <c r="AB132" s="33">
        <v>231.01</v>
      </c>
      <c r="AC132" s="33">
        <v>306.77</v>
      </c>
      <c r="AD132" s="33">
        <v>250.55</v>
      </c>
      <c r="AE132" s="33">
        <v>265.81</v>
      </c>
      <c r="AF132" s="33">
        <v>368.2</v>
      </c>
      <c r="AG132" s="33">
        <v>286.89</v>
      </c>
      <c r="AH132" s="33">
        <v>230.93</v>
      </c>
      <c r="AI132" s="33">
        <v>233.22</v>
      </c>
      <c r="AJ132" s="33">
        <v>273.15</v>
      </c>
      <c r="AK132" s="32"/>
      <c r="AL132" s="34">
        <f>SUM(G132:AK132)</f>
      </c>
      <c r="AM132" s="35"/>
    </row>
    <row r="133" ht="13.5" customHeight="1" spans="2:39" x14ac:dyDescent="0.25">
      <c r="B133" s="48" t="s">
        <v>3</v>
      </c>
      <c r="C133" s="49" t="s">
        <v>2223</v>
      </c>
      <c r="D133" s="50" t="s">
        <v>42</v>
      </c>
      <c r="E133" s="32" t="s">
        <v>3</v>
      </c>
      <c r="F133" s="32" t="s">
        <v>2343</v>
      </c>
      <c r="G133" s="32"/>
      <c r="H133" s="32"/>
      <c r="I133" s="32"/>
      <c r="J133" s="33">
        <v>27.53</v>
      </c>
      <c r="K133" s="33">
        <v>60.95</v>
      </c>
      <c r="L133" s="33">
        <v>143.17</v>
      </c>
      <c r="M133" s="33">
        <v>141.11</v>
      </c>
      <c r="N133" s="33">
        <v>76.32</v>
      </c>
      <c r="O133" s="33">
        <v>89.97</v>
      </c>
      <c r="P133" s="33">
        <v>72.38</v>
      </c>
      <c r="Q133" s="33">
        <v>61.35</v>
      </c>
      <c r="R133" s="33">
        <v>92.31</v>
      </c>
      <c r="S133" s="33">
        <v>65.03</v>
      </c>
      <c r="T133" s="33">
        <v>45.8</v>
      </c>
      <c r="U133" s="33">
        <v>27.57</v>
      </c>
      <c r="V133" s="33">
        <v>31.08</v>
      </c>
      <c r="W133" s="33">
        <v>106.28</v>
      </c>
      <c r="X133" s="33">
        <v>125.4</v>
      </c>
      <c r="Y133" s="33">
        <v>137.5</v>
      </c>
      <c r="Z133" s="33">
        <v>103.3</v>
      </c>
      <c r="AA133" s="33">
        <v>27.43</v>
      </c>
      <c r="AB133" s="33">
        <v>27.43</v>
      </c>
      <c r="AC133" s="33">
        <v>27.55</v>
      </c>
      <c r="AD133" s="33">
        <v>27.43</v>
      </c>
      <c r="AE133" s="33">
        <v>27.46</v>
      </c>
      <c r="AF133" s="33">
        <v>89.2</v>
      </c>
      <c r="AG133" s="33">
        <v>108.98</v>
      </c>
      <c r="AH133" s="33">
        <v>128.97</v>
      </c>
      <c r="AI133" s="33">
        <v>140.05</v>
      </c>
      <c r="AJ133" s="33">
        <v>115.05</v>
      </c>
      <c r="AK133" s="32"/>
      <c r="AL133" s="34">
        <f>SUM(G133:AK133)</f>
      </c>
      <c r="AM133" s="35"/>
    </row>
    <row r="134" ht="13.5" customHeight="1" spans="2:39" x14ac:dyDescent="0.25">
      <c r="B134" s="48" t="s">
        <v>3</v>
      </c>
      <c r="C134" s="49" t="s">
        <v>2223</v>
      </c>
      <c r="D134" s="50" t="s">
        <v>42</v>
      </c>
      <c r="E134" s="32" t="s">
        <v>3</v>
      </c>
      <c r="F134" s="32" t="s">
        <v>2344</v>
      </c>
      <c r="G134" s="32"/>
      <c r="H134" s="32"/>
      <c r="I134" s="32"/>
      <c r="J134" s="33">
        <v>36.55</v>
      </c>
      <c r="K134" s="33">
        <v>36.15</v>
      </c>
      <c r="L134" s="33">
        <v>40.42</v>
      </c>
      <c r="M134" s="33">
        <v>46.39</v>
      </c>
      <c r="N134" s="33">
        <v>48.23</v>
      </c>
      <c r="O134" s="33">
        <v>29.53</v>
      </c>
      <c r="P134" s="33">
        <v>26.85</v>
      </c>
      <c r="Q134" s="33">
        <v>26.85</v>
      </c>
      <c r="R134" s="33">
        <v>26.85</v>
      </c>
      <c r="S134" s="33">
        <v>26.85</v>
      </c>
      <c r="T134" s="33">
        <v>27.85</v>
      </c>
      <c r="U134" s="33">
        <v>32.95</v>
      </c>
      <c r="V134" s="33">
        <v>31.55</v>
      </c>
      <c r="W134" s="33">
        <v>161.11</v>
      </c>
      <c r="X134" s="33">
        <v>151.86</v>
      </c>
      <c r="Y134" s="33">
        <v>37.67</v>
      </c>
      <c r="Z134" s="33">
        <v>26.85</v>
      </c>
      <c r="AA134" s="33">
        <v>26.85</v>
      </c>
      <c r="AB134" s="33">
        <v>26.85</v>
      </c>
      <c r="AC134" s="33">
        <v>26.85</v>
      </c>
      <c r="AD134" s="33">
        <v>26.85</v>
      </c>
      <c r="AE134" s="33">
        <v>26.87</v>
      </c>
      <c r="AF134" s="33">
        <v>28.62</v>
      </c>
      <c r="AG134" s="33">
        <v>99.34</v>
      </c>
      <c r="AH134" s="33">
        <v>94.33</v>
      </c>
      <c r="AI134" s="33">
        <v>86.01</v>
      </c>
      <c r="AJ134" s="33">
        <v>88.89</v>
      </c>
      <c r="AK134" s="32"/>
      <c r="AL134" s="34">
        <f>SUM(G134:AK134)</f>
      </c>
      <c r="AM134" s="35"/>
    </row>
    <row r="135" ht="13.5" customHeight="1" spans="2:39" x14ac:dyDescent="0.25">
      <c r="B135" s="48" t="s">
        <v>3</v>
      </c>
      <c r="C135" s="49" t="s">
        <v>2223</v>
      </c>
      <c r="D135" s="50" t="s">
        <v>42</v>
      </c>
      <c r="E135" s="32" t="s">
        <v>3</v>
      </c>
      <c r="F135" s="32" t="s">
        <v>2345</v>
      </c>
      <c r="G135" s="32"/>
      <c r="H135" s="32"/>
      <c r="I135" s="32"/>
      <c r="J135" s="33">
        <v>66.89</v>
      </c>
      <c r="K135" s="33">
        <v>62.53</v>
      </c>
      <c r="L135" s="33">
        <v>61.75</v>
      </c>
      <c r="M135" s="33">
        <v>65.56</v>
      </c>
      <c r="N135" s="33">
        <v>67.13</v>
      </c>
      <c r="O135" s="33">
        <v>101.52</v>
      </c>
      <c r="P135" s="33">
        <v>97.2</v>
      </c>
      <c r="Q135" s="33">
        <v>99.01</v>
      </c>
      <c r="R135" s="33">
        <v>80.66</v>
      </c>
      <c r="S135" s="33">
        <v>69.7</v>
      </c>
      <c r="T135" s="33">
        <v>34.74</v>
      </c>
      <c r="U135" s="33">
        <v>59.43</v>
      </c>
      <c r="V135" s="33">
        <v>55.73</v>
      </c>
      <c r="W135" s="33">
        <v>66.5</v>
      </c>
      <c r="X135" s="33">
        <v>47.88</v>
      </c>
      <c r="Y135" s="33">
        <v>51.54</v>
      </c>
      <c r="Z135" s="33">
        <v>57.91</v>
      </c>
      <c r="AA135" s="33">
        <v>91.99</v>
      </c>
      <c r="AB135" s="33">
        <v>71.68</v>
      </c>
      <c r="AC135" s="33">
        <v>69.87</v>
      </c>
      <c r="AD135" s="33">
        <v>54</v>
      </c>
      <c r="AE135" s="33">
        <v>53.54</v>
      </c>
      <c r="AF135" s="33">
        <v>51.84</v>
      </c>
      <c r="AG135" s="33">
        <v>53.54</v>
      </c>
      <c r="AH135" s="33">
        <v>43.77</v>
      </c>
      <c r="AI135" s="33">
        <v>71.67</v>
      </c>
      <c r="AJ135" s="33">
        <v>61.01</v>
      </c>
      <c r="AK135" s="32"/>
      <c r="AL135" s="34">
        <f>SUM(G135:AK135)</f>
      </c>
      <c r="AM135" s="35"/>
    </row>
    <row r="136" ht="13.5" customHeight="1" spans="2:39" x14ac:dyDescent="0.25">
      <c r="B136" s="48" t="s">
        <v>3</v>
      </c>
      <c r="C136" s="49" t="s">
        <v>2223</v>
      </c>
      <c r="D136" s="50" t="s">
        <v>42</v>
      </c>
      <c r="E136" s="32" t="s">
        <v>3</v>
      </c>
      <c r="F136" s="32" t="s">
        <v>2346</v>
      </c>
      <c r="G136" s="32"/>
      <c r="H136" s="32"/>
      <c r="I136" s="32"/>
      <c r="J136" s="33">
        <v>119.27</v>
      </c>
      <c r="K136" s="33">
        <v>113.65</v>
      </c>
      <c r="L136" s="33">
        <v>135.64</v>
      </c>
      <c r="M136" s="33">
        <v>146.65</v>
      </c>
      <c r="N136" s="33">
        <v>147.51</v>
      </c>
      <c r="O136" s="33">
        <v>247.13</v>
      </c>
      <c r="P136" s="33">
        <v>210.28</v>
      </c>
      <c r="Q136" s="33">
        <v>225.63</v>
      </c>
      <c r="R136" s="33">
        <v>117.8</v>
      </c>
      <c r="S136" s="33">
        <v>27.77</v>
      </c>
      <c r="T136" s="33">
        <v>27.88</v>
      </c>
      <c r="U136" s="33">
        <v>30.82</v>
      </c>
      <c r="V136" s="33">
        <v>30.1</v>
      </c>
      <c r="W136" s="33">
        <v>48.17</v>
      </c>
      <c r="X136" s="33">
        <v>87.32</v>
      </c>
      <c r="Y136" s="33">
        <v>36.3</v>
      </c>
      <c r="Z136" s="33">
        <v>31.26</v>
      </c>
      <c r="AA136" s="33">
        <v>28.38</v>
      </c>
      <c r="AB136" s="33">
        <v>28.23</v>
      </c>
      <c r="AC136" s="33">
        <v>28.44</v>
      </c>
      <c r="AD136" s="33">
        <v>28.29</v>
      </c>
      <c r="AE136" s="33">
        <v>28.37</v>
      </c>
      <c r="AF136" s="33">
        <v>32.03</v>
      </c>
      <c r="AG136" s="33">
        <v>31.08</v>
      </c>
      <c r="AH136" s="33">
        <v>37.21</v>
      </c>
      <c r="AI136" s="33">
        <v>124.78</v>
      </c>
      <c r="AJ136" s="33">
        <v>100.2</v>
      </c>
      <c r="AK136" s="32"/>
      <c r="AL136" s="34">
        <f>SUM(G136:AK136)</f>
      </c>
      <c r="AM136" s="35"/>
    </row>
    <row r="137" ht="13.5" customHeight="1" spans="2:39" x14ac:dyDescent="0.25">
      <c r="B137" s="48" t="s">
        <v>3</v>
      </c>
      <c r="C137" s="49" t="s">
        <v>2223</v>
      </c>
      <c r="D137" s="50" t="s">
        <v>42</v>
      </c>
      <c r="E137" s="32" t="s">
        <v>3</v>
      </c>
      <c r="F137" s="32" t="s">
        <v>2347</v>
      </c>
      <c r="G137" s="32"/>
      <c r="H137" s="32"/>
      <c r="I137" s="32"/>
      <c r="J137" s="33">
        <v>85.44</v>
      </c>
      <c r="K137" s="33">
        <v>96.78</v>
      </c>
      <c r="L137" s="33">
        <v>133.15</v>
      </c>
      <c r="M137" s="33">
        <v>132.83</v>
      </c>
      <c r="N137" s="33">
        <v>133.96</v>
      </c>
      <c r="O137" s="33">
        <v>33</v>
      </c>
      <c r="P137" s="33">
        <v>53.27</v>
      </c>
      <c r="Q137" s="33">
        <v>31.76</v>
      </c>
      <c r="R137" s="33">
        <v>26.85</v>
      </c>
      <c r="S137" s="33">
        <v>26.85</v>
      </c>
      <c r="T137" s="33">
        <v>26.85</v>
      </c>
      <c r="U137" s="33">
        <v>26.85</v>
      </c>
      <c r="V137" s="33">
        <v>37.49</v>
      </c>
      <c r="W137" s="33">
        <v>56.36</v>
      </c>
      <c r="X137" s="33">
        <v>106.67</v>
      </c>
      <c r="Y137" s="33">
        <v>29.32</v>
      </c>
      <c r="Z137" s="33">
        <v>30.31</v>
      </c>
      <c r="AA137" s="33">
        <v>31.14</v>
      </c>
      <c r="AB137" s="33">
        <v>26.85</v>
      </c>
      <c r="AC137" s="33">
        <v>27.86</v>
      </c>
      <c r="AD137" s="33">
        <v>26.85</v>
      </c>
      <c r="AE137" s="33">
        <v>28.14</v>
      </c>
      <c r="AF137" s="33">
        <v>30.06</v>
      </c>
      <c r="AG137" s="33">
        <v>44.3</v>
      </c>
      <c r="AH137" s="33">
        <v>56.64</v>
      </c>
      <c r="AI137" s="33">
        <v>49.91</v>
      </c>
      <c r="AJ137" s="33">
        <v>73.23</v>
      </c>
      <c r="AK137" s="32"/>
      <c r="AL137" s="34">
        <f>SUM(G137:AK137)</f>
      </c>
      <c r="AM137" s="35"/>
    </row>
    <row r="138" ht="13.5" customHeight="1" spans="2:39" x14ac:dyDescent="0.25">
      <c r="B138" s="48" t="s">
        <v>3</v>
      </c>
      <c r="C138" s="49" t="s">
        <v>2223</v>
      </c>
      <c r="D138" s="50" t="s">
        <v>42</v>
      </c>
      <c r="E138" s="32" t="s">
        <v>3</v>
      </c>
      <c r="F138" s="32" t="s">
        <v>2348</v>
      </c>
      <c r="G138" s="32"/>
      <c r="H138" s="32"/>
      <c r="I138" s="32"/>
      <c r="J138" s="33">
        <v>50.7</v>
      </c>
      <c r="K138" s="33">
        <v>48.31</v>
      </c>
      <c r="L138" s="33">
        <v>50.95</v>
      </c>
      <c r="M138" s="33">
        <v>68.92</v>
      </c>
      <c r="N138" s="33">
        <v>28.49</v>
      </c>
      <c r="O138" s="33">
        <v>42.78</v>
      </c>
      <c r="P138" s="33">
        <v>26.85</v>
      </c>
      <c r="Q138" s="33">
        <v>26.85</v>
      </c>
      <c r="R138" s="33">
        <v>26.85</v>
      </c>
      <c r="S138" s="33">
        <v>26.85</v>
      </c>
      <c r="T138" s="33">
        <v>29.73</v>
      </c>
      <c r="U138" s="33">
        <v>65.73</v>
      </c>
      <c r="V138" s="33">
        <v>50.54</v>
      </c>
      <c r="W138" s="33">
        <v>51.79</v>
      </c>
      <c r="X138" s="33">
        <v>54.28</v>
      </c>
      <c r="Y138" s="33">
        <v>67.41</v>
      </c>
      <c r="Z138" s="33">
        <v>33.38</v>
      </c>
      <c r="AA138" s="33">
        <v>48.28</v>
      </c>
      <c r="AB138" s="33">
        <v>26.85</v>
      </c>
      <c r="AC138" s="33">
        <v>26.85</v>
      </c>
      <c r="AD138" s="33">
        <v>26.85</v>
      </c>
      <c r="AE138" s="33">
        <v>33.15</v>
      </c>
      <c r="AF138" s="33">
        <v>65.65</v>
      </c>
      <c r="AG138" s="33">
        <v>65.4</v>
      </c>
      <c r="AH138" s="33">
        <v>60.59</v>
      </c>
      <c r="AI138" s="33">
        <v>66.78</v>
      </c>
      <c r="AJ138" s="33">
        <v>67.71</v>
      </c>
      <c r="AK138" s="32"/>
      <c r="AL138" s="34">
        <f>SUM(G138:AK138)</f>
      </c>
      <c r="AM138" s="35"/>
    </row>
    <row r="139" ht="13.5" customHeight="1" spans="2:39" x14ac:dyDescent="0.25">
      <c r="B139" s="48" t="s">
        <v>3</v>
      </c>
      <c r="C139" s="49" t="s">
        <v>2223</v>
      </c>
      <c r="D139" s="50" t="s">
        <v>42</v>
      </c>
      <c r="E139" s="32" t="s">
        <v>3</v>
      </c>
      <c r="F139" s="32" t="s">
        <v>2349</v>
      </c>
      <c r="G139" s="32"/>
      <c r="H139" s="32"/>
      <c r="I139" s="32"/>
      <c r="J139" s="33">
        <v>131.37</v>
      </c>
      <c r="K139" s="33">
        <v>65.84</v>
      </c>
      <c r="L139" s="33">
        <v>138.67</v>
      </c>
      <c r="M139" s="33">
        <v>152.37</v>
      </c>
      <c r="N139" s="33">
        <v>143.76</v>
      </c>
      <c r="O139" s="33">
        <v>128.45</v>
      </c>
      <c r="P139" s="33">
        <v>26.85</v>
      </c>
      <c r="Q139" s="33">
        <v>26.85</v>
      </c>
      <c r="R139" s="33">
        <v>26.85</v>
      </c>
      <c r="S139" s="33">
        <v>26.85</v>
      </c>
      <c r="T139" s="33">
        <v>27.45</v>
      </c>
      <c r="U139" s="33">
        <v>47.19</v>
      </c>
      <c r="V139" s="33">
        <v>33.8</v>
      </c>
      <c r="W139" s="33">
        <v>46.87</v>
      </c>
      <c r="X139" s="33">
        <v>50.89</v>
      </c>
      <c r="Y139" s="33">
        <v>57.02</v>
      </c>
      <c r="Z139" s="33">
        <v>46.74</v>
      </c>
      <c r="AA139" s="33">
        <v>26.85</v>
      </c>
      <c r="AB139" s="33">
        <v>26.85</v>
      </c>
      <c r="AC139" s="33">
        <v>26.85</v>
      </c>
      <c r="AD139" s="33">
        <v>26.85</v>
      </c>
      <c r="AE139" s="33">
        <v>26.87</v>
      </c>
      <c r="AF139" s="33">
        <v>26.87</v>
      </c>
      <c r="AG139" s="33">
        <v>26.87</v>
      </c>
      <c r="AH139" s="33">
        <v>32.83</v>
      </c>
      <c r="AI139" s="33">
        <v>55.73</v>
      </c>
      <c r="AJ139" s="33">
        <v>43.27</v>
      </c>
      <c r="AK139" s="32"/>
      <c r="AL139" s="34">
        <f>SUM(G139:AK139)</f>
      </c>
      <c r="AM139" s="35"/>
    </row>
    <row r="140" ht="13.5" customHeight="1" spans="2:39" x14ac:dyDescent="0.25">
      <c r="B140" s="48" t="s">
        <v>3</v>
      </c>
      <c r="C140" s="49" t="s">
        <v>2223</v>
      </c>
      <c r="D140" s="50" t="s">
        <v>42</v>
      </c>
      <c r="E140" s="32" t="s">
        <v>3</v>
      </c>
      <c r="F140" s="32" t="s">
        <v>2350</v>
      </c>
      <c r="G140" s="32"/>
      <c r="H140" s="32"/>
      <c r="I140" s="32"/>
      <c r="J140" s="33">
        <v>91.26</v>
      </c>
      <c r="K140" s="33">
        <v>82.56</v>
      </c>
      <c r="L140" s="33">
        <v>90.47</v>
      </c>
      <c r="M140" s="33">
        <v>71.8</v>
      </c>
      <c r="N140" s="33">
        <v>63.74</v>
      </c>
      <c r="O140" s="33">
        <v>26.85</v>
      </c>
      <c r="P140" s="33">
        <v>26.85</v>
      </c>
      <c r="Q140" s="33">
        <v>26.85</v>
      </c>
      <c r="R140" s="33">
        <v>26.85</v>
      </c>
      <c r="S140" s="33">
        <v>26.85</v>
      </c>
      <c r="T140" s="33">
        <v>26.85</v>
      </c>
      <c r="U140" s="33">
        <v>61.42</v>
      </c>
      <c r="V140" s="33">
        <v>44.7</v>
      </c>
      <c r="W140" s="33">
        <v>61.29</v>
      </c>
      <c r="X140" s="33">
        <v>55.82</v>
      </c>
      <c r="Y140" s="33">
        <v>63.75</v>
      </c>
      <c r="Z140" s="33">
        <v>37.84</v>
      </c>
      <c r="AA140" s="33">
        <v>26.85</v>
      </c>
      <c r="AB140" s="33">
        <v>26.85</v>
      </c>
      <c r="AC140" s="33">
        <v>26.85</v>
      </c>
      <c r="AD140" s="33">
        <v>26.85</v>
      </c>
      <c r="AE140" s="33">
        <v>26.87</v>
      </c>
      <c r="AF140" s="33">
        <v>26.87</v>
      </c>
      <c r="AG140" s="33">
        <v>54.33</v>
      </c>
      <c r="AH140" s="33">
        <v>78.25</v>
      </c>
      <c r="AI140" s="33">
        <v>81.55</v>
      </c>
      <c r="AJ140" s="33">
        <v>75.6</v>
      </c>
      <c r="AK140" s="32"/>
      <c r="AL140" s="34">
        <f>SUM(G140:AK140)</f>
      </c>
      <c r="AM140" s="35"/>
    </row>
    <row r="141" ht="13.5" customHeight="1" spans="2:39" x14ac:dyDescent="0.25">
      <c r="B141" s="48" t="s">
        <v>3</v>
      </c>
      <c r="C141" s="49" t="s">
        <v>2223</v>
      </c>
      <c r="D141" s="50" t="s">
        <v>42</v>
      </c>
      <c r="E141" s="32" t="s">
        <v>3</v>
      </c>
      <c r="F141" s="32" t="s">
        <v>2351</v>
      </c>
      <c r="G141" s="32"/>
      <c r="H141" s="32"/>
      <c r="I141" s="32"/>
      <c r="J141" s="33">
        <v>131.23</v>
      </c>
      <c r="K141" s="33">
        <v>173.06</v>
      </c>
      <c r="L141" s="33">
        <v>184.53</v>
      </c>
      <c r="M141" s="33">
        <v>181.14</v>
      </c>
      <c r="N141" s="33">
        <v>34.68</v>
      </c>
      <c r="O141" s="33">
        <v>26.85</v>
      </c>
      <c r="P141" s="33">
        <v>26.85</v>
      </c>
      <c r="Q141" s="33">
        <v>26.85</v>
      </c>
      <c r="R141" s="33">
        <v>26.85</v>
      </c>
      <c r="S141" s="33">
        <v>26.85</v>
      </c>
      <c r="T141" s="33">
        <v>26.85</v>
      </c>
      <c r="U141" s="33">
        <v>70.16</v>
      </c>
      <c r="V141" s="33">
        <v>70.41</v>
      </c>
      <c r="W141" s="33">
        <v>129.82</v>
      </c>
      <c r="X141" s="33">
        <v>125.01</v>
      </c>
      <c r="Y141" s="33">
        <v>130.6</v>
      </c>
      <c r="Z141" s="33">
        <v>62.58</v>
      </c>
      <c r="AA141" s="33">
        <v>34.4</v>
      </c>
      <c r="AB141" s="33">
        <v>51.54</v>
      </c>
      <c r="AC141" s="33">
        <v>84.45</v>
      </c>
      <c r="AD141" s="33">
        <v>59.09</v>
      </c>
      <c r="AE141" s="33">
        <v>70.6</v>
      </c>
      <c r="AF141" s="33">
        <v>73.06</v>
      </c>
      <c r="AG141" s="33">
        <v>71.64</v>
      </c>
      <c r="AH141" s="33">
        <v>116.21</v>
      </c>
      <c r="AI141" s="33">
        <v>120.15</v>
      </c>
      <c r="AJ141" s="33">
        <v>118.34</v>
      </c>
      <c r="AK141" s="32"/>
      <c r="AL141" s="34">
        <f>SUM(G141:AK141)</f>
      </c>
      <c r="AM141" s="35"/>
    </row>
    <row r="142" ht="13.5" customHeight="1" spans="2:39" x14ac:dyDescent="0.25">
      <c r="B142" s="48" t="s">
        <v>3</v>
      </c>
      <c r="C142" s="49" t="s">
        <v>2223</v>
      </c>
      <c r="D142" s="50" t="s">
        <v>42</v>
      </c>
      <c r="E142" s="32" t="s">
        <v>3</v>
      </c>
      <c r="F142" s="32" t="s">
        <v>2352</v>
      </c>
      <c r="G142" s="32"/>
      <c r="H142" s="32"/>
      <c r="I142" s="32"/>
      <c r="J142" s="33">
        <v>54.65</v>
      </c>
      <c r="K142" s="33">
        <v>65.31</v>
      </c>
      <c r="L142" s="33">
        <v>83.22</v>
      </c>
      <c r="M142" s="33">
        <v>86.62</v>
      </c>
      <c r="N142" s="33">
        <v>43.02</v>
      </c>
      <c r="O142" s="33">
        <v>56.4</v>
      </c>
      <c r="P142" s="33">
        <v>26.85</v>
      </c>
      <c r="Q142" s="33">
        <v>26.85</v>
      </c>
      <c r="R142" s="33">
        <v>26.85</v>
      </c>
      <c r="S142" s="33">
        <v>26.85</v>
      </c>
      <c r="T142" s="33">
        <v>26.85</v>
      </c>
      <c r="U142" s="33">
        <v>33.39</v>
      </c>
      <c r="V142" s="33">
        <v>64.96</v>
      </c>
      <c r="W142" s="33">
        <v>109.66</v>
      </c>
      <c r="X142" s="33">
        <v>105.37</v>
      </c>
      <c r="Y142" s="33">
        <v>129.56</v>
      </c>
      <c r="Z142" s="33">
        <v>100.3</v>
      </c>
      <c r="AA142" s="33">
        <v>61.4</v>
      </c>
      <c r="AB142" s="33">
        <v>36.6</v>
      </c>
      <c r="AC142" s="33">
        <v>26.85</v>
      </c>
      <c r="AD142" s="33">
        <v>26.85</v>
      </c>
      <c r="AE142" s="33">
        <v>26.87</v>
      </c>
      <c r="AF142" s="33">
        <v>26.87</v>
      </c>
      <c r="AG142" s="33">
        <v>26.87</v>
      </c>
      <c r="AH142" s="33">
        <v>33.91</v>
      </c>
      <c r="AI142" s="33">
        <v>144.62</v>
      </c>
      <c r="AJ142" s="33">
        <v>139.27</v>
      </c>
      <c r="AK142" s="32"/>
      <c r="AL142" s="34">
        <f>SUM(G142:AK142)</f>
      </c>
      <c r="AM142" s="35"/>
    </row>
    <row r="143" ht="13.5" customHeight="1" spans="2:39" x14ac:dyDescent="0.25">
      <c r="B143" s="48" t="s">
        <v>3</v>
      </c>
      <c r="C143" s="49" t="s">
        <v>2223</v>
      </c>
      <c r="D143" s="50" t="s">
        <v>42</v>
      </c>
      <c r="E143" s="32" t="s">
        <v>3</v>
      </c>
      <c r="F143" s="32" t="s">
        <v>2353</v>
      </c>
      <c r="G143" s="32"/>
      <c r="H143" s="32"/>
      <c r="I143" s="32"/>
      <c r="J143" s="33">
        <v>55.98</v>
      </c>
      <c r="K143" s="33">
        <v>97.84</v>
      </c>
      <c r="L143" s="33">
        <v>103.09</v>
      </c>
      <c r="M143" s="33">
        <v>127.49</v>
      </c>
      <c r="N143" s="33">
        <v>72.25</v>
      </c>
      <c r="O143" s="33">
        <v>27.28</v>
      </c>
      <c r="P143" s="33">
        <v>31.81</v>
      </c>
      <c r="Q143" s="33">
        <v>26.85</v>
      </c>
      <c r="R143" s="33">
        <v>120.4</v>
      </c>
      <c r="S143" s="33">
        <v>100.82</v>
      </c>
      <c r="T143" s="33">
        <v>65.96</v>
      </c>
      <c r="U143" s="33">
        <v>152.31</v>
      </c>
      <c r="V143" s="33">
        <v>102.51</v>
      </c>
      <c r="W143" s="33">
        <v>149.57</v>
      </c>
      <c r="X143" s="33">
        <v>133.06</v>
      </c>
      <c r="Y143" s="33">
        <v>139.56</v>
      </c>
      <c r="Z143" s="33">
        <v>107.71</v>
      </c>
      <c r="AA143" s="33">
        <v>74.31</v>
      </c>
      <c r="AB143" s="33">
        <v>34.13</v>
      </c>
      <c r="AC143" s="33">
        <v>34.23</v>
      </c>
      <c r="AD143" s="33">
        <v>33.79</v>
      </c>
      <c r="AE143" s="33">
        <v>127.85</v>
      </c>
      <c r="AF143" s="33">
        <v>100.66</v>
      </c>
      <c r="AG143" s="33">
        <v>89.36</v>
      </c>
      <c r="AH143" s="33">
        <v>73.11</v>
      </c>
      <c r="AI143" s="33">
        <v>80.61</v>
      </c>
      <c r="AJ143" s="33">
        <v>87.7</v>
      </c>
      <c r="AK143" s="32"/>
      <c r="AL143" s="34">
        <f>SUM(G143:AK143)</f>
      </c>
      <c r="AM143" s="35"/>
    </row>
    <row r="144" ht="13.5" customHeight="1" spans="2:39" x14ac:dyDescent="0.25">
      <c r="B144" s="48" t="s">
        <v>3</v>
      </c>
      <c r="C144" s="49" t="s">
        <v>2223</v>
      </c>
      <c r="D144" s="50" t="s">
        <v>42</v>
      </c>
      <c r="E144" s="32" t="s">
        <v>3</v>
      </c>
      <c r="F144" s="32" t="s">
        <v>2354</v>
      </c>
      <c r="G144" s="32"/>
      <c r="H144" s="32"/>
      <c r="I144" s="32"/>
      <c r="J144" s="33">
        <v>43.47</v>
      </c>
      <c r="K144" s="33">
        <v>53.46</v>
      </c>
      <c r="L144" s="33">
        <v>62.8</v>
      </c>
      <c r="M144" s="33">
        <v>67.81</v>
      </c>
      <c r="N144" s="33">
        <v>34.22</v>
      </c>
      <c r="O144" s="33">
        <v>26.85</v>
      </c>
      <c r="P144" s="33">
        <v>26.85</v>
      </c>
      <c r="Q144" s="33">
        <v>26.85</v>
      </c>
      <c r="R144" s="33">
        <v>26.85</v>
      </c>
      <c r="S144" s="33">
        <v>26.85</v>
      </c>
      <c r="T144" s="33">
        <v>26.85</v>
      </c>
      <c r="U144" s="33">
        <v>61.07</v>
      </c>
      <c r="V144" s="33">
        <v>48.97</v>
      </c>
      <c r="W144" s="33">
        <v>62.46</v>
      </c>
      <c r="X144" s="33">
        <v>57.79</v>
      </c>
      <c r="Y144" s="33">
        <v>62.32</v>
      </c>
      <c r="Z144" s="33">
        <v>74.31</v>
      </c>
      <c r="AA144" s="33">
        <v>35.51</v>
      </c>
      <c r="AB144" s="33">
        <v>34.27</v>
      </c>
      <c r="AC144" s="33">
        <v>29.98</v>
      </c>
      <c r="AD144" s="33">
        <v>27.8</v>
      </c>
      <c r="AE144" s="33">
        <v>27.2</v>
      </c>
      <c r="AF144" s="33">
        <v>34.72</v>
      </c>
      <c r="AG144" s="33">
        <v>34.21</v>
      </c>
      <c r="AH144" s="33">
        <v>51.24</v>
      </c>
      <c r="AI144" s="33">
        <v>67.56</v>
      </c>
      <c r="AJ144" s="33">
        <v>62.43</v>
      </c>
      <c r="AK144" s="32"/>
      <c r="AL144" s="34">
        <f>SUM(G144:AK144)</f>
      </c>
      <c r="AM144" s="35"/>
    </row>
    <row r="145" ht="13.5" customHeight="1" spans="2:39" x14ac:dyDescent="0.25">
      <c r="B145" s="48" t="s">
        <v>3</v>
      </c>
      <c r="C145" s="49" t="s">
        <v>2223</v>
      </c>
      <c r="D145" s="50" t="s">
        <v>42</v>
      </c>
      <c r="E145" s="32" t="s">
        <v>3</v>
      </c>
      <c r="F145" s="32" t="s">
        <v>2355</v>
      </c>
      <c r="G145" s="32"/>
      <c r="H145" s="32"/>
      <c r="I145" s="32"/>
      <c r="J145" s="33">
        <v>26.85</v>
      </c>
      <c r="K145" s="33">
        <v>26.85</v>
      </c>
      <c r="L145" s="33">
        <v>26.85</v>
      </c>
      <c r="M145" s="33">
        <v>26.85</v>
      </c>
      <c r="N145" s="33">
        <v>26.85</v>
      </c>
      <c r="O145" s="33">
        <v>26.85</v>
      </c>
      <c r="P145" s="33">
        <v>26.85</v>
      </c>
      <c r="Q145" s="33">
        <v>26.85</v>
      </c>
      <c r="R145" s="33">
        <v>26.85</v>
      </c>
      <c r="S145" s="33">
        <v>26.85</v>
      </c>
      <c r="T145" s="33">
        <v>26.85</v>
      </c>
      <c r="U145" s="33">
        <v>26.85</v>
      </c>
      <c r="V145" s="33">
        <v>26.85</v>
      </c>
      <c r="W145" s="33">
        <v>26.85</v>
      </c>
      <c r="X145" s="33">
        <v>26.85</v>
      </c>
      <c r="Y145" s="33">
        <v>26.85</v>
      </c>
      <c r="Z145" s="33">
        <v>26.85</v>
      </c>
      <c r="AA145" s="33">
        <v>26.85</v>
      </c>
      <c r="AB145" s="33">
        <v>26.85</v>
      </c>
      <c r="AC145" s="33">
        <v>26.85</v>
      </c>
      <c r="AD145" s="33">
        <v>26.85</v>
      </c>
      <c r="AE145" s="33">
        <v>26.87</v>
      </c>
      <c r="AF145" s="33">
        <v>26.87</v>
      </c>
      <c r="AG145" s="33">
        <v>26.87</v>
      </c>
      <c r="AH145" s="33">
        <v>32.25</v>
      </c>
      <c r="AI145" s="33">
        <v>32.25</v>
      </c>
      <c r="AJ145" s="33">
        <v>32.19</v>
      </c>
      <c r="AK145" s="32"/>
      <c r="AL145" s="34">
        <f>SUM(G145:AK145)</f>
      </c>
      <c r="AM145" s="35"/>
    </row>
    <row r="146" ht="13.5" customHeight="1" spans="2:39" x14ac:dyDescent="0.25">
      <c r="B146" s="48" t="s">
        <v>3</v>
      </c>
      <c r="C146" s="49" t="s">
        <v>2223</v>
      </c>
      <c r="D146" s="50" t="s">
        <v>42</v>
      </c>
      <c r="E146" s="32" t="s">
        <v>3</v>
      </c>
      <c r="F146" s="32" t="s">
        <v>2356</v>
      </c>
      <c r="G146" s="32"/>
      <c r="H146" s="32"/>
      <c r="I146" s="32"/>
      <c r="J146" s="33">
        <v>56.63</v>
      </c>
      <c r="K146" s="33">
        <v>119.32</v>
      </c>
      <c r="L146" s="33">
        <v>136.82</v>
      </c>
      <c r="M146" s="33">
        <v>137.47</v>
      </c>
      <c r="N146" s="33">
        <v>92.05</v>
      </c>
      <c r="O146" s="33">
        <v>26.85</v>
      </c>
      <c r="P146" s="33">
        <v>39.27</v>
      </c>
      <c r="Q146" s="33">
        <v>65.25</v>
      </c>
      <c r="R146" s="33">
        <v>31.54</v>
      </c>
      <c r="S146" s="33">
        <v>86.13</v>
      </c>
      <c r="T146" s="33">
        <v>125.41</v>
      </c>
      <c r="U146" s="33">
        <v>148.18</v>
      </c>
      <c r="V146" s="33">
        <v>165.45</v>
      </c>
      <c r="W146" s="33">
        <v>202.04</v>
      </c>
      <c r="X146" s="33">
        <v>162.19</v>
      </c>
      <c r="Y146" s="33">
        <v>188.4</v>
      </c>
      <c r="Z146" s="33">
        <v>193.4</v>
      </c>
      <c r="AA146" s="33">
        <v>133.18</v>
      </c>
      <c r="AB146" s="33">
        <v>166.42</v>
      </c>
      <c r="AC146" s="33">
        <v>227.64</v>
      </c>
      <c r="AD146" s="33">
        <v>213.27</v>
      </c>
      <c r="AE146" s="33">
        <v>46.51</v>
      </c>
      <c r="AF146" s="33">
        <v>26.87</v>
      </c>
      <c r="AG146" s="33">
        <v>90.49</v>
      </c>
      <c r="AH146" s="33">
        <v>48.88</v>
      </c>
      <c r="AI146" s="33">
        <v>132.79</v>
      </c>
      <c r="AJ146" s="33">
        <v>132.67</v>
      </c>
      <c r="AK146" s="32"/>
      <c r="AL146" s="34">
        <f>SUM(G146:AK146)</f>
      </c>
      <c r="AM146" s="35"/>
    </row>
    <row r="147" ht="13.5" customHeight="1" spans="2:39" x14ac:dyDescent="0.25">
      <c r="B147" s="48" t="s">
        <v>3</v>
      </c>
      <c r="C147" s="49" t="s">
        <v>2223</v>
      </c>
      <c r="D147" s="50" t="s">
        <v>42</v>
      </c>
      <c r="E147" s="32" t="s">
        <v>3</v>
      </c>
      <c r="F147" s="32" t="s">
        <v>2357</v>
      </c>
      <c r="G147" s="32"/>
      <c r="H147" s="32"/>
      <c r="I147" s="32"/>
      <c r="J147" s="33">
        <v>92.69</v>
      </c>
      <c r="K147" s="33">
        <v>92.05</v>
      </c>
      <c r="L147" s="33">
        <v>108.24</v>
      </c>
      <c r="M147" s="33">
        <v>118.76</v>
      </c>
      <c r="N147" s="33">
        <v>120.86</v>
      </c>
      <c r="O147" s="33">
        <v>26.85</v>
      </c>
      <c r="P147" s="33">
        <v>32.89</v>
      </c>
      <c r="Q147" s="33">
        <v>139.1</v>
      </c>
      <c r="R147" s="33">
        <v>26.85</v>
      </c>
      <c r="S147" s="33">
        <v>26.85</v>
      </c>
      <c r="T147" s="33">
        <v>26.85</v>
      </c>
      <c r="U147" s="33">
        <v>26.85</v>
      </c>
      <c r="V147" s="33">
        <v>27.65</v>
      </c>
      <c r="W147" s="33">
        <v>97.18</v>
      </c>
      <c r="X147" s="33">
        <v>91.22</v>
      </c>
      <c r="Y147" s="33">
        <v>27.64</v>
      </c>
      <c r="Z147" s="33">
        <v>26.85</v>
      </c>
      <c r="AA147" s="33">
        <v>26.85</v>
      </c>
      <c r="AB147" s="33">
        <v>26.85</v>
      </c>
      <c r="AC147" s="33">
        <v>26.85</v>
      </c>
      <c r="AD147" s="33">
        <v>26.85</v>
      </c>
      <c r="AE147" s="33">
        <v>26.87</v>
      </c>
      <c r="AF147" s="33">
        <v>26.87</v>
      </c>
      <c r="AG147" s="33">
        <v>33.47</v>
      </c>
      <c r="AH147" s="33">
        <v>86.28</v>
      </c>
      <c r="AI147" s="33">
        <v>144.62</v>
      </c>
      <c r="AJ147" s="33">
        <v>107.04</v>
      </c>
      <c r="AK147" s="32"/>
      <c r="AL147" s="34">
        <f>SUM(G147:AK147)</f>
      </c>
      <c r="AM147" s="35"/>
    </row>
    <row r="148" ht="13.5" customHeight="1" spans="2:39" x14ac:dyDescent="0.25">
      <c r="B148" s="48" t="s">
        <v>3</v>
      </c>
      <c r="C148" s="49" t="s">
        <v>2223</v>
      </c>
      <c r="D148" s="50" t="s">
        <v>42</v>
      </c>
      <c r="E148" s="32" t="s">
        <v>3</v>
      </c>
      <c r="F148" s="32" t="s">
        <v>2358</v>
      </c>
      <c r="G148" s="32"/>
      <c r="H148" s="32"/>
      <c r="I148" s="32"/>
      <c r="J148" s="33">
        <v>109.67</v>
      </c>
      <c r="K148" s="33">
        <v>121</v>
      </c>
      <c r="L148" s="33">
        <v>134.2</v>
      </c>
      <c r="M148" s="33">
        <v>144.61</v>
      </c>
      <c r="N148" s="33">
        <v>45.22</v>
      </c>
      <c r="O148" s="33">
        <v>26.85</v>
      </c>
      <c r="P148" s="33">
        <v>26.85</v>
      </c>
      <c r="Q148" s="33">
        <v>26.85</v>
      </c>
      <c r="R148" s="33">
        <v>80.66</v>
      </c>
      <c r="S148" s="33">
        <v>26.85</v>
      </c>
      <c r="T148" s="33">
        <v>31.28</v>
      </c>
      <c r="U148" s="33">
        <v>33.98</v>
      </c>
      <c r="V148" s="33">
        <v>40.27</v>
      </c>
      <c r="W148" s="33">
        <v>46.07</v>
      </c>
      <c r="X148" s="33">
        <v>38.05</v>
      </c>
      <c r="Y148" s="33">
        <v>44.64</v>
      </c>
      <c r="Z148" s="33">
        <v>32.06</v>
      </c>
      <c r="AA148" s="33">
        <v>26.85</v>
      </c>
      <c r="AB148" s="33">
        <v>29.15</v>
      </c>
      <c r="AC148" s="33">
        <v>29.15</v>
      </c>
      <c r="AD148" s="33">
        <v>26.85</v>
      </c>
      <c r="AE148" s="33">
        <v>26.87</v>
      </c>
      <c r="AF148" s="33">
        <v>26.87</v>
      </c>
      <c r="AG148" s="33">
        <v>33.68</v>
      </c>
      <c r="AH148" s="33">
        <v>47.93</v>
      </c>
      <c r="AI148" s="33">
        <v>50.58</v>
      </c>
      <c r="AJ148" s="33">
        <v>48.65</v>
      </c>
      <c r="AK148" s="32"/>
      <c r="AL148" s="34">
        <f>SUM(G148:AK148)</f>
      </c>
      <c r="AM148" s="35"/>
    </row>
    <row r="149" ht="13.5" customHeight="1" spans="2:39" x14ac:dyDescent="0.25">
      <c r="B149" s="48" t="s">
        <v>3</v>
      </c>
      <c r="C149" s="49" t="s">
        <v>2223</v>
      </c>
      <c r="D149" s="50" t="s">
        <v>42</v>
      </c>
      <c r="E149" s="32" t="s">
        <v>3</v>
      </c>
      <c r="F149" s="32" t="s">
        <v>2359</v>
      </c>
      <c r="G149" s="32"/>
      <c r="H149" s="32"/>
      <c r="I149" s="32"/>
      <c r="J149" s="33">
        <v>110.45</v>
      </c>
      <c r="K149" s="33">
        <v>112.07</v>
      </c>
      <c r="L149" s="33">
        <v>122.08</v>
      </c>
      <c r="M149" s="33">
        <v>128.49</v>
      </c>
      <c r="N149" s="33">
        <v>133.01</v>
      </c>
      <c r="O149" s="33">
        <v>204.21</v>
      </c>
      <c r="P149" s="33">
        <v>162.67</v>
      </c>
      <c r="Q149" s="33">
        <v>147.82</v>
      </c>
      <c r="R149" s="33">
        <v>193.45</v>
      </c>
      <c r="S149" s="33">
        <v>180.34</v>
      </c>
      <c r="T149" s="33">
        <v>109.45</v>
      </c>
      <c r="U149" s="33">
        <v>130.66</v>
      </c>
      <c r="V149" s="33">
        <v>129.52</v>
      </c>
      <c r="W149" s="33">
        <v>144.89</v>
      </c>
      <c r="X149" s="33">
        <v>133.58</v>
      </c>
      <c r="Y149" s="33">
        <v>131.11</v>
      </c>
      <c r="Z149" s="33">
        <v>163.54</v>
      </c>
      <c r="AA149" s="33">
        <v>211.3</v>
      </c>
      <c r="AB149" s="33">
        <v>185.81</v>
      </c>
      <c r="AC149" s="33">
        <v>234.33</v>
      </c>
      <c r="AD149" s="33">
        <v>205.98</v>
      </c>
      <c r="AE149" s="33">
        <v>199.96</v>
      </c>
      <c r="AF149" s="33">
        <v>154.61</v>
      </c>
      <c r="AG149" s="33">
        <v>113.81</v>
      </c>
      <c r="AH149" s="33">
        <v>98.54</v>
      </c>
      <c r="AI149" s="33">
        <v>103.82</v>
      </c>
      <c r="AJ149" s="33">
        <v>99.02</v>
      </c>
      <c r="AK149" s="32"/>
      <c r="AL149" s="34">
        <f>SUM(G149:AK149)</f>
      </c>
      <c r="AM149" s="35"/>
    </row>
    <row r="150" ht="13.5" customHeight="1" spans="2:39" x14ac:dyDescent="0.25">
      <c r="B150" s="48" t="s">
        <v>3</v>
      </c>
      <c r="C150" s="49" t="s">
        <v>2223</v>
      </c>
      <c r="D150" s="50" t="s">
        <v>42</v>
      </c>
      <c r="E150" s="32" t="s">
        <v>3</v>
      </c>
      <c r="F150" s="32" t="s">
        <v>2360</v>
      </c>
      <c r="G150" s="32"/>
      <c r="H150" s="32"/>
      <c r="I150" s="32"/>
      <c r="J150" s="33">
        <v>70.04</v>
      </c>
      <c r="K150" s="33">
        <v>86.26</v>
      </c>
      <c r="L150" s="33">
        <v>109.83</v>
      </c>
      <c r="M150" s="33">
        <v>145.22</v>
      </c>
      <c r="N150" s="33">
        <v>92.41</v>
      </c>
      <c r="O150" s="33">
        <v>27.21</v>
      </c>
      <c r="P150" s="33">
        <v>32.46</v>
      </c>
      <c r="Q150" s="33">
        <v>27.2</v>
      </c>
      <c r="R150" s="33">
        <v>27.25</v>
      </c>
      <c r="S150" s="33">
        <v>27.21</v>
      </c>
      <c r="T150" s="33">
        <v>27.21</v>
      </c>
      <c r="U150" s="33">
        <v>27.21</v>
      </c>
      <c r="V150" s="33">
        <v>29.41</v>
      </c>
      <c r="W150" s="33">
        <v>104.86</v>
      </c>
      <c r="X150" s="33">
        <v>105.5</v>
      </c>
      <c r="Y150" s="33">
        <v>59.45</v>
      </c>
      <c r="Z150" s="33">
        <v>75.71</v>
      </c>
      <c r="AA150" s="33">
        <v>28.01</v>
      </c>
      <c r="AB150" s="33">
        <v>26.85</v>
      </c>
      <c r="AC150" s="33">
        <v>27.43</v>
      </c>
      <c r="AD150" s="33">
        <v>27.26</v>
      </c>
      <c r="AE150" s="33">
        <v>29.49</v>
      </c>
      <c r="AF150" s="33">
        <v>37.71</v>
      </c>
      <c r="AG150" s="33">
        <v>38.31</v>
      </c>
      <c r="AH150" s="33">
        <v>40.46</v>
      </c>
      <c r="AI150" s="33">
        <v>48.21</v>
      </c>
      <c r="AJ150" s="33">
        <v>81.4</v>
      </c>
      <c r="AK150" s="32"/>
      <c r="AL150" s="34">
        <f>SUM(G150:AK150)</f>
      </c>
      <c r="AM150" s="35"/>
    </row>
    <row r="151" ht="13.5" customHeight="1" spans="2:39" x14ac:dyDescent="0.25">
      <c r="B151" s="48" t="s">
        <v>3</v>
      </c>
      <c r="C151" s="49" t="s">
        <v>2223</v>
      </c>
      <c r="D151" s="50" t="s">
        <v>42</v>
      </c>
      <c r="E151" s="32" t="s">
        <v>3</v>
      </c>
      <c r="F151" s="32" t="s">
        <v>2361</v>
      </c>
      <c r="G151" s="32"/>
      <c r="H151" s="32"/>
      <c r="I151" s="32"/>
      <c r="J151" s="33">
        <v>26.85</v>
      </c>
      <c r="K151" s="33">
        <v>71.76</v>
      </c>
      <c r="L151" s="33">
        <v>112.2</v>
      </c>
      <c r="M151" s="33">
        <v>184.5</v>
      </c>
      <c r="N151" s="33">
        <v>31.98</v>
      </c>
      <c r="O151" s="33">
        <v>26.85</v>
      </c>
      <c r="P151" s="33">
        <v>92.66</v>
      </c>
      <c r="Q151" s="33">
        <v>159.98</v>
      </c>
      <c r="R151" s="33">
        <v>196.91</v>
      </c>
      <c r="S151" s="33">
        <v>172.89</v>
      </c>
      <c r="T151" s="33">
        <v>138.12</v>
      </c>
      <c r="U151" s="33">
        <v>79.26</v>
      </c>
      <c r="V151" s="33">
        <v>64.45</v>
      </c>
      <c r="W151" s="33">
        <v>72.73</v>
      </c>
      <c r="X151" s="33">
        <v>67.66</v>
      </c>
      <c r="Y151" s="33">
        <v>76.24</v>
      </c>
      <c r="Z151" s="33">
        <v>83.27</v>
      </c>
      <c r="AA151" s="33">
        <v>114.49</v>
      </c>
      <c r="AB151" s="33">
        <v>110.96</v>
      </c>
      <c r="AC151" s="33">
        <v>128.13</v>
      </c>
      <c r="AD151" s="33">
        <v>109.93</v>
      </c>
      <c r="AE151" s="33">
        <v>26.87</v>
      </c>
      <c r="AF151" s="33">
        <v>34.72</v>
      </c>
      <c r="AG151" s="33">
        <v>47.42</v>
      </c>
      <c r="AH151" s="33">
        <v>52.29</v>
      </c>
      <c r="AI151" s="33">
        <v>48.48</v>
      </c>
      <c r="AJ151" s="33">
        <v>56.92</v>
      </c>
      <c r="AK151" s="32"/>
      <c r="AL151" s="34">
        <f>SUM(G151:AK151)</f>
      </c>
      <c r="AM151" s="35"/>
    </row>
    <row r="152" ht="13.5" customHeight="1" spans="2:39" x14ac:dyDescent="0.25">
      <c r="B152" s="48" t="s">
        <v>3</v>
      </c>
      <c r="C152" s="49" t="s">
        <v>2223</v>
      </c>
      <c r="D152" s="50" t="s">
        <v>42</v>
      </c>
      <c r="E152" s="32" t="s">
        <v>3</v>
      </c>
      <c r="F152" s="32" t="s">
        <v>2362</v>
      </c>
      <c r="G152" s="32"/>
      <c r="H152" s="32"/>
      <c r="I152" s="32"/>
      <c r="J152" s="33">
        <v>134.79</v>
      </c>
      <c r="K152" s="33">
        <v>131.03</v>
      </c>
      <c r="L152" s="33">
        <v>138.81</v>
      </c>
      <c r="M152" s="33">
        <v>176.91</v>
      </c>
      <c r="N152" s="33">
        <v>150.13</v>
      </c>
      <c r="O152" s="33">
        <v>46.63</v>
      </c>
      <c r="P152" s="33">
        <v>47.08</v>
      </c>
      <c r="Q152" s="33">
        <v>49.98</v>
      </c>
      <c r="R152" s="33">
        <v>54.19</v>
      </c>
      <c r="S152" s="33">
        <v>44.39</v>
      </c>
      <c r="T152" s="33">
        <v>55</v>
      </c>
      <c r="U152" s="33">
        <v>143.5</v>
      </c>
      <c r="V152" s="33">
        <v>32.24</v>
      </c>
      <c r="W152" s="33">
        <v>63.75</v>
      </c>
      <c r="X152" s="33">
        <v>149.29</v>
      </c>
      <c r="Y152" s="33">
        <v>165.82</v>
      </c>
      <c r="Z152" s="33">
        <v>203.85</v>
      </c>
      <c r="AA152" s="33">
        <v>29.5</v>
      </c>
      <c r="AB152" s="33">
        <v>26.85</v>
      </c>
      <c r="AC152" s="33">
        <v>26.85</v>
      </c>
      <c r="AD152" s="33">
        <v>26.85</v>
      </c>
      <c r="AE152" s="33">
        <v>26.87</v>
      </c>
      <c r="AF152" s="33">
        <v>26.87</v>
      </c>
      <c r="AG152" s="33">
        <v>83.09</v>
      </c>
      <c r="AH152" s="33">
        <v>141.61</v>
      </c>
      <c r="AI152" s="33">
        <v>124</v>
      </c>
      <c r="AJ152" s="33">
        <v>177.7</v>
      </c>
      <c r="AK152" s="32"/>
      <c r="AL152" s="34">
        <f>SUM(G152:AK152)</f>
      </c>
      <c r="AM152" s="35"/>
    </row>
    <row r="153" ht="13.5" customHeight="1" spans="2:39" x14ac:dyDescent="0.25">
      <c r="B153" s="48" t="s">
        <v>3</v>
      </c>
      <c r="C153" s="49" t="s">
        <v>2223</v>
      </c>
      <c r="D153" s="50" t="s">
        <v>42</v>
      </c>
      <c r="E153" s="32" t="s">
        <v>3</v>
      </c>
      <c r="F153" s="32" t="s">
        <v>2363</v>
      </c>
      <c r="G153" s="32"/>
      <c r="H153" s="32"/>
      <c r="I153" s="32"/>
      <c r="J153" s="33">
        <v>116.77</v>
      </c>
      <c r="K153" s="33">
        <v>109.97</v>
      </c>
      <c r="L153" s="33">
        <v>123.79</v>
      </c>
      <c r="M153" s="33">
        <v>129.1</v>
      </c>
      <c r="N153" s="33">
        <v>131.49</v>
      </c>
      <c r="O153" s="33">
        <v>188.05</v>
      </c>
      <c r="P153" s="33">
        <v>176.35</v>
      </c>
      <c r="Q153" s="33">
        <v>178.48</v>
      </c>
      <c r="R153" s="33">
        <v>184.08</v>
      </c>
      <c r="S153" s="33">
        <v>163.64</v>
      </c>
      <c r="T153" s="33">
        <v>111.54</v>
      </c>
      <c r="U153" s="33">
        <v>104.77</v>
      </c>
      <c r="V153" s="33">
        <v>106.53</v>
      </c>
      <c r="W153" s="33">
        <v>135.4</v>
      </c>
      <c r="X153" s="33">
        <v>110.96</v>
      </c>
      <c r="Y153" s="33">
        <v>125.4</v>
      </c>
      <c r="Z153" s="33">
        <v>141.55</v>
      </c>
      <c r="AA153" s="33">
        <v>190.2</v>
      </c>
      <c r="AB153" s="33">
        <v>169.61</v>
      </c>
      <c r="AC153" s="33">
        <v>212.34</v>
      </c>
      <c r="AD153" s="33">
        <v>197.62</v>
      </c>
      <c r="AE153" s="33">
        <v>177.8</v>
      </c>
      <c r="AF153" s="33">
        <v>156.26</v>
      </c>
      <c r="AG153" s="33">
        <v>107.97</v>
      </c>
      <c r="AH153" s="33">
        <v>119.89</v>
      </c>
      <c r="AI153" s="33">
        <v>131.87</v>
      </c>
      <c r="AJ153" s="33">
        <v>122.83</v>
      </c>
      <c r="AK153" s="32"/>
      <c r="AL153" s="34">
        <f>SUM(G153:AK153)</f>
      </c>
      <c r="AM153" s="35"/>
    </row>
    <row r="154" ht="13.5" customHeight="1" spans="2:39" x14ac:dyDescent="0.25">
      <c r="B154" s="48" t="s">
        <v>3</v>
      </c>
      <c r="C154" s="49" t="s">
        <v>2223</v>
      </c>
      <c r="D154" s="50" t="s">
        <v>42</v>
      </c>
      <c r="E154" s="32" t="s">
        <v>3</v>
      </c>
      <c r="F154" s="32" t="s">
        <v>2364</v>
      </c>
      <c r="G154" s="32"/>
      <c r="H154" s="32"/>
      <c r="I154" s="32"/>
      <c r="J154" s="33">
        <v>79.65</v>
      </c>
      <c r="K154" s="33">
        <v>69.4</v>
      </c>
      <c r="L154" s="33">
        <v>88.24</v>
      </c>
      <c r="M154" s="33">
        <v>91.61</v>
      </c>
      <c r="N154" s="33">
        <v>93.01</v>
      </c>
      <c r="O154" s="33">
        <v>149.3</v>
      </c>
      <c r="P154" s="33">
        <v>78.91</v>
      </c>
      <c r="Q154" s="33">
        <v>57.91</v>
      </c>
      <c r="R154" s="33">
        <v>83.67</v>
      </c>
      <c r="S154" s="33">
        <v>76.2</v>
      </c>
      <c r="T154" s="33">
        <v>66.43</v>
      </c>
      <c r="U154" s="33">
        <v>70.28</v>
      </c>
      <c r="V154" s="33">
        <v>117.07</v>
      </c>
      <c r="W154" s="33">
        <v>115.51</v>
      </c>
      <c r="X154" s="33">
        <v>81.59</v>
      </c>
      <c r="Y154" s="33">
        <v>41.8</v>
      </c>
      <c r="Z154" s="33">
        <v>112.4</v>
      </c>
      <c r="AA154" s="33">
        <v>35.77</v>
      </c>
      <c r="AB154" s="33">
        <v>32.06</v>
      </c>
      <c r="AC154" s="33">
        <v>55.45</v>
      </c>
      <c r="AD154" s="33">
        <v>30.53</v>
      </c>
      <c r="AE154" s="33">
        <v>30.34</v>
      </c>
      <c r="AF154" s="33">
        <v>26.87</v>
      </c>
      <c r="AG154" s="33">
        <v>26.87</v>
      </c>
      <c r="AH154" s="33">
        <v>37.96</v>
      </c>
      <c r="AI154" s="33">
        <v>83.38</v>
      </c>
      <c r="AJ154" s="33">
        <v>102.04</v>
      </c>
      <c r="AK154" s="32"/>
      <c r="AL154" s="34">
        <f>SUM(G154:AK154)</f>
      </c>
      <c r="AM154" s="35"/>
    </row>
    <row r="155" ht="13.5" customHeight="1" spans="2:39" x14ac:dyDescent="0.25">
      <c r="B155" s="48" t="s">
        <v>3</v>
      </c>
      <c r="C155" s="49" t="s">
        <v>2223</v>
      </c>
      <c r="D155" s="50" t="s">
        <v>42</v>
      </c>
      <c r="E155" s="32" t="s">
        <v>3</v>
      </c>
      <c r="F155" s="32" t="s">
        <v>2365</v>
      </c>
      <c r="G155" s="32"/>
      <c r="H155" s="32"/>
      <c r="I155" s="32"/>
      <c r="J155" s="33">
        <v>35.82</v>
      </c>
      <c r="K155" s="33">
        <v>52.92</v>
      </c>
      <c r="L155" s="33">
        <v>64.38</v>
      </c>
      <c r="M155" s="33">
        <v>53.25</v>
      </c>
      <c r="N155" s="33">
        <v>29.63</v>
      </c>
      <c r="O155" s="33">
        <v>26.85</v>
      </c>
      <c r="P155" s="33">
        <v>26.85</v>
      </c>
      <c r="Q155" s="33">
        <v>31.76</v>
      </c>
      <c r="R155" s="33">
        <v>31.95</v>
      </c>
      <c r="S155" s="33">
        <v>71.2</v>
      </c>
      <c r="T155" s="33">
        <v>112.93</v>
      </c>
      <c r="U155" s="33">
        <v>74.72</v>
      </c>
      <c r="V155" s="33">
        <v>35.14</v>
      </c>
      <c r="W155" s="33">
        <v>67.93</v>
      </c>
      <c r="X155" s="33">
        <v>69.36</v>
      </c>
      <c r="Y155" s="33">
        <v>82.09</v>
      </c>
      <c r="Z155" s="33">
        <v>34.76</v>
      </c>
      <c r="AA155" s="33">
        <v>135.54</v>
      </c>
      <c r="AB155" s="33">
        <v>131.5</v>
      </c>
      <c r="AC155" s="33">
        <v>177.03</v>
      </c>
      <c r="AD155" s="33">
        <v>170.19</v>
      </c>
      <c r="AE155" s="33">
        <v>141.26</v>
      </c>
      <c r="AF155" s="33">
        <v>123.17</v>
      </c>
      <c r="AG155" s="33">
        <v>92.72</v>
      </c>
      <c r="AH155" s="33">
        <v>85.88</v>
      </c>
      <c r="AI155" s="33">
        <v>83.5</v>
      </c>
      <c r="AJ155" s="33">
        <v>102.56</v>
      </c>
      <c r="AK155" s="32"/>
      <c r="AL155" s="34">
        <f>SUM(G155:AK155)</f>
      </c>
      <c r="AM155" s="35"/>
    </row>
    <row r="156" ht="13.5" customHeight="1" spans="2:39" x14ac:dyDescent="0.25">
      <c r="B156" s="48" t="s">
        <v>3</v>
      </c>
      <c r="C156" s="49" t="s">
        <v>2223</v>
      </c>
      <c r="D156" s="50" t="s">
        <v>42</v>
      </c>
      <c r="E156" s="32" t="s">
        <v>3</v>
      </c>
      <c r="F156" s="32" t="s">
        <v>2366</v>
      </c>
      <c r="G156" s="32"/>
      <c r="H156" s="32"/>
      <c r="I156" s="32"/>
      <c r="J156" s="33">
        <v>70.2</v>
      </c>
      <c r="K156" s="33">
        <v>69</v>
      </c>
      <c r="L156" s="33">
        <v>75.59</v>
      </c>
      <c r="M156" s="33">
        <v>83.52</v>
      </c>
      <c r="N156" s="33">
        <v>78.31</v>
      </c>
      <c r="O156" s="33">
        <v>31.41</v>
      </c>
      <c r="P156" s="33">
        <v>26.85</v>
      </c>
      <c r="Q156" s="33">
        <v>26.85</v>
      </c>
      <c r="R156" s="33">
        <v>26.85</v>
      </c>
      <c r="S156" s="33">
        <v>26.85</v>
      </c>
      <c r="T156" s="33">
        <v>26.85</v>
      </c>
      <c r="U156" s="33">
        <v>31.64</v>
      </c>
      <c r="V156" s="33">
        <v>38.58</v>
      </c>
      <c r="W156" s="33">
        <v>43.59</v>
      </c>
      <c r="X156" s="33">
        <v>52.06</v>
      </c>
      <c r="Y156" s="33">
        <v>67.27</v>
      </c>
      <c r="Z156" s="33">
        <v>79.49</v>
      </c>
      <c r="AA156" s="33">
        <v>99.65</v>
      </c>
      <c r="AB156" s="33">
        <v>95.64</v>
      </c>
      <c r="AC156" s="33">
        <v>134.36</v>
      </c>
      <c r="AD156" s="33">
        <v>50.11</v>
      </c>
      <c r="AE156" s="33">
        <v>71.91</v>
      </c>
      <c r="AF156" s="33">
        <v>105.72</v>
      </c>
      <c r="AG156" s="33">
        <v>81.25</v>
      </c>
      <c r="AH156" s="33">
        <v>75.09</v>
      </c>
      <c r="AI156" s="33">
        <v>66.14</v>
      </c>
      <c r="AJ156" s="33">
        <v>61.39</v>
      </c>
      <c r="AK156" s="32"/>
      <c r="AL156" s="34">
        <f>SUM(G156:AK156)</f>
      </c>
      <c r="AM156" s="35"/>
    </row>
    <row r="157" ht="13.5" customHeight="1" spans="2:39" x14ac:dyDescent="0.25">
      <c r="B157" s="48" t="s">
        <v>3</v>
      </c>
      <c r="C157" s="49" t="s">
        <v>2223</v>
      </c>
      <c r="D157" s="50" t="s">
        <v>42</v>
      </c>
      <c r="E157" s="32" t="s">
        <v>3</v>
      </c>
      <c r="F157" s="32" t="s">
        <v>2367</v>
      </c>
      <c r="G157" s="32"/>
      <c r="H157" s="32"/>
      <c r="I157" s="32"/>
      <c r="J157" s="33">
        <v>44.93</v>
      </c>
      <c r="K157" s="33">
        <v>46.86</v>
      </c>
      <c r="L157" s="33">
        <v>91.27</v>
      </c>
      <c r="M157" s="33">
        <v>90.75</v>
      </c>
      <c r="N157" s="33">
        <v>85.08</v>
      </c>
      <c r="O157" s="33">
        <v>138.53</v>
      </c>
      <c r="P157" s="33">
        <v>38</v>
      </c>
      <c r="Q157" s="33">
        <v>26.85</v>
      </c>
      <c r="R157" s="33">
        <v>26.85</v>
      </c>
      <c r="S157" s="33">
        <v>26.85</v>
      </c>
      <c r="T157" s="33">
        <v>26.85</v>
      </c>
      <c r="U157" s="33">
        <v>84.84</v>
      </c>
      <c r="V157" s="33">
        <v>78.99</v>
      </c>
      <c r="W157" s="33">
        <v>112.91</v>
      </c>
      <c r="X157" s="33">
        <v>101.85</v>
      </c>
      <c r="Y157" s="33">
        <v>112.27</v>
      </c>
      <c r="Z157" s="33">
        <v>108.24</v>
      </c>
      <c r="AA157" s="33">
        <v>26.85</v>
      </c>
      <c r="AB157" s="33">
        <v>26.85</v>
      </c>
      <c r="AC157" s="33">
        <v>26.85</v>
      </c>
      <c r="AD157" s="33">
        <v>26.85</v>
      </c>
      <c r="AE157" s="33">
        <v>26.87</v>
      </c>
      <c r="AF157" s="33">
        <v>26.87</v>
      </c>
      <c r="AG157" s="33">
        <v>103.13</v>
      </c>
      <c r="AH157" s="33">
        <v>63.09</v>
      </c>
      <c r="AI157" s="33">
        <v>43.41</v>
      </c>
      <c r="AJ157" s="33">
        <v>83.22</v>
      </c>
      <c r="AK157" s="32"/>
      <c r="AL157" s="34">
        <f>SUM(G157:AK157)</f>
      </c>
      <c r="AM157" s="35"/>
    </row>
    <row r="158" ht="13.5" customHeight="1" spans="2:39" x14ac:dyDescent="0.25">
      <c r="B158" s="48" t="s">
        <v>3</v>
      </c>
      <c r="C158" s="49" t="s">
        <v>2223</v>
      </c>
      <c r="D158" s="50" t="s">
        <v>42</v>
      </c>
      <c r="E158" s="32" t="s">
        <v>3</v>
      </c>
      <c r="F158" s="32" t="s">
        <v>2368</v>
      </c>
      <c r="G158" s="32"/>
      <c r="H158" s="32"/>
      <c r="I158" s="32"/>
      <c r="J158" s="33">
        <v>73.87</v>
      </c>
      <c r="K158" s="33">
        <v>106.54</v>
      </c>
      <c r="L158" s="33">
        <v>131.41</v>
      </c>
      <c r="M158" s="33">
        <v>109.18</v>
      </c>
      <c r="N158" s="33">
        <v>112.35</v>
      </c>
      <c r="O158" s="33">
        <v>179.24</v>
      </c>
      <c r="P158" s="33">
        <v>145.42</v>
      </c>
      <c r="Q158" s="33">
        <v>161.19</v>
      </c>
      <c r="R158" s="33">
        <v>55.35</v>
      </c>
      <c r="S158" s="33">
        <v>26.85</v>
      </c>
      <c r="T158" s="33">
        <v>32.23</v>
      </c>
      <c r="U158" s="33">
        <v>110.24</v>
      </c>
      <c r="V158" s="33">
        <v>36.68</v>
      </c>
      <c r="W158" s="33">
        <v>71.18</v>
      </c>
      <c r="X158" s="33">
        <v>103.42</v>
      </c>
      <c r="Y158" s="33">
        <v>109</v>
      </c>
      <c r="Z158" s="33">
        <v>123.83</v>
      </c>
      <c r="AA158" s="33">
        <v>48.67</v>
      </c>
      <c r="AB158" s="33">
        <v>43.59</v>
      </c>
      <c r="AC158" s="33">
        <v>57.66</v>
      </c>
      <c r="AD158" s="33">
        <v>52.71</v>
      </c>
      <c r="AE158" s="33">
        <v>41.45</v>
      </c>
      <c r="AF158" s="33">
        <v>43.01</v>
      </c>
      <c r="AG158" s="33">
        <v>87.62</v>
      </c>
      <c r="AH158" s="33">
        <v>59.66</v>
      </c>
      <c r="AI158" s="33">
        <v>97.5</v>
      </c>
      <c r="AJ158" s="33">
        <v>80.6</v>
      </c>
      <c r="AK158" s="32"/>
      <c r="AL158" s="34">
        <f>SUM(G158:AK158)</f>
      </c>
      <c r="AM158" s="35"/>
    </row>
    <row r="159" ht="13.5" customHeight="1" spans="2:39" x14ac:dyDescent="0.25">
      <c r="B159" s="48" t="s">
        <v>3</v>
      </c>
      <c r="C159" s="49" t="s">
        <v>2223</v>
      </c>
      <c r="D159" s="50" t="s">
        <v>42</v>
      </c>
      <c r="E159" s="32" t="s">
        <v>3</v>
      </c>
      <c r="F159" s="32" t="s">
        <v>2369</v>
      </c>
      <c r="G159" s="32"/>
      <c r="H159" s="32"/>
      <c r="I159" s="32"/>
      <c r="J159" s="33">
        <v>79.92</v>
      </c>
      <c r="K159" s="33">
        <v>91.27</v>
      </c>
      <c r="L159" s="33">
        <v>97.31</v>
      </c>
      <c r="M159" s="33">
        <v>94.48</v>
      </c>
      <c r="N159" s="33">
        <v>108.14</v>
      </c>
      <c r="O159" s="33">
        <v>92.31</v>
      </c>
      <c r="P159" s="33">
        <v>78.79</v>
      </c>
      <c r="Q159" s="33">
        <v>55.37</v>
      </c>
      <c r="R159" s="33">
        <v>33.91</v>
      </c>
      <c r="S159" s="33">
        <v>33.39</v>
      </c>
      <c r="T159" s="33">
        <v>29.6</v>
      </c>
      <c r="U159" s="33">
        <v>84.25</v>
      </c>
      <c r="V159" s="33">
        <v>63.78</v>
      </c>
      <c r="W159" s="33">
        <v>90.29</v>
      </c>
      <c r="X159" s="33">
        <v>95.46</v>
      </c>
      <c r="Y159" s="33">
        <v>108.24</v>
      </c>
      <c r="Z159" s="33">
        <v>95.35</v>
      </c>
      <c r="AA159" s="33">
        <v>33.96</v>
      </c>
      <c r="AB159" s="33">
        <v>31.8</v>
      </c>
      <c r="AC159" s="33">
        <v>35.56</v>
      </c>
      <c r="AD159" s="33">
        <v>34.69</v>
      </c>
      <c r="AE159" s="33">
        <v>31.59</v>
      </c>
      <c r="AF159" s="33">
        <v>29.65</v>
      </c>
      <c r="AG159" s="33">
        <v>70.2</v>
      </c>
      <c r="AH159" s="33">
        <v>95.12</v>
      </c>
      <c r="AI159" s="33">
        <v>130.43</v>
      </c>
      <c r="AJ159" s="33">
        <v>97.04</v>
      </c>
      <c r="AK159" s="32"/>
      <c r="AL159" s="34">
        <f>SUM(G159:AK159)</f>
      </c>
      <c r="AM159" s="35"/>
    </row>
    <row r="160" ht="13.5" customHeight="1" spans="2:39" x14ac:dyDescent="0.25">
      <c r="B160" s="48" t="s">
        <v>3</v>
      </c>
      <c r="C160" s="49" t="s">
        <v>2223</v>
      </c>
      <c r="D160" s="50" t="s">
        <v>42</v>
      </c>
      <c r="E160" s="32" t="s">
        <v>3</v>
      </c>
      <c r="F160" s="32" t="s">
        <v>2370</v>
      </c>
      <c r="G160" s="32"/>
      <c r="H160" s="32"/>
      <c r="I160" s="32"/>
      <c r="J160" s="33">
        <v>135.06</v>
      </c>
      <c r="K160" s="33">
        <v>113.9</v>
      </c>
      <c r="L160" s="33">
        <v>108.36</v>
      </c>
      <c r="M160" s="33">
        <v>99.7</v>
      </c>
      <c r="N160" s="33">
        <v>132.72</v>
      </c>
      <c r="O160" s="33">
        <v>107.69</v>
      </c>
      <c r="P160" s="33">
        <v>26.85</v>
      </c>
      <c r="Q160" s="33">
        <v>26.85</v>
      </c>
      <c r="R160" s="33">
        <v>26.85</v>
      </c>
      <c r="S160" s="33">
        <v>26.85</v>
      </c>
      <c r="T160" s="33">
        <v>26.85</v>
      </c>
      <c r="U160" s="33">
        <v>26.85</v>
      </c>
      <c r="V160" s="33">
        <v>124.99</v>
      </c>
      <c r="W160" s="33">
        <v>137.88</v>
      </c>
      <c r="X160" s="33">
        <v>110.31</v>
      </c>
      <c r="Y160" s="33">
        <v>131.11</v>
      </c>
      <c r="Z160" s="33">
        <v>105.76</v>
      </c>
      <c r="AA160" s="33">
        <v>26.85</v>
      </c>
      <c r="AB160" s="33">
        <v>26.85</v>
      </c>
      <c r="AC160" s="33">
        <v>26.85</v>
      </c>
      <c r="AD160" s="33">
        <v>26.85</v>
      </c>
      <c r="AE160" s="33">
        <v>26.87</v>
      </c>
      <c r="AF160" s="33">
        <v>26.87</v>
      </c>
      <c r="AG160" s="33">
        <v>26.87</v>
      </c>
      <c r="AH160" s="33">
        <v>32.67</v>
      </c>
      <c r="AI160" s="33">
        <v>37.96</v>
      </c>
      <c r="AJ160" s="33">
        <v>44.43</v>
      </c>
      <c r="AK160" s="32"/>
      <c r="AL160" s="34">
        <f>SUM(G160:AK160)</f>
      </c>
      <c r="AM160" s="35"/>
    </row>
    <row r="161" ht="13.5" customHeight="1" spans="2:39" x14ac:dyDescent="0.25">
      <c r="B161" s="48" t="s">
        <v>3</v>
      </c>
      <c r="C161" s="49" t="s">
        <v>2223</v>
      </c>
      <c r="D161" s="50" t="s">
        <v>42</v>
      </c>
      <c r="E161" s="32" t="s">
        <v>3</v>
      </c>
      <c r="F161" s="32" t="s">
        <v>2371</v>
      </c>
      <c r="G161" s="32"/>
      <c r="H161" s="32"/>
      <c r="I161" s="32"/>
      <c r="J161" s="33">
        <v>83.09</v>
      </c>
      <c r="K161" s="33">
        <v>90.62</v>
      </c>
      <c r="L161" s="33">
        <v>99.83</v>
      </c>
      <c r="M161" s="33">
        <v>96.22</v>
      </c>
      <c r="N161" s="33">
        <v>55.6</v>
      </c>
      <c r="O161" s="33">
        <v>40.11</v>
      </c>
      <c r="P161" s="33">
        <v>35.11</v>
      </c>
      <c r="Q161" s="33">
        <v>39.54</v>
      </c>
      <c r="R161" s="33">
        <v>40.44</v>
      </c>
      <c r="S161" s="33">
        <v>40.91</v>
      </c>
      <c r="T161" s="33">
        <v>27.61</v>
      </c>
      <c r="U161" s="33">
        <v>82.5</v>
      </c>
      <c r="V161" s="33">
        <v>38.24</v>
      </c>
      <c r="W161" s="33">
        <v>53.49</v>
      </c>
      <c r="X161" s="33">
        <v>44.79</v>
      </c>
      <c r="Y161" s="33">
        <v>115</v>
      </c>
      <c r="Z161" s="33">
        <v>142.78</v>
      </c>
      <c r="AA161" s="33">
        <v>30.2</v>
      </c>
      <c r="AB161" s="33">
        <v>30.48</v>
      </c>
      <c r="AC161" s="33">
        <v>26.85</v>
      </c>
      <c r="AD161" s="33">
        <v>34.81</v>
      </c>
      <c r="AE161" s="33">
        <v>82.96</v>
      </c>
      <c r="AF161" s="33">
        <v>26.87</v>
      </c>
      <c r="AG161" s="33">
        <v>26.87</v>
      </c>
      <c r="AH161" s="33">
        <v>38.81</v>
      </c>
      <c r="AI161" s="33">
        <v>38.66</v>
      </c>
      <c r="AJ161" s="33">
        <v>87.44</v>
      </c>
      <c r="AK161" s="32"/>
      <c r="AL161" s="34">
        <f>SUM(G161:AK161)</f>
      </c>
      <c r="AM161" s="35"/>
    </row>
    <row r="162" ht="13.5" customHeight="1" spans="2:39" x14ac:dyDescent="0.25">
      <c r="B162" s="48" t="s">
        <v>3</v>
      </c>
      <c r="C162" s="49" t="s">
        <v>2223</v>
      </c>
      <c r="D162" s="50" t="s">
        <v>42</v>
      </c>
      <c r="E162" s="32" t="s">
        <v>3</v>
      </c>
      <c r="F162" s="32" t="s">
        <v>2372</v>
      </c>
      <c r="G162" s="32"/>
      <c r="H162" s="32"/>
      <c r="I162" s="32"/>
      <c r="J162" s="33">
        <v>49.67</v>
      </c>
      <c r="K162" s="33">
        <v>71.89</v>
      </c>
      <c r="L162" s="33">
        <v>79.53</v>
      </c>
      <c r="M162" s="33">
        <v>67.32</v>
      </c>
      <c r="N162" s="33">
        <v>55.95</v>
      </c>
      <c r="O162" s="33">
        <v>26.85</v>
      </c>
      <c r="P162" s="33">
        <v>26.85</v>
      </c>
      <c r="Q162" s="33">
        <v>26.85</v>
      </c>
      <c r="R162" s="33">
        <v>26.85</v>
      </c>
      <c r="S162" s="33">
        <v>26.85</v>
      </c>
      <c r="T162" s="33">
        <v>26.85</v>
      </c>
      <c r="U162" s="33">
        <v>26.85</v>
      </c>
      <c r="V162" s="33">
        <v>26.85</v>
      </c>
      <c r="W162" s="33">
        <v>62.71</v>
      </c>
      <c r="X162" s="33">
        <v>70.26</v>
      </c>
      <c r="Y162" s="33">
        <v>80.01</v>
      </c>
      <c r="Z162" s="33">
        <v>69.87</v>
      </c>
      <c r="AA162" s="33">
        <v>26.85</v>
      </c>
      <c r="AB162" s="33">
        <v>26.85</v>
      </c>
      <c r="AC162" s="33">
        <v>26.85</v>
      </c>
      <c r="AD162" s="33">
        <v>26.85</v>
      </c>
      <c r="AE162" s="33">
        <v>26.87</v>
      </c>
      <c r="AF162" s="33">
        <v>26.87</v>
      </c>
      <c r="AG162" s="33">
        <v>26.87</v>
      </c>
      <c r="AH162" s="33">
        <v>32.25</v>
      </c>
      <c r="AI162" s="33">
        <v>32.25</v>
      </c>
      <c r="AJ162" s="33">
        <v>43.41</v>
      </c>
      <c r="AK162" s="32"/>
      <c r="AL162" s="34">
        <f>SUM(G162:AK162)</f>
      </c>
      <c r="AM162" s="35"/>
    </row>
    <row r="163" ht="13.5" customHeight="1" spans="2:39" x14ac:dyDescent="0.25">
      <c r="B163" s="48" t="s">
        <v>3</v>
      </c>
      <c r="C163" s="49" t="s">
        <v>2223</v>
      </c>
      <c r="D163" s="50" t="s">
        <v>42</v>
      </c>
      <c r="E163" s="32" t="s">
        <v>3</v>
      </c>
      <c r="F163" s="32" t="s">
        <v>2373</v>
      </c>
      <c r="G163" s="32"/>
      <c r="H163" s="32"/>
      <c r="I163" s="32"/>
      <c r="J163" s="33">
        <v>97.67</v>
      </c>
      <c r="K163" s="33">
        <v>107.59</v>
      </c>
      <c r="L163" s="33">
        <v>115.35</v>
      </c>
      <c r="M163" s="33">
        <v>138.48</v>
      </c>
      <c r="N163" s="33">
        <v>111.17</v>
      </c>
      <c r="O163" s="33">
        <v>26.85</v>
      </c>
      <c r="P163" s="33">
        <v>30.55</v>
      </c>
      <c r="Q163" s="33">
        <v>26.85</v>
      </c>
      <c r="R163" s="33">
        <v>26.85</v>
      </c>
      <c r="S163" s="33">
        <v>26.85</v>
      </c>
      <c r="T163" s="33">
        <v>27.72</v>
      </c>
      <c r="U163" s="33">
        <v>30.5</v>
      </c>
      <c r="V163" s="33">
        <v>83.93</v>
      </c>
      <c r="W163" s="33">
        <v>142.32</v>
      </c>
      <c r="X163" s="33">
        <v>179</v>
      </c>
      <c r="Y163" s="33">
        <v>162.77</v>
      </c>
      <c r="Z163" s="33">
        <v>35.24</v>
      </c>
      <c r="AA163" s="33">
        <v>26.85</v>
      </c>
      <c r="AB163" s="33">
        <v>26.85</v>
      </c>
      <c r="AC163" s="33">
        <v>26.85</v>
      </c>
      <c r="AD163" s="33">
        <v>26.85</v>
      </c>
      <c r="AE163" s="33">
        <v>26.87</v>
      </c>
      <c r="AF163" s="33">
        <v>26.87</v>
      </c>
      <c r="AG163" s="33">
        <v>121.36</v>
      </c>
      <c r="AH163" s="33">
        <v>106.32</v>
      </c>
      <c r="AI163" s="33">
        <v>133.19</v>
      </c>
      <c r="AJ163" s="33">
        <v>81.66</v>
      </c>
      <c r="AK163" s="32"/>
      <c r="AL163" s="34">
        <f>SUM(G163:AK163)</f>
      </c>
      <c r="AM163" s="35"/>
    </row>
    <row r="164" ht="13.5" customHeight="1" spans="2:39" x14ac:dyDescent="0.25">
      <c r="B164" s="48" t="s">
        <v>3</v>
      </c>
      <c r="C164" s="49" t="s">
        <v>2223</v>
      </c>
      <c r="D164" s="50" t="s">
        <v>42</v>
      </c>
      <c r="E164" s="32" t="s">
        <v>3</v>
      </c>
      <c r="F164" s="32" t="s">
        <v>2374</v>
      </c>
      <c r="G164" s="32"/>
      <c r="H164" s="32"/>
      <c r="I164" s="32"/>
      <c r="J164" s="33">
        <v>91.65</v>
      </c>
      <c r="K164" s="33">
        <v>86.37</v>
      </c>
      <c r="L164" s="33">
        <v>88.75</v>
      </c>
      <c r="M164" s="33">
        <v>40.04</v>
      </c>
      <c r="N164" s="33">
        <v>32.14</v>
      </c>
      <c r="O164" s="33">
        <v>26.85</v>
      </c>
      <c r="P164" s="33">
        <v>26.85</v>
      </c>
      <c r="Q164" s="33">
        <v>26.85</v>
      </c>
      <c r="R164" s="33">
        <v>26.85</v>
      </c>
      <c r="S164" s="33">
        <v>26.85</v>
      </c>
      <c r="T164" s="33">
        <v>26.85</v>
      </c>
      <c r="U164" s="33">
        <v>26.85</v>
      </c>
      <c r="V164" s="33">
        <v>26.85</v>
      </c>
      <c r="W164" s="33">
        <v>51.42</v>
      </c>
      <c r="X164" s="33">
        <v>103.69</v>
      </c>
      <c r="Y164" s="33">
        <v>34.34</v>
      </c>
      <c r="Z164" s="33">
        <v>26.85</v>
      </c>
      <c r="AA164" s="33">
        <v>26.85</v>
      </c>
      <c r="AB164" s="33">
        <v>26.85</v>
      </c>
      <c r="AC164" s="33">
        <v>26.85</v>
      </c>
      <c r="AD164" s="33">
        <v>26.85</v>
      </c>
      <c r="AE164" s="33">
        <v>26.87</v>
      </c>
      <c r="AF164" s="33">
        <v>26.87</v>
      </c>
      <c r="AG164" s="33">
        <v>27.29</v>
      </c>
      <c r="AH164" s="33">
        <v>33.38</v>
      </c>
      <c r="AI164" s="33">
        <v>39.86</v>
      </c>
      <c r="AJ164" s="33">
        <v>107.17</v>
      </c>
      <c r="AK164" s="32"/>
      <c r="AL164" s="34">
        <f>SUM(G164:AK164)</f>
      </c>
      <c r="AM164" s="35"/>
    </row>
    <row r="165" ht="13.5" customHeight="1" spans="2:39" x14ac:dyDescent="0.25">
      <c r="B165" s="48" t="s">
        <v>3</v>
      </c>
      <c r="C165" s="49" t="s">
        <v>2223</v>
      </c>
      <c r="D165" s="50" t="s">
        <v>42</v>
      </c>
      <c r="E165" s="32" t="s">
        <v>3</v>
      </c>
      <c r="F165" s="32" t="s">
        <v>2375</v>
      </c>
      <c r="G165" s="32"/>
      <c r="H165" s="32"/>
      <c r="I165" s="32"/>
      <c r="J165" s="33">
        <v>74.52</v>
      </c>
      <c r="K165" s="33">
        <v>93.77</v>
      </c>
      <c r="L165" s="33">
        <v>99.03</v>
      </c>
      <c r="M165" s="33">
        <v>113.53</v>
      </c>
      <c r="N165" s="33">
        <v>96.94</v>
      </c>
      <c r="O165" s="33">
        <v>26.85</v>
      </c>
      <c r="P165" s="33">
        <v>26.85</v>
      </c>
      <c r="Q165" s="33">
        <v>26.85</v>
      </c>
      <c r="R165" s="33">
        <v>26.85</v>
      </c>
      <c r="S165" s="33">
        <v>26.85</v>
      </c>
      <c r="T165" s="33">
        <v>27.53</v>
      </c>
      <c r="U165" s="33">
        <v>113.75</v>
      </c>
      <c r="V165" s="33">
        <v>76.66</v>
      </c>
      <c r="W165" s="33">
        <v>92.63</v>
      </c>
      <c r="X165" s="33">
        <v>91.99</v>
      </c>
      <c r="Y165" s="33">
        <v>117.46</v>
      </c>
      <c r="Z165" s="33">
        <v>118.09</v>
      </c>
      <c r="AA165" s="33">
        <v>26.85</v>
      </c>
      <c r="AB165" s="33">
        <v>26.85</v>
      </c>
      <c r="AC165" s="33">
        <v>26.85</v>
      </c>
      <c r="AD165" s="33">
        <v>26.85</v>
      </c>
      <c r="AE165" s="33">
        <v>26.87</v>
      </c>
      <c r="AF165" s="33">
        <v>29.23</v>
      </c>
      <c r="AG165" s="33">
        <v>114.6</v>
      </c>
      <c r="AH165" s="33">
        <v>81.82</v>
      </c>
      <c r="AI165" s="33">
        <v>104.6</v>
      </c>
      <c r="AJ165" s="33">
        <v>109</v>
      </c>
      <c r="AK165" s="32"/>
      <c r="AL165" s="34">
        <f>SUM(G165:AK165)</f>
      </c>
      <c r="AM165" s="35"/>
    </row>
    <row r="166" ht="13.5" customHeight="1" spans="2:39" x14ac:dyDescent="0.25">
      <c r="B166" s="48" t="s">
        <v>3</v>
      </c>
      <c r="C166" s="49" t="s">
        <v>2223</v>
      </c>
      <c r="D166" s="50" t="s">
        <v>42</v>
      </c>
      <c r="E166" s="32" t="s">
        <v>3</v>
      </c>
      <c r="F166" s="32" t="s">
        <v>2376</v>
      </c>
      <c r="G166" s="32"/>
      <c r="H166" s="32"/>
      <c r="I166" s="32"/>
      <c r="J166" s="33">
        <v>85.57</v>
      </c>
      <c r="K166" s="33">
        <v>91</v>
      </c>
      <c r="L166" s="33">
        <v>106.95</v>
      </c>
      <c r="M166" s="33">
        <v>120.25</v>
      </c>
      <c r="N166" s="33">
        <v>113.75</v>
      </c>
      <c r="O166" s="33">
        <v>132.58</v>
      </c>
      <c r="P166" s="33">
        <v>92.54</v>
      </c>
      <c r="Q166" s="33">
        <v>99.13</v>
      </c>
      <c r="R166" s="33">
        <v>99.64</v>
      </c>
      <c r="S166" s="33">
        <v>92.41</v>
      </c>
      <c r="T166" s="33">
        <v>32.5</v>
      </c>
      <c r="U166" s="33">
        <v>26.85</v>
      </c>
      <c r="V166" s="33">
        <v>26.85</v>
      </c>
      <c r="W166" s="33">
        <v>66.5</v>
      </c>
      <c r="X166" s="33">
        <v>103.42</v>
      </c>
      <c r="Y166" s="33">
        <v>112.13</v>
      </c>
      <c r="Z166" s="33">
        <v>114.09</v>
      </c>
      <c r="AA166" s="33">
        <v>26.85</v>
      </c>
      <c r="AB166" s="33">
        <v>26.85</v>
      </c>
      <c r="AC166" s="33">
        <v>26.85</v>
      </c>
      <c r="AD166" s="33">
        <v>26.85</v>
      </c>
      <c r="AE166" s="33">
        <v>26.87</v>
      </c>
      <c r="AF166" s="33">
        <v>26.87</v>
      </c>
      <c r="AG166" s="33">
        <v>26.87</v>
      </c>
      <c r="AH166" s="33">
        <v>33.15</v>
      </c>
      <c r="AI166" s="33">
        <v>89.06</v>
      </c>
      <c r="AJ166" s="33">
        <v>97.83</v>
      </c>
      <c r="AK166" s="32"/>
      <c r="AL166" s="34">
        <f>SUM(G166:AK166)</f>
      </c>
      <c r="AM166" s="35"/>
    </row>
    <row r="167" ht="13.5" customHeight="1" spans="2:39" x14ac:dyDescent="0.25">
      <c r="B167" s="48" t="s">
        <v>3</v>
      </c>
      <c r="C167" s="49" t="s">
        <v>2223</v>
      </c>
      <c r="D167" s="50" t="s">
        <v>42</v>
      </c>
      <c r="E167" s="32" t="s">
        <v>3</v>
      </c>
      <c r="F167" s="32" t="s">
        <v>2377</v>
      </c>
      <c r="G167" s="32"/>
      <c r="H167" s="32"/>
      <c r="I167" s="32"/>
      <c r="J167" s="33">
        <v>54.39</v>
      </c>
      <c r="K167" s="33">
        <v>45.68</v>
      </c>
      <c r="L167" s="33">
        <v>52.92</v>
      </c>
      <c r="M167" s="33">
        <v>31.81</v>
      </c>
      <c r="N167" s="33">
        <v>32.89</v>
      </c>
      <c r="O167" s="33">
        <v>27.4</v>
      </c>
      <c r="P167" s="33">
        <v>26.85</v>
      </c>
      <c r="Q167" s="33">
        <v>26.85</v>
      </c>
      <c r="R167" s="33">
        <v>26.85</v>
      </c>
      <c r="S167" s="33">
        <v>92.66</v>
      </c>
      <c r="T167" s="33">
        <v>162.15</v>
      </c>
      <c r="U167" s="33">
        <v>147.92</v>
      </c>
      <c r="V167" s="33">
        <v>118.24</v>
      </c>
      <c r="W167" s="33">
        <v>129.05</v>
      </c>
      <c r="X167" s="33">
        <v>152.02</v>
      </c>
      <c r="Y167" s="33">
        <v>174.28</v>
      </c>
      <c r="Z167" s="33">
        <v>244.17</v>
      </c>
      <c r="AA167" s="33">
        <v>337.39</v>
      </c>
      <c r="AB167" s="33">
        <v>26.85</v>
      </c>
      <c r="AC167" s="33">
        <v>26.85</v>
      </c>
      <c r="AD167" s="33">
        <v>26.85</v>
      </c>
      <c r="AE167" s="33">
        <v>26.87</v>
      </c>
      <c r="AF167" s="33">
        <v>26.87</v>
      </c>
      <c r="AG167" s="33">
        <v>26.87</v>
      </c>
      <c r="AH167" s="33">
        <v>36.54</v>
      </c>
      <c r="AI167" s="33">
        <v>109.6</v>
      </c>
      <c r="AJ167" s="33">
        <v>95.98</v>
      </c>
      <c r="AK167" s="32"/>
      <c r="AL167" s="34">
        <f>SUM(G167:AK167)</f>
      </c>
      <c r="AM167" s="35"/>
    </row>
    <row r="168" ht="13.5" customHeight="1" spans="2:39" x14ac:dyDescent="0.25">
      <c r="B168" s="48" t="s">
        <v>3</v>
      </c>
      <c r="C168" s="49" t="s">
        <v>2223</v>
      </c>
      <c r="D168" s="50" t="s">
        <v>42</v>
      </c>
      <c r="E168" s="32" t="s">
        <v>3</v>
      </c>
      <c r="F168" s="32" t="s">
        <v>2378</v>
      </c>
      <c r="G168" s="32"/>
      <c r="H168" s="32"/>
      <c r="I168" s="32"/>
      <c r="J168" s="33">
        <v>106.12</v>
      </c>
      <c r="K168" s="33">
        <v>100.47</v>
      </c>
      <c r="L168" s="33">
        <v>117.85</v>
      </c>
      <c r="M168" s="33">
        <v>134.59</v>
      </c>
      <c r="N168" s="33">
        <v>146.65</v>
      </c>
      <c r="O168" s="33">
        <v>145.83</v>
      </c>
      <c r="P168" s="33">
        <v>27.64</v>
      </c>
      <c r="Q168" s="33">
        <v>27.67</v>
      </c>
      <c r="R168" s="33">
        <v>27.77</v>
      </c>
      <c r="S168" s="33">
        <v>27.61</v>
      </c>
      <c r="T168" s="33">
        <v>27.7</v>
      </c>
      <c r="U168" s="33">
        <v>132.86</v>
      </c>
      <c r="V168" s="33">
        <v>136.3</v>
      </c>
      <c r="W168" s="33">
        <v>152.48</v>
      </c>
      <c r="X168" s="33">
        <v>111.47</v>
      </c>
      <c r="Y168" s="33">
        <v>132.15</v>
      </c>
      <c r="Z168" s="33">
        <v>160.81</v>
      </c>
      <c r="AA168" s="33">
        <v>206.43</v>
      </c>
      <c r="AB168" s="33">
        <v>174.28</v>
      </c>
      <c r="AC168" s="33">
        <v>228.26</v>
      </c>
      <c r="AD168" s="33">
        <v>209.17</v>
      </c>
      <c r="AE168" s="33">
        <v>181.75</v>
      </c>
      <c r="AF168" s="33">
        <v>144.11</v>
      </c>
      <c r="AG168" s="33">
        <v>31.17</v>
      </c>
      <c r="AH168" s="33">
        <v>35.79</v>
      </c>
      <c r="AI168" s="33">
        <v>64.67</v>
      </c>
      <c r="AJ168" s="33">
        <v>106.63</v>
      </c>
      <c r="AK168" s="32"/>
      <c r="AL168" s="34">
        <f>SUM(G168:AK168)</f>
      </c>
      <c r="AM168" s="35"/>
    </row>
    <row r="169" ht="13.5" customHeight="1" spans="2:39" x14ac:dyDescent="0.25">
      <c r="B169" s="48" t="s">
        <v>3</v>
      </c>
      <c r="C169" s="49" t="s">
        <v>2223</v>
      </c>
      <c r="D169" s="50" t="s">
        <v>42</v>
      </c>
      <c r="E169" s="32" t="s">
        <v>3</v>
      </c>
      <c r="F169" s="32" t="s">
        <v>2379</v>
      </c>
      <c r="G169" s="32"/>
      <c r="H169" s="32"/>
      <c r="I169" s="32"/>
      <c r="J169" s="33">
        <v>62.56</v>
      </c>
      <c r="K169" s="33">
        <v>96.12</v>
      </c>
      <c r="L169" s="33">
        <v>86.66</v>
      </c>
      <c r="M169" s="33">
        <v>120.99</v>
      </c>
      <c r="N169" s="33">
        <v>62.33</v>
      </c>
      <c r="O169" s="33">
        <v>42.3</v>
      </c>
      <c r="P169" s="33">
        <v>26.85</v>
      </c>
      <c r="Q169" s="33">
        <v>26.85</v>
      </c>
      <c r="R169" s="33">
        <v>26.85</v>
      </c>
      <c r="S169" s="33">
        <v>26.85</v>
      </c>
      <c r="T169" s="33">
        <v>26.85</v>
      </c>
      <c r="U169" s="33">
        <v>38.45</v>
      </c>
      <c r="V169" s="33">
        <v>78.99</v>
      </c>
      <c r="W169" s="33">
        <v>90.81</v>
      </c>
      <c r="X169" s="33">
        <v>92.22</v>
      </c>
      <c r="Y169" s="33">
        <v>102.9</v>
      </c>
      <c r="Z169" s="33">
        <v>30.53</v>
      </c>
      <c r="AA169" s="33">
        <v>26.85</v>
      </c>
      <c r="AB169" s="33">
        <v>26.85</v>
      </c>
      <c r="AC169" s="33">
        <v>26.85</v>
      </c>
      <c r="AD169" s="33">
        <v>26.85</v>
      </c>
      <c r="AE169" s="33">
        <v>26.87</v>
      </c>
      <c r="AF169" s="33">
        <v>26.87</v>
      </c>
      <c r="AG169" s="33">
        <v>30.11</v>
      </c>
      <c r="AH169" s="33">
        <v>32.95</v>
      </c>
      <c r="AI169" s="33">
        <v>34.09</v>
      </c>
      <c r="AJ169" s="33">
        <v>40.39</v>
      </c>
      <c r="AK169" s="32"/>
      <c r="AL169" s="34">
        <f>SUM(G169:AK169)</f>
      </c>
      <c r="AM169" s="35"/>
    </row>
    <row r="170" ht="13.5" customHeight="1" spans="2:39" x14ac:dyDescent="0.25">
      <c r="B170" s="48" t="s">
        <v>3</v>
      </c>
      <c r="C170" s="49" t="s">
        <v>2223</v>
      </c>
      <c r="D170" s="50" t="s">
        <v>42</v>
      </c>
      <c r="E170" s="32" t="s">
        <v>3</v>
      </c>
      <c r="F170" s="32" t="s">
        <v>2380</v>
      </c>
      <c r="G170" s="32"/>
      <c r="H170" s="32"/>
      <c r="I170" s="32"/>
      <c r="J170" s="33">
        <v>82.02</v>
      </c>
      <c r="K170" s="33">
        <v>74.01</v>
      </c>
      <c r="L170" s="33">
        <v>90.47</v>
      </c>
      <c r="M170" s="33">
        <v>94.09</v>
      </c>
      <c r="N170" s="33">
        <v>86.47</v>
      </c>
      <c r="O170" s="33">
        <v>45.93</v>
      </c>
      <c r="P170" s="33">
        <v>26.85</v>
      </c>
      <c r="Q170" s="33">
        <v>26.85</v>
      </c>
      <c r="R170" s="33">
        <v>31.75</v>
      </c>
      <c r="S170" s="33">
        <v>26.85</v>
      </c>
      <c r="T170" s="33">
        <v>28.99</v>
      </c>
      <c r="U170" s="33">
        <v>47.79</v>
      </c>
      <c r="V170" s="33">
        <v>46.51</v>
      </c>
      <c r="W170" s="33">
        <v>69.5</v>
      </c>
      <c r="X170" s="33">
        <v>75.71</v>
      </c>
      <c r="Y170" s="33">
        <v>82.74</v>
      </c>
      <c r="Z170" s="33">
        <v>85.2</v>
      </c>
      <c r="AA170" s="33">
        <v>26.85</v>
      </c>
      <c r="AB170" s="33">
        <v>34.6</v>
      </c>
      <c r="AC170" s="33">
        <v>27.96</v>
      </c>
      <c r="AD170" s="33">
        <v>120.32</v>
      </c>
      <c r="AE170" s="33">
        <v>249.12</v>
      </c>
      <c r="AF170" s="33">
        <v>28.25</v>
      </c>
      <c r="AG170" s="33">
        <v>80.61</v>
      </c>
      <c r="AH170" s="33">
        <v>78.25</v>
      </c>
      <c r="AI170" s="33">
        <v>82.46</v>
      </c>
      <c r="AJ170" s="33">
        <v>85.99</v>
      </c>
      <c r="AK170" s="32"/>
      <c r="AL170" s="34">
        <f>SUM(G170:AK170)</f>
      </c>
      <c r="AM170" s="35"/>
    </row>
    <row r="171" ht="13.5" customHeight="1" spans="2:39" x14ac:dyDescent="0.25">
      <c r="B171" s="48" t="s">
        <v>3</v>
      </c>
      <c r="C171" s="49" t="s">
        <v>2223</v>
      </c>
      <c r="D171" s="50" t="s">
        <v>42</v>
      </c>
      <c r="E171" s="32" t="s">
        <v>3</v>
      </c>
      <c r="F171" s="32" t="s">
        <v>2381</v>
      </c>
      <c r="G171" s="32"/>
      <c r="H171" s="32"/>
      <c r="I171" s="32"/>
      <c r="J171" s="33">
        <v>47.29</v>
      </c>
      <c r="K171" s="33">
        <v>51.48</v>
      </c>
      <c r="L171" s="33">
        <v>69.79</v>
      </c>
      <c r="M171" s="33">
        <v>100.59</v>
      </c>
      <c r="N171" s="33">
        <v>45.58</v>
      </c>
      <c r="O171" s="33">
        <v>26.85</v>
      </c>
      <c r="P171" s="33">
        <v>26.85</v>
      </c>
      <c r="Q171" s="33">
        <v>26.85</v>
      </c>
      <c r="R171" s="33">
        <v>26.85</v>
      </c>
      <c r="S171" s="33">
        <v>26.85</v>
      </c>
      <c r="T171" s="33">
        <v>26.85</v>
      </c>
      <c r="U171" s="33">
        <v>26.85</v>
      </c>
      <c r="V171" s="33">
        <v>26.85</v>
      </c>
      <c r="W171" s="33">
        <v>28.06</v>
      </c>
      <c r="X171" s="33">
        <v>64.14</v>
      </c>
      <c r="Y171" s="33">
        <v>68.44</v>
      </c>
      <c r="Z171" s="33">
        <v>26.85</v>
      </c>
      <c r="AA171" s="33">
        <v>26.85</v>
      </c>
      <c r="AB171" s="33">
        <v>26.85</v>
      </c>
      <c r="AC171" s="33">
        <v>26.85</v>
      </c>
      <c r="AD171" s="33">
        <v>26.85</v>
      </c>
      <c r="AE171" s="33">
        <v>26.87</v>
      </c>
      <c r="AF171" s="33">
        <v>27.61</v>
      </c>
      <c r="AG171" s="33">
        <v>28.74</v>
      </c>
      <c r="AH171" s="33">
        <v>55.85</v>
      </c>
      <c r="AI171" s="33">
        <v>67.84</v>
      </c>
      <c r="AJ171" s="33">
        <v>51.14</v>
      </c>
      <c r="AK171" s="32"/>
      <c r="AL171" s="34">
        <f>SUM(G171:AK171)</f>
      </c>
      <c r="AM171" s="35"/>
    </row>
    <row r="172" ht="13.5" customHeight="1" spans="2:39" x14ac:dyDescent="0.25">
      <c r="B172" s="48" t="s">
        <v>3</v>
      </c>
      <c r="C172" s="49" t="s">
        <v>2223</v>
      </c>
      <c r="D172" s="50" t="s">
        <v>42</v>
      </c>
      <c r="E172" s="32" t="s">
        <v>3</v>
      </c>
      <c r="F172" s="32" t="s">
        <v>2382</v>
      </c>
      <c r="G172" s="32"/>
      <c r="H172" s="32"/>
      <c r="I172" s="32"/>
      <c r="J172" s="33">
        <v>86.91</v>
      </c>
      <c r="K172" s="33">
        <v>87.84</v>
      </c>
      <c r="L172" s="33">
        <v>86.66</v>
      </c>
      <c r="M172" s="33">
        <v>89.88</v>
      </c>
      <c r="N172" s="33">
        <v>29.38</v>
      </c>
      <c r="O172" s="33">
        <v>33.03</v>
      </c>
      <c r="P172" s="33">
        <v>30.39</v>
      </c>
      <c r="Q172" s="33">
        <v>31.08</v>
      </c>
      <c r="R172" s="33">
        <v>31.95</v>
      </c>
      <c r="S172" s="33">
        <v>32.26</v>
      </c>
      <c r="T172" s="33">
        <v>33.03</v>
      </c>
      <c r="U172" s="33">
        <v>91.13</v>
      </c>
      <c r="V172" s="33">
        <v>87.83</v>
      </c>
      <c r="W172" s="33">
        <v>92.11</v>
      </c>
      <c r="X172" s="33">
        <v>67.66</v>
      </c>
      <c r="Y172" s="33">
        <v>108.74</v>
      </c>
      <c r="Z172" s="33">
        <v>35.87</v>
      </c>
      <c r="AA172" s="33">
        <v>26.85</v>
      </c>
      <c r="AB172" s="33">
        <v>29.2</v>
      </c>
      <c r="AC172" s="33">
        <v>95.35</v>
      </c>
      <c r="AD172" s="33">
        <v>26.85</v>
      </c>
      <c r="AE172" s="33">
        <v>26.87</v>
      </c>
      <c r="AF172" s="33">
        <v>31.24</v>
      </c>
      <c r="AG172" s="33">
        <v>101.58</v>
      </c>
      <c r="AH172" s="33">
        <v>74.7</v>
      </c>
      <c r="AI172" s="33">
        <v>111.84</v>
      </c>
      <c r="AJ172" s="33">
        <v>99.81</v>
      </c>
      <c r="AK172" s="32"/>
      <c r="AL172" s="34">
        <f>SUM(G172:AK172)</f>
      </c>
      <c r="AM172" s="35"/>
    </row>
    <row r="173" ht="13.5" customHeight="1" spans="2:39" x14ac:dyDescent="0.25">
      <c r="B173" s="48" t="s">
        <v>3</v>
      </c>
      <c r="C173" s="49" t="s">
        <v>2223</v>
      </c>
      <c r="D173" s="50" t="s">
        <v>42</v>
      </c>
      <c r="E173" s="32" t="s">
        <v>3</v>
      </c>
      <c r="F173" s="32" t="s">
        <v>2383</v>
      </c>
      <c r="G173" s="32"/>
      <c r="H173" s="32"/>
      <c r="I173" s="32"/>
      <c r="J173" s="33">
        <v>46.11</v>
      </c>
      <c r="K173" s="33">
        <v>87.16</v>
      </c>
      <c r="L173" s="33">
        <v>141.56</v>
      </c>
      <c r="M173" s="33">
        <v>135.13</v>
      </c>
      <c r="N173" s="33">
        <v>39.04</v>
      </c>
      <c r="O173" s="33">
        <v>26.85</v>
      </c>
      <c r="P173" s="33">
        <v>26.85</v>
      </c>
      <c r="Q173" s="33">
        <v>26.85</v>
      </c>
      <c r="R173" s="33">
        <v>26.85</v>
      </c>
      <c r="S173" s="33">
        <v>26.85</v>
      </c>
      <c r="T173" s="33">
        <v>30.59</v>
      </c>
      <c r="U173" s="33">
        <v>203.12</v>
      </c>
      <c r="V173" s="33">
        <v>46.51</v>
      </c>
      <c r="W173" s="33">
        <v>122.93</v>
      </c>
      <c r="X173" s="33">
        <v>112.78</v>
      </c>
      <c r="Y173" s="33">
        <v>120.05</v>
      </c>
      <c r="Z173" s="33">
        <v>34.69</v>
      </c>
      <c r="AA173" s="33">
        <v>26.85</v>
      </c>
      <c r="AB173" s="33">
        <v>26.85</v>
      </c>
      <c r="AC173" s="33">
        <v>26.85</v>
      </c>
      <c r="AD173" s="33">
        <v>26.85</v>
      </c>
      <c r="AE173" s="33">
        <v>26.87</v>
      </c>
      <c r="AF173" s="33">
        <v>67.33</v>
      </c>
      <c r="AG173" s="33">
        <v>116.02</v>
      </c>
      <c r="AH173" s="33">
        <v>71.15</v>
      </c>
      <c r="AI173" s="33">
        <v>85.88</v>
      </c>
      <c r="AJ173" s="33">
        <v>102.95</v>
      </c>
      <c r="AK173" s="32"/>
      <c r="AL173" s="34">
        <f>SUM(G173:AK173)</f>
      </c>
      <c r="AM173" s="35"/>
    </row>
    <row r="174" ht="13.5" customHeight="1" spans="2:39" x14ac:dyDescent="0.25">
      <c r="B174" s="48" t="s">
        <v>3</v>
      </c>
      <c r="C174" s="49" t="s">
        <v>2223</v>
      </c>
      <c r="D174" s="50" t="s">
        <v>42</v>
      </c>
      <c r="E174" s="32" t="s">
        <v>3</v>
      </c>
      <c r="F174" s="32" t="s">
        <v>2384</v>
      </c>
      <c r="G174" s="32"/>
      <c r="H174" s="32"/>
      <c r="I174" s="32"/>
      <c r="J174" s="33">
        <v>34.76</v>
      </c>
      <c r="K174" s="33">
        <v>65.05</v>
      </c>
      <c r="L174" s="33">
        <v>85.71</v>
      </c>
      <c r="M174" s="33">
        <v>62.08</v>
      </c>
      <c r="N174" s="33">
        <v>29.14</v>
      </c>
      <c r="O174" s="33">
        <v>26.85</v>
      </c>
      <c r="P174" s="33">
        <v>47.08</v>
      </c>
      <c r="Q174" s="33">
        <v>31.43</v>
      </c>
      <c r="R174" s="33">
        <v>26.85</v>
      </c>
      <c r="S174" s="33">
        <v>72.95</v>
      </c>
      <c r="T174" s="33">
        <v>34.63</v>
      </c>
      <c r="U174" s="33">
        <v>82.05</v>
      </c>
      <c r="V174" s="33">
        <v>63.78</v>
      </c>
      <c r="W174" s="33">
        <v>82.74</v>
      </c>
      <c r="X174" s="33">
        <v>87.03</v>
      </c>
      <c r="Y174" s="33">
        <v>60.63</v>
      </c>
      <c r="Z174" s="33">
        <v>26.85</v>
      </c>
      <c r="AA174" s="33">
        <v>26.85</v>
      </c>
      <c r="AB174" s="33">
        <v>26.85</v>
      </c>
      <c r="AC174" s="33">
        <v>26.85</v>
      </c>
      <c r="AD174" s="33">
        <v>26.85</v>
      </c>
      <c r="AE174" s="33">
        <v>26.87</v>
      </c>
      <c r="AF174" s="33">
        <v>26.87</v>
      </c>
      <c r="AG174" s="33">
        <v>28.83</v>
      </c>
      <c r="AH174" s="33">
        <v>40.22</v>
      </c>
      <c r="AI174" s="33">
        <v>128.72</v>
      </c>
      <c r="AJ174" s="33">
        <v>134.13</v>
      </c>
      <c r="AK174" s="32"/>
      <c r="AL174" s="34">
        <f>SUM(G174:AK174)</f>
      </c>
      <c r="AM174" s="35"/>
    </row>
    <row r="175" ht="13.5" customHeight="1" spans="2:39" x14ac:dyDescent="0.25">
      <c r="B175" s="48" t="s">
        <v>3</v>
      </c>
      <c r="C175" s="49" t="s">
        <v>2223</v>
      </c>
      <c r="D175" s="50" t="s">
        <v>42</v>
      </c>
      <c r="E175" s="32" t="s">
        <v>3</v>
      </c>
      <c r="F175" s="32" t="s">
        <v>2385</v>
      </c>
      <c r="G175" s="32"/>
      <c r="H175" s="32"/>
      <c r="I175" s="32"/>
      <c r="J175" s="33">
        <v>26.85</v>
      </c>
      <c r="K175" s="33">
        <v>26.85</v>
      </c>
      <c r="L175" s="33">
        <v>26.85</v>
      </c>
      <c r="M175" s="33">
        <v>26.85</v>
      </c>
      <c r="N175" s="33">
        <v>26.85</v>
      </c>
      <c r="O175" s="33">
        <v>26.85</v>
      </c>
      <c r="P175" s="33">
        <v>26.85</v>
      </c>
      <c r="Q175" s="33">
        <v>26.85</v>
      </c>
      <c r="R175" s="33">
        <v>26.85</v>
      </c>
      <c r="S175" s="33">
        <v>26.85</v>
      </c>
      <c r="T175" s="33">
        <v>26.85</v>
      </c>
      <c r="U175" s="33">
        <v>26.85</v>
      </c>
      <c r="V175" s="33">
        <v>26.85</v>
      </c>
      <c r="W175" s="33">
        <v>26.85</v>
      </c>
      <c r="X175" s="33">
        <v>26.85</v>
      </c>
      <c r="Y175" s="33">
        <v>26.85</v>
      </c>
      <c r="Z175" s="33">
        <v>26.85</v>
      </c>
      <c r="AA175" s="33">
        <v>26.85</v>
      </c>
      <c r="AB175" s="33">
        <v>26.85</v>
      </c>
      <c r="AC175" s="33">
        <v>26.85</v>
      </c>
      <c r="AD175" s="33">
        <v>26.85</v>
      </c>
      <c r="AE175" s="33">
        <v>26.87</v>
      </c>
      <c r="AF175" s="33">
        <v>26.87</v>
      </c>
      <c r="AG175" s="33">
        <v>26.87</v>
      </c>
      <c r="AH175" s="33">
        <v>32.25</v>
      </c>
      <c r="AI175" s="33">
        <v>32.25</v>
      </c>
      <c r="AJ175" s="33">
        <v>32.19</v>
      </c>
      <c r="AK175" s="32"/>
      <c r="AL175" s="34">
        <f>SUM(G175:AK175)</f>
      </c>
      <c r="AM175" s="35"/>
    </row>
    <row r="176" ht="13.5" customHeight="1" spans="2:39" x14ac:dyDescent="0.25">
      <c r="B176" s="48" t="s">
        <v>3</v>
      </c>
      <c r="C176" s="49" t="s">
        <v>2223</v>
      </c>
      <c r="D176" s="50" t="s">
        <v>42</v>
      </c>
      <c r="E176" s="32" t="s">
        <v>3</v>
      </c>
      <c r="F176" s="32" t="s">
        <v>2386</v>
      </c>
      <c r="G176" s="32"/>
      <c r="H176" s="32"/>
      <c r="I176" s="32"/>
      <c r="J176" s="33">
        <v>67.8</v>
      </c>
      <c r="K176" s="33">
        <v>59.38</v>
      </c>
      <c r="L176" s="33">
        <v>59.91</v>
      </c>
      <c r="M176" s="33">
        <v>60.84</v>
      </c>
      <c r="N176" s="33">
        <v>31.78</v>
      </c>
      <c r="O176" s="33">
        <v>26.85</v>
      </c>
      <c r="P176" s="33">
        <v>26.85</v>
      </c>
      <c r="Q176" s="33">
        <v>26.85</v>
      </c>
      <c r="R176" s="33">
        <v>26.85</v>
      </c>
      <c r="S176" s="33">
        <v>26.85</v>
      </c>
      <c r="T176" s="33">
        <v>27.77</v>
      </c>
      <c r="U176" s="33">
        <v>66.9</v>
      </c>
      <c r="V176" s="33">
        <v>51.33</v>
      </c>
      <c r="W176" s="33">
        <v>63.35</v>
      </c>
      <c r="X176" s="33">
        <v>54.54</v>
      </c>
      <c r="Y176" s="33">
        <v>50.11</v>
      </c>
      <c r="Z176" s="33">
        <v>32.37</v>
      </c>
      <c r="AA176" s="33">
        <v>26.85</v>
      </c>
      <c r="AB176" s="33">
        <v>26.85</v>
      </c>
      <c r="AC176" s="33">
        <v>26.85</v>
      </c>
      <c r="AD176" s="33">
        <v>26.85</v>
      </c>
      <c r="AE176" s="33">
        <v>26.87</v>
      </c>
      <c r="AF176" s="33">
        <v>29.25</v>
      </c>
      <c r="AG176" s="33">
        <v>55.26</v>
      </c>
      <c r="AH176" s="33">
        <v>59.28</v>
      </c>
      <c r="AI176" s="33">
        <v>66.65</v>
      </c>
      <c r="AJ176" s="33">
        <v>56.4</v>
      </c>
      <c r="AK176" s="32"/>
      <c r="AL176" s="34">
        <f>SUM(G176:AK176)</f>
      </c>
      <c r="AM176" s="35"/>
    </row>
    <row r="177" ht="13.5" customHeight="1" spans="2:39" x14ac:dyDescent="0.25">
      <c r="B177" s="48" t="s">
        <v>3</v>
      </c>
      <c r="C177" s="49" t="s">
        <v>2223</v>
      </c>
      <c r="D177" s="50" t="s">
        <v>42</v>
      </c>
      <c r="E177" s="32" t="s">
        <v>3</v>
      </c>
      <c r="F177" s="32" t="s">
        <v>2387</v>
      </c>
      <c r="G177" s="32"/>
      <c r="H177" s="32"/>
      <c r="I177" s="32"/>
      <c r="J177" s="33">
        <v>95.86</v>
      </c>
      <c r="K177" s="33">
        <v>99.94</v>
      </c>
      <c r="L177" s="33">
        <v>121.17</v>
      </c>
      <c r="M177" s="33">
        <v>140.1</v>
      </c>
      <c r="N177" s="33">
        <v>149.17</v>
      </c>
      <c r="O177" s="33">
        <v>206.03</v>
      </c>
      <c r="P177" s="33">
        <v>148.45</v>
      </c>
      <c r="Q177" s="33">
        <v>187.48</v>
      </c>
      <c r="R177" s="33">
        <v>200.62</v>
      </c>
      <c r="S177" s="33">
        <v>178.13</v>
      </c>
      <c r="T177" s="33">
        <v>106.98</v>
      </c>
      <c r="U177" s="33">
        <v>108.39</v>
      </c>
      <c r="V177" s="33">
        <v>104.07</v>
      </c>
      <c r="W177" s="33">
        <v>128.38</v>
      </c>
      <c r="X177" s="33">
        <v>97.58</v>
      </c>
      <c r="Y177" s="33">
        <v>111.61</v>
      </c>
      <c r="Z177" s="33">
        <v>132.55</v>
      </c>
      <c r="AA177" s="33">
        <v>74.55</v>
      </c>
      <c r="AB177" s="33">
        <v>26.85</v>
      </c>
      <c r="AC177" s="33">
        <v>26.85</v>
      </c>
      <c r="AD177" s="33">
        <v>26.85</v>
      </c>
      <c r="AE177" s="33">
        <v>26.87</v>
      </c>
      <c r="AF177" s="33">
        <v>26.87</v>
      </c>
      <c r="AG177" s="33">
        <v>29.31</v>
      </c>
      <c r="AH177" s="33">
        <v>168.83</v>
      </c>
      <c r="AI177" s="33">
        <v>171.29</v>
      </c>
      <c r="AJ177" s="33">
        <v>122.03</v>
      </c>
      <c r="AK177" s="32"/>
      <c r="AL177" s="34">
        <f>SUM(G177:AK177)</f>
      </c>
      <c r="AM177" s="35"/>
    </row>
    <row r="178" ht="13.5" customHeight="1" spans="2:39" x14ac:dyDescent="0.25">
      <c r="B178" s="48" t="s">
        <v>3</v>
      </c>
      <c r="C178" s="49" t="s">
        <v>2223</v>
      </c>
      <c r="D178" s="50" t="s">
        <v>42</v>
      </c>
      <c r="E178" s="32" t="s">
        <v>3</v>
      </c>
      <c r="F178" s="32" t="s">
        <v>2388</v>
      </c>
      <c r="G178" s="32"/>
      <c r="H178" s="32"/>
      <c r="I178" s="32"/>
      <c r="J178" s="33">
        <v>48.21</v>
      </c>
      <c r="K178" s="33">
        <v>81.76</v>
      </c>
      <c r="L178" s="33">
        <v>95.6</v>
      </c>
      <c r="M178" s="33">
        <v>76.4</v>
      </c>
      <c r="N178" s="33">
        <v>29.63</v>
      </c>
      <c r="O178" s="33">
        <v>207.53</v>
      </c>
      <c r="P178" s="33">
        <v>149.02</v>
      </c>
      <c r="Q178" s="33">
        <v>276.34</v>
      </c>
      <c r="R178" s="33">
        <v>80.54</v>
      </c>
      <c r="S178" s="33">
        <v>26.85</v>
      </c>
      <c r="T178" s="33">
        <v>30.45</v>
      </c>
      <c r="U178" s="33">
        <v>103.01</v>
      </c>
      <c r="V178" s="33">
        <v>49.09</v>
      </c>
      <c r="W178" s="33">
        <v>83.02</v>
      </c>
      <c r="X178" s="33">
        <v>91.07</v>
      </c>
      <c r="Y178" s="33">
        <v>105.88</v>
      </c>
      <c r="Z178" s="33">
        <v>27.17</v>
      </c>
      <c r="AA178" s="33">
        <v>26.85</v>
      </c>
      <c r="AB178" s="33">
        <v>26.85</v>
      </c>
      <c r="AC178" s="33">
        <v>26.85</v>
      </c>
      <c r="AD178" s="33">
        <v>26.85</v>
      </c>
      <c r="AE178" s="33">
        <v>26.87</v>
      </c>
      <c r="AF178" s="33">
        <v>27.77</v>
      </c>
      <c r="AG178" s="33">
        <v>53.41</v>
      </c>
      <c r="AH178" s="33">
        <v>33.29</v>
      </c>
      <c r="AI178" s="33">
        <v>61.65</v>
      </c>
      <c r="AJ178" s="33">
        <v>120.97</v>
      </c>
      <c r="AK178" s="32"/>
      <c r="AL178" s="34">
        <f>SUM(G178:AK178)</f>
      </c>
      <c r="AM178" s="35"/>
    </row>
    <row r="179" ht="13.5" customHeight="1" spans="2:39" x14ac:dyDescent="0.25">
      <c r="B179" s="48" t="s">
        <v>3</v>
      </c>
      <c r="C179" s="49" t="s">
        <v>2223</v>
      </c>
      <c r="D179" s="50" t="s">
        <v>42</v>
      </c>
      <c r="E179" s="32" t="s">
        <v>3</v>
      </c>
      <c r="F179" s="32" t="s">
        <v>2389</v>
      </c>
      <c r="G179" s="32"/>
      <c r="H179" s="32"/>
      <c r="I179" s="32"/>
      <c r="J179" s="33">
        <v>106.12</v>
      </c>
      <c r="K179" s="33">
        <v>107.07</v>
      </c>
      <c r="L179" s="33">
        <v>110.34</v>
      </c>
      <c r="M179" s="33">
        <v>102.19</v>
      </c>
      <c r="N179" s="33">
        <v>75.39</v>
      </c>
      <c r="O179" s="33">
        <v>26.85</v>
      </c>
      <c r="P179" s="33">
        <v>26.85</v>
      </c>
      <c r="Q179" s="33">
        <v>26.85</v>
      </c>
      <c r="R179" s="33">
        <v>26.85</v>
      </c>
      <c r="S179" s="33">
        <v>26.85</v>
      </c>
      <c r="T179" s="33">
        <v>31.24</v>
      </c>
      <c r="U179" s="33">
        <v>116.06</v>
      </c>
      <c r="V179" s="33">
        <v>53.53</v>
      </c>
      <c r="W179" s="33">
        <v>120.57</v>
      </c>
      <c r="X179" s="33">
        <v>132.29</v>
      </c>
      <c r="Y179" s="33">
        <v>149.44</v>
      </c>
      <c r="Z179" s="33">
        <v>94.86</v>
      </c>
      <c r="AA179" s="33">
        <v>26.85</v>
      </c>
      <c r="AB179" s="33">
        <v>26.85</v>
      </c>
      <c r="AC179" s="33">
        <v>26.85</v>
      </c>
      <c r="AD179" s="33">
        <v>26.85</v>
      </c>
      <c r="AE179" s="33">
        <v>26.87</v>
      </c>
      <c r="AF179" s="33">
        <v>26.87</v>
      </c>
      <c r="AG179" s="33">
        <v>27.57</v>
      </c>
      <c r="AH179" s="33">
        <v>77.32</v>
      </c>
      <c r="AI179" s="33">
        <v>92.61</v>
      </c>
      <c r="AJ179" s="33">
        <v>79.94</v>
      </c>
      <c r="AK179" s="32"/>
      <c r="AL179" s="34">
        <f>SUM(G179:AK179)</f>
      </c>
      <c r="AM179" s="35"/>
    </row>
    <row r="180" ht="13.5" customHeight="1" spans="2:39" x14ac:dyDescent="0.25">
      <c r="B180" s="48" t="s">
        <v>3</v>
      </c>
      <c r="C180" s="49" t="s">
        <v>2223</v>
      </c>
      <c r="D180" s="50" t="s">
        <v>42</v>
      </c>
      <c r="E180" s="32" t="s">
        <v>3</v>
      </c>
      <c r="F180" s="32" t="s">
        <v>2390</v>
      </c>
      <c r="G180" s="32"/>
      <c r="H180" s="32"/>
      <c r="I180" s="32"/>
      <c r="J180" s="33">
        <v>104.14</v>
      </c>
      <c r="K180" s="33">
        <v>162.66</v>
      </c>
      <c r="L180" s="33">
        <v>162.93</v>
      </c>
      <c r="M180" s="33">
        <v>126.37</v>
      </c>
      <c r="N180" s="33">
        <v>33.26</v>
      </c>
      <c r="O180" s="33">
        <v>60.72</v>
      </c>
      <c r="P180" s="33">
        <v>43.71</v>
      </c>
      <c r="Q180" s="33">
        <v>48.48</v>
      </c>
      <c r="R180" s="33">
        <v>46.03</v>
      </c>
      <c r="S180" s="33">
        <v>45.01</v>
      </c>
      <c r="T180" s="33">
        <v>31.54</v>
      </c>
      <c r="U180" s="33">
        <v>29.77</v>
      </c>
      <c r="V180" s="33">
        <v>84.2</v>
      </c>
      <c r="W180" s="33">
        <v>229.62</v>
      </c>
      <c r="X180" s="33">
        <v>77.03</v>
      </c>
      <c r="Y180" s="33">
        <v>54.54</v>
      </c>
      <c r="Z180" s="33">
        <v>107.31</v>
      </c>
      <c r="AA180" s="33">
        <v>32.8</v>
      </c>
      <c r="AB180" s="33">
        <v>30.84</v>
      </c>
      <c r="AC180" s="33">
        <v>26.85</v>
      </c>
      <c r="AD180" s="33">
        <v>26.85</v>
      </c>
      <c r="AE180" s="33">
        <v>26.87</v>
      </c>
      <c r="AF180" s="33">
        <v>31.34</v>
      </c>
      <c r="AG180" s="33">
        <v>139.82</v>
      </c>
      <c r="AH180" s="33">
        <v>154.9</v>
      </c>
      <c r="AI180" s="33">
        <v>150.75</v>
      </c>
      <c r="AJ180" s="33">
        <v>141.89</v>
      </c>
      <c r="AK180" s="32"/>
      <c r="AL180" s="34">
        <f>SUM(G180:AK180)</f>
      </c>
      <c r="AM180" s="35"/>
    </row>
    <row r="181" ht="13.5" customHeight="1" spans="2:39" x14ac:dyDescent="0.25">
      <c r="B181" s="48" t="s">
        <v>3</v>
      </c>
      <c r="C181" s="49" t="s">
        <v>2223</v>
      </c>
      <c r="D181" s="50" t="s">
        <v>42</v>
      </c>
      <c r="E181" s="32" t="s">
        <v>3</v>
      </c>
      <c r="F181" s="32" t="s">
        <v>2391</v>
      </c>
      <c r="G181" s="32"/>
      <c r="H181" s="32"/>
      <c r="I181" s="32"/>
      <c r="J181" s="33">
        <v>97.83</v>
      </c>
      <c r="K181" s="33">
        <v>107.45</v>
      </c>
      <c r="L181" s="33">
        <v>118.78</v>
      </c>
      <c r="M181" s="33">
        <v>168.59</v>
      </c>
      <c r="N181" s="33">
        <v>182.26</v>
      </c>
      <c r="O181" s="33">
        <v>305.79</v>
      </c>
      <c r="P181" s="33">
        <v>234.86</v>
      </c>
      <c r="Q181" s="33">
        <v>278.11</v>
      </c>
      <c r="R181" s="33">
        <v>26.85</v>
      </c>
      <c r="S181" s="33">
        <v>26.85</v>
      </c>
      <c r="T181" s="33">
        <v>26.85</v>
      </c>
      <c r="U181" s="33">
        <v>29.11</v>
      </c>
      <c r="V181" s="33">
        <v>48.86</v>
      </c>
      <c r="W181" s="33">
        <v>57.66</v>
      </c>
      <c r="X181" s="33">
        <v>67.53</v>
      </c>
      <c r="Y181" s="33">
        <v>78.08</v>
      </c>
      <c r="Z181" s="33">
        <v>52.32</v>
      </c>
      <c r="AA181" s="33">
        <v>26.85</v>
      </c>
      <c r="AB181" s="33">
        <v>26.85</v>
      </c>
      <c r="AC181" s="33">
        <v>26.85</v>
      </c>
      <c r="AD181" s="33">
        <v>26.85</v>
      </c>
      <c r="AE181" s="33">
        <v>26.87</v>
      </c>
      <c r="AF181" s="33">
        <v>26.87</v>
      </c>
      <c r="AG181" s="33">
        <v>27.77</v>
      </c>
      <c r="AH181" s="33">
        <v>120.04</v>
      </c>
      <c r="AI181" s="33">
        <v>124.11</v>
      </c>
      <c r="AJ181" s="33">
        <v>101</v>
      </c>
      <c r="AK181" s="32"/>
      <c r="AL181" s="34">
        <f>SUM(G181:AK181)</f>
      </c>
      <c r="AM181" s="35"/>
    </row>
    <row r="182" ht="13.5" customHeight="1" spans="2:39" x14ac:dyDescent="0.25">
      <c r="B182" s="48" t="s">
        <v>3</v>
      </c>
      <c r="C182" s="49" t="s">
        <v>2223</v>
      </c>
      <c r="D182" s="50" t="s">
        <v>42</v>
      </c>
      <c r="E182" s="32" t="s">
        <v>3</v>
      </c>
      <c r="F182" s="32" t="s">
        <v>2392</v>
      </c>
      <c r="G182" s="32"/>
      <c r="H182" s="32"/>
      <c r="I182" s="32"/>
      <c r="J182" s="33">
        <v>38.9</v>
      </c>
      <c r="K182" s="33">
        <v>69.4</v>
      </c>
      <c r="L182" s="33">
        <v>76.36</v>
      </c>
      <c r="M182" s="33">
        <v>61.21</v>
      </c>
      <c r="N182" s="33">
        <v>26.85</v>
      </c>
      <c r="O182" s="33">
        <v>26.85</v>
      </c>
      <c r="P182" s="33">
        <v>39.99</v>
      </c>
      <c r="Q182" s="33">
        <v>26.85</v>
      </c>
      <c r="R182" s="33">
        <v>26.85</v>
      </c>
      <c r="S182" s="33">
        <v>26.85</v>
      </c>
      <c r="T182" s="33">
        <v>26.85</v>
      </c>
      <c r="U182" s="33">
        <v>26.85</v>
      </c>
      <c r="V182" s="33">
        <v>35.95</v>
      </c>
      <c r="W182" s="33">
        <v>65.98</v>
      </c>
      <c r="X182" s="33">
        <v>92.77</v>
      </c>
      <c r="Y182" s="33">
        <v>31.52</v>
      </c>
      <c r="Z182" s="33">
        <v>52.32</v>
      </c>
      <c r="AA182" s="33">
        <v>26.85</v>
      </c>
      <c r="AB182" s="33">
        <v>26.85</v>
      </c>
      <c r="AC182" s="33">
        <v>26.85</v>
      </c>
      <c r="AD182" s="33">
        <v>26.85</v>
      </c>
      <c r="AE182" s="33">
        <v>26.87</v>
      </c>
      <c r="AF182" s="33">
        <v>28.94</v>
      </c>
      <c r="AG182" s="33">
        <v>59.4</v>
      </c>
      <c r="AH182" s="33">
        <v>55.85</v>
      </c>
      <c r="AI182" s="33">
        <v>56.77</v>
      </c>
      <c r="AJ182" s="33">
        <v>48.65</v>
      </c>
      <c r="AK182" s="32"/>
      <c r="AL182" s="34">
        <f>SUM(G182:AK182)</f>
      </c>
      <c r="AM182" s="35"/>
    </row>
    <row r="183" ht="13.5" customHeight="1" spans="2:39" x14ac:dyDescent="0.25">
      <c r="B183" s="48" t="s">
        <v>3</v>
      </c>
      <c r="C183" s="49" t="s">
        <v>2223</v>
      </c>
      <c r="D183" s="50" t="s">
        <v>42</v>
      </c>
      <c r="E183" s="32" t="s">
        <v>3</v>
      </c>
      <c r="F183" s="32" t="s">
        <v>2393</v>
      </c>
      <c r="G183" s="32"/>
      <c r="H183" s="32"/>
      <c r="I183" s="32"/>
      <c r="J183" s="33">
        <v>79.8</v>
      </c>
      <c r="K183" s="33">
        <v>98.1</v>
      </c>
      <c r="L183" s="33">
        <v>85.46</v>
      </c>
      <c r="M183" s="33">
        <v>120.76</v>
      </c>
      <c r="N183" s="33">
        <v>87.16</v>
      </c>
      <c r="O183" s="33">
        <v>104.56</v>
      </c>
      <c r="P183" s="33">
        <v>86.81</v>
      </c>
      <c r="Q183" s="33">
        <v>92.58</v>
      </c>
      <c r="R183" s="33">
        <v>102.1</v>
      </c>
      <c r="S183" s="33">
        <v>91.13</v>
      </c>
      <c r="T183" s="33">
        <v>66.32</v>
      </c>
      <c r="U183" s="33">
        <v>119.34</v>
      </c>
      <c r="V183" s="33">
        <v>83.3</v>
      </c>
      <c r="W183" s="33">
        <v>119.8</v>
      </c>
      <c r="X183" s="33">
        <v>117.34</v>
      </c>
      <c r="Y183" s="33">
        <v>127.07</v>
      </c>
      <c r="Z183" s="33">
        <v>98.6</v>
      </c>
      <c r="AA183" s="33">
        <v>86.91</v>
      </c>
      <c r="AB183" s="33">
        <v>45.05</v>
      </c>
      <c r="AC183" s="33">
        <v>54</v>
      </c>
      <c r="AD183" s="33">
        <v>47.77</v>
      </c>
      <c r="AE183" s="33">
        <v>40.9</v>
      </c>
      <c r="AF183" s="33">
        <v>40.9</v>
      </c>
      <c r="AG183" s="33">
        <v>106.27</v>
      </c>
      <c r="AH183" s="33">
        <v>103.67</v>
      </c>
      <c r="AI183" s="33">
        <v>123.18</v>
      </c>
      <c r="AJ183" s="33">
        <v>109</v>
      </c>
      <c r="AK183" s="32"/>
      <c r="AL183" s="34">
        <f>SUM(G183:AK183)</f>
      </c>
      <c r="AM183" s="35"/>
    </row>
    <row r="184" ht="13.5" customHeight="1" spans="2:39" x14ac:dyDescent="0.25">
      <c r="B184" s="48" t="s">
        <v>3</v>
      </c>
      <c r="C184" s="49" t="s">
        <v>2223</v>
      </c>
      <c r="D184" s="50" t="s">
        <v>42</v>
      </c>
      <c r="E184" s="32" t="s">
        <v>3</v>
      </c>
      <c r="F184" s="32" t="s">
        <v>2394</v>
      </c>
      <c r="G184" s="32"/>
      <c r="H184" s="32"/>
      <c r="I184" s="32"/>
      <c r="J184" s="33">
        <v>72.15</v>
      </c>
      <c r="K184" s="33">
        <v>78.35</v>
      </c>
      <c r="L184" s="33">
        <v>80.19</v>
      </c>
      <c r="M184" s="33">
        <v>75.17</v>
      </c>
      <c r="N184" s="33">
        <v>83.21</v>
      </c>
      <c r="O184" s="33">
        <v>144.86</v>
      </c>
      <c r="P184" s="33">
        <v>38.11</v>
      </c>
      <c r="Q184" s="33">
        <v>34.75</v>
      </c>
      <c r="R184" s="33">
        <v>26.85</v>
      </c>
      <c r="S184" s="33">
        <v>26.85</v>
      </c>
      <c r="T184" s="33">
        <v>26.85</v>
      </c>
      <c r="U184" s="33">
        <v>26.85</v>
      </c>
      <c r="V184" s="33">
        <v>65.62</v>
      </c>
      <c r="W184" s="33">
        <v>73.76</v>
      </c>
      <c r="X184" s="33">
        <v>78.2</v>
      </c>
      <c r="Y184" s="33">
        <v>53.24</v>
      </c>
      <c r="Z184" s="33">
        <v>34.55</v>
      </c>
      <c r="AA184" s="33">
        <v>26.85</v>
      </c>
      <c r="AB184" s="33">
        <v>26.85</v>
      </c>
      <c r="AC184" s="33">
        <v>26.85</v>
      </c>
      <c r="AD184" s="33">
        <v>26.85</v>
      </c>
      <c r="AE184" s="33">
        <v>26.87</v>
      </c>
      <c r="AF184" s="33">
        <v>34.31</v>
      </c>
      <c r="AG184" s="33">
        <v>67.33</v>
      </c>
      <c r="AH184" s="33">
        <v>56.77</v>
      </c>
      <c r="AI184" s="33">
        <v>61.77</v>
      </c>
      <c r="AJ184" s="33">
        <v>79.94</v>
      </c>
      <c r="AK184" s="32"/>
      <c r="AL184" s="34">
        <f>SUM(G184:AK184)</f>
      </c>
      <c r="AM184" s="35"/>
    </row>
    <row r="185" ht="13.5" customHeight="1" spans="2:39" x14ac:dyDescent="0.25">
      <c r="B185" s="48" t="s">
        <v>3</v>
      </c>
      <c r="C185" s="49" t="s">
        <v>2223</v>
      </c>
      <c r="D185" s="50" t="s">
        <v>42</v>
      </c>
      <c r="E185" s="32" t="s">
        <v>3</v>
      </c>
      <c r="F185" s="32" t="s">
        <v>2395</v>
      </c>
      <c r="G185" s="32"/>
      <c r="H185" s="32"/>
      <c r="I185" s="32"/>
      <c r="J185" s="33">
        <v>29.86</v>
      </c>
      <c r="K185" s="33">
        <v>29.17</v>
      </c>
      <c r="L185" s="33">
        <v>29.27</v>
      </c>
      <c r="M185" s="33">
        <v>28.77</v>
      </c>
      <c r="N185" s="33">
        <v>28.36</v>
      </c>
      <c r="O185" s="33">
        <v>28.12</v>
      </c>
      <c r="P185" s="33">
        <v>27.93</v>
      </c>
      <c r="Q185" s="33">
        <v>28.07</v>
      </c>
      <c r="R185" s="33">
        <v>27.98</v>
      </c>
      <c r="S185" s="33">
        <v>27.88</v>
      </c>
      <c r="T185" s="33">
        <v>28.02</v>
      </c>
      <c r="U185" s="33">
        <v>28.52</v>
      </c>
      <c r="V185" s="33">
        <v>57.15</v>
      </c>
      <c r="W185" s="33">
        <v>29.28</v>
      </c>
      <c r="X185" s="33">
        <v>28.8</v>
      </c>
      <c r="Y185" s="33">
        <v>28.71</v>
      </c>
      <c r="Z185" s="33">
        <v>52.57</v>
      </c>
      <c r="AA185" s="33">
        <v>99.55</v>
      </c>
      <c r="AB185" s="33">
        <v>122.93</v>
      </c>
      <c r="AC185" s="33">
        <v>47.11</v>
      </c>
      <c r="AD185" s="33">
        <v>44.5</v>
      </c>
      <c r="AE185" s="33">
        <v>36.27</v>
      </c>
      <c r="AF185" s="33">
        <v>80.87</v>
      </c>
      <c r="AG185" s="33">
        <v>114.07</v>
      </c>
      <c r="AH185" s="33">
        <v>138.21</v>
      </c>
      <c r="AI185" s="33">
        <v>156.88</v>
      </c>
      <c r="AJ185" s="33">
        <v>128.85</v>
      </c>
      <c r="AK185" s="32"/>
      <c r="AL185" s="34">
        <f>SUM(G185:AK185)</f>
      </c>
      <c r="AM185" s="35"/>
    </row>
    <row r="186" ht="13.5" customHeight="1" spans="2:39" x14ac:dyDescent="0.25">
      <c r="B186" s="48" t="s">
        <v>3</v>
      </c>
      <c r="C186" s="49" t="s">
        <v>2223</v>
      </c>
      <c r="D186" s="50" t="s">
        <v>42</v>
      </c>
      <c r="E186" s="32" t="s">
        <v>3</v>
      </c>
      <c r="F186" s="32" t="s">
        <v>2396</v>
      </c>
      <c r="G186" s="32"/>
      <c r="H186" s="32"/>
      <c r="I186" s="32"/>
      <c r="J186" s="33">
        <v>128.87</v>
      </c>
      <c r="K186" s="33">
        <v>112.33</v>
      </c>
      <c r="L186" s="33">
        <v>129.98</v>
      </c>
      <c r="M186" s="33">
        <v>77.9</v>
      </c>
      <c r="N186" s="33">
        <v>109.31</v>
      </c>
      <c r="O186" s="33">
        <v>183.39</v>
      </c>
      <c r="P186" s="33">
        <v>107.19</v>
      </c>
      <c r="Q186" s="33">
        <v>76.97</v>
      </c>
      <c r="R186" s="33">
        <v>62.23</v>
      </c>
      <c r="S186" s="33">
        <v>57.79</v>
      </c>
      <c r="T186" s="33">
        <v>123.29</v>
      </c>
      <c r="U186" s="33">
        <v>96.62</v>
      </c>
      <c r="V186" s="33">
        <v>122.38</v>
      </c>
      <c r="W186" s="33">
        <v>158.85</v>
      </c>
      <c r="X186" s="33">
        <v>101.35</v>
      </c>
      <c r="Y186" s="33">
        <v>105.88</v>
      </c>
      <c r="Z186" s="33">
        <v>89.39</v>
      </c>
      <c r="AA186" s="33">
        <v>52.18</v>
      </c>
      <c r="AB186" s="33">
        <v>51.67</v>
      </c>
      <c r="AC186" s="33">
        <v>54.91</v>
      </c>
      <c r="AD186" s="33">
        <v>51.93</v>
      </c>
      <c r="AE186" s="33">
        <v>52.88</v>
      </c>
      <c r="AF186" s="33">
        <v>68.89</v>
      </c>
      <c r="AG186" s="33">
        <v>92.59</v>
      </c>
      <c r="AH186" s="33">
        <v>117</v>
      </c>
      <c r="AI186" s="33">
        <v>146.46</v>
      </c>
      <c r="AJ186" s="33">
        <v>129.91</v>
      </c>
      <c r="AK186" s="32"/>
      <c r="AL186" s="34">
        <f>SUM(G186:AK186)</f>
      </c>
      <c r="AM186" s="35"/>
    </row>
    <row r="187" ht="13.5" customHeight="1" spans="2:39" x14ac:dyDescent="0.25">
      <c r="B187" s="48" t="s">
        <v>3</v>
      </c>
      <c r="C187" s="49" t="s">
        <v>2223</v>
      </c>
      <c r="D187" s="50" t="s">
        <v>42</v>
      </c>
      <c r="E187" s="32" t="s">
        <v>3</v>
      </c>
      <c r="F187" s="32" t="s">
        <v>2397</v>
      </c>
      <c r="G187" s="32"/>
      <c r="H187" s="32"/>
      <c r="I187" s="32"/>
      <c r="J187" s="33">
        <v>117.44</v>
      </c>
      <c r="K187" s="33">
        <v>124.44</v>
      </c>
      <c r="L187" s="33">
        <v>135.64</v>
      </c>
      <c r="M187" s="33">
        <v>111.91</v>
      </c>
      <c r="N187" s="33">
        <v>34.46</v>
      </c>
      <c r="O187" s="33">
        <v>46.14</v>
      </c>
      <c r="P187" s="33">
        <v>31.67</v>
      </c>
      <c r="Q187" s="33">
        <v>31.87</v>
      </c>
      <c r="R187" s="33">
        <v>33.13</v>
      </c>
      <c r="S187" s="33">
        <v>26.85</v>
      </c>
      <c r="T187" s="33">
        <v>40.32</v>
      </c>
      <c r="U187" s="33">
        <v>112.82</v>
      </c>
      <c r="V187" s="33">
        <v>120.7</v>
      </c>
      <c r="W187" s="33">
        <v>139.32</v>
      </c>
      <c r="X187" s="33">
        <v>117.99</v>
      </c>
      <c r="Y187" s="33">
        <v>131.77</v>
      </c>
      <c r="Z187" s="33">
        <v>149.75</v>
      </c>
      <c r="AA187" s="33">
        <v>26.85</v>
      </c>
      <c r="AB187" s="33">
        <v>26.85</v>
      </c>
      <c r="AC187" s="33">
        <v>26.85</v>
      </c>
      <c r="AD187" s="33">
        <v>26.85</v>
      </c>
      <c r="AE187" s="33">
        <v>37.03</v>
      </c>
      <c r="AF187" s="33">
        <v>176.28</v>
      </c>
      <c r="AG187" s="33">
        <v>93.89</v>
      </c>
      <c r="AH187" s="33">
        <v>139.4</v>
      </c>
      <c r="AI187" s="33">
        <v>51.24</v>
      </c>
      <c r="AJ187" s="33">
        <v>65.22</v>
      </c>
      <c r="AK187" s="32"/>
      <c r="AL187" s="34">
        <f>SUM(G187:AK187)</f>
      </c>
      <c r="AM187" s="35"/>
    </row>
    <row r="188" ht="13.5" customHeight="1" spans="2:39" x14ac:dyDescent="0.25">
      <c r="B188" s="48" t="s">
        <v>3</v>
      </c>
      <c r="C188" s="49" t="s">
        <v>2223</v>
      </c>
      <c r="D188" s="50" t="s">
        <v>42</v>
      </c>
      <c r="E188" s="32" t="s">
        <v>3</v>
      </c>
      <c r="F188" s="32" t="s">
        <v>2398</v>
      </c>
      <c r="G188" s="32"/>
      <c r="H188" s="32"/>
      <c r="I188" s="32"/>
      <c r="J188" s="33">
        <v>43.88</v>
      </c>
      <c r="K188" s="33">
        <v>35.02</v>
      </c>
      <c r="L188" s="33">
        <v>42.26</v>
      </c>
      <c r="M188" s="33">
        <v>57.47</v>
      </c>
      <c r="N188" s="33">
        <v>63.86</v>
      </c>
      <c r="O188" s="33">
        <v>114.45</v>
      </c>
      <c r="P188" s="33">
        <v>89.97</v>
      </c>
      <c r="Q188" s="33">
        <v>75.46</v>
      </c>
      <c r="R188" s="33">
        <v>89.87</v>
      </c>
      <c r="S188" s="33">
        <v>96.72</v>
      </c>
      <c r="T188" s="33">
        <v>47.79</v>
      </c>
      <c r="U188" s="33">
        <v>27.25</v>
      </c>
      <c r="V188" s="33">
        <v>32.62</v>
      </c>
      <c r="W188" s="33">
        <v>60.76</v>
      </c>
      <c r="X188" s="33">
        <v>128.24</v>
      </c>
      <c r="Y188" s="33">
        <v>128.24</v>
      </c>
      <c r="Z188" s="33">
        <v>72.22</v>
      </c>
      <c r="AA188" s="33">
        <v>103.03</v>
      </c>
      <c r="AB188" s="33">
        <v>86.52</v>
      </c>
      <c r="AC188" s="33">
        <v>119.92</v>
      </c>
      <c r="AD188" s="33">
        <v>111.99</v>
      </c>
      <c r="AE188" s="33">
        <v>85.42</v>
      </c>
      <c r="AF188" s="33">
        <v>70.6</v>
      </c>
      <c r="AG188" s="33">
        <v>69.81</v>
      </c>
      <c r="AH188" s="33">
        <v>70.21</v>
      </c>
      <c r="AI188" s="33">
        <v>121.35</v>
      </c>
      <c r="AJ188" s="33">
        <v>163.32</v>
      </c>
      <c r="AK188" s="32"/>
      <c r="AL188" s="34">
        <f>SUM(G188:AK188)</f>
      </c>
      <c r="AM188" s="35"/>
    </row>
    <row r="189" ht="13.5" customHeight="1" spans="2:39" x14ac:dyDescent="0.25">
      <c r="B189" s="48" t="s">
        <v>3</v>
      </c>
      <c r="C189" s="49" t="s">
        <v>2223</v>
      </c>
      <c r="D189" s="50" t="s">
        <v>42</v>
      </c>
      <c r="E189" s="32" t="s">
        <v>3</v>
      </c>
      <c r="F189" s="32" t="s">
        <v>2399</v>
      </c>
      <c r="G189" s="32"/>
      <c r="H189" s="32"/>
      <c r="I189" s="32"/>
      <c r="J189" s="33">
        <v>73.34</v>
      </c>
      <c r="K189" s="33">
        <v>155.44</v>
      </c>
      <c r="L189" s="33">
        <v>179.66</v>
      </c>
      <c r="M189" s="33">
        <v>142.73</v>
      </c>
      <c r="N189" s="33">
        <v>121.9</v>
      </c>
      <c r="O189" s="33">
        <v>32.18</v>
      </c>
      <c r="P189" s="33">
        <v>26.85</v>
      </c>
      <c r="Q189" s="33">
        <v>55.6</v>
      </c>
      <c r="R189" s="33">
        <v>29.17</v>
      </c>
      <c r="S189" s="33">
        <v>79.48</v>
      </c>
      <c r="T189" s="33">
        <v>51.63</v>
      </c>
      <c r="U189" s="33">
        <v>96.25</v>
      </c>
      <c r="V189" s="33">
        <v>38.35</v>
      </c>
      <c r="W189" s="33">
        <v>89.64</v>
      </c>
      <c r="X189" s="33">
        <v>57.66</v>
      </c>
      <c r="Y189" s="33">
        <v>93.52</v>
      </c>
      <c r="Z189" s="33">
        <v>105.24</v>
      </c>
      <c r="AA189" s="33">
        <v>78.99</v>
      </c>
      <c r="AB189" s="33">
        <v>68.83</v>
      </c>
      <c r="AC189" s="33">
        <v>91.22</v>
      </c>
      <c r="AD189" s="33">
        <v>87.42</v>
      </c>
      <c r="AE189" s="33">
        <v>84.53</v>
      </c>
      <c r="AF189" s="33">
        <v>81.51</v>
      </c>
      <c r="AG189" s="33">
        <v>85.03</v>
      </c>
      <c r="AH189" s="33">
        <v>90.11</v>
      </c>
      <c r="AI189" s="33">
        <v>89.85</v>
      </c>
      <c r="AJ189" s="33">
        <v>88.22</v>
      </c>
      <c r="AK189" s="32"/>
      <c r="AL189" s="34">
        <f>SUM(G189:AK189)</f>
      </c>
      <c r="AM189" s="35"/>
    </row>
    <row r="190" ht="13.5" customHeight="1" spans="2:39" x14ac:dyDescent="0.25">
      <c r="B190" s="48" t="s">
        <v>3</v>
      </c>
      <c r="C190" s="49" t="s">
        <v>2223</v>
      </c>
      <c r="D190" s="50" t="s">
        <v>42</v>
      </c>
      <c r="E190" s="32" t="s">
        <v>3</v>
      </c>
      <c r="F190" s="32" t="s">
        <v>2400</v>
      </c>
      <c r="G190" s="32"/>
      <c r="H190" s="32"/>
      <c r="I190" s="32"/>
      <c r="J190" s="33">
        <v>73.34</v>
      </c>
      <c r="K190" s="33">
        <v>102.33</v>
      </c>
      <c r="L190" s="33">
        <v>119.32</v>
      </c>
      <c r="M190" s="33">
        <v>116.42</v>
      </c>
      <c r="N190" s="33">
        <v>95.33</v>
      </c>
      <c r="O190" s="33">
        <v>26.85</v>
      </c>
      <c r="P190" s="33">
        <v>33.31</v>
      </c>
      <c r="Q190" s="33">
        <v>58.95</v>
      </c>
      <c r="R190" s="33">
        <v>61.07</v>
      </c>
      <c r="S190" s="33">
        <v>32.81</v>
      </c>
      <c r="T190" s="33">
        <v>34.7</v>
      </c>
      <c r="U190" s="33">
        <v>99.98</v>
      </c>
      <c r="V190" s="33">
        <v>50.15</v>
      </c>
      <c r="W190" s="33">
        <v>89.64</v>
      </c>
      <c r="X190" s="33">
        <v>97.43</v>
      </c>
      <c r="Y190" s="33">
        <v>74.95</v>
      </c>
      <c r="Z190" s="33">
        <v>47.77</v>
      </c>
      <c r="AA190" s="33">
        <v>62.06</v>
      </c>
      <c r="AB190" s="33">
        <v>52.18</v>
      </c>
      <c r="AC190" s="33">
        <v>68.44</v>
      </c>
      <c r="AD190" s="33">
        <v>64.03</v>
      </c>
      <c r="AE190" s="33">
        <v>54.19</v>
      </c>
      <c r="AF190" s="33">
        <v>48.46</v>
      </c>
      <c r="AG190" s="33">
        <v>98.05</v>
      </c>
      <c r="AH190" s="33">
        <v>63.63</v>
      </c>
      <c r="AI190" s="33">
        <v>96.16</v>
      </c>
      <c r="AJ190" s="33">
        <v>96.53</v>
      </c>
      <c r="AK190" s="32"/>
      <c r="AL190" s="34">
        <f>SUM(G190:AK190)</f>
      </c>
      <c r="AM190" s="35"/>
    </row>
    <row r="191" ht="13.5" customHeight="1" spans="2:39" x14ac:dyDescent="0.25">
      <c r="B191" s="48" t="s">
        <v>3</v>
      </c>
      <c r="C191" s="49" t="s">
        <v>2223</v>
      </c>
      <c r="D191" s="50" t="s">
        <v>42</v>
      </c>
      <c r="E191" s="32" t="s">
        <v>3</v>
      </c>
      <c r="F191" s="32" t="s">
        <v>2401</v>
      </c>
      <c r="G191" s="32"/>
      <c r="H191" s="32"/>
      <c r="I191" s="32"/>
      <c r="J191" s="33">
        <v>70.96</v>
      </c>
      <c r="K191" s="33">
        <v>63.88</v>
      </c>
      <c r="L191" s="33">
        <v>69.66</v>
      </c>
      <c r="M191" s="33">
        <v>70.67</v>
      </c>
      <c r="N191" s="33">
        <v>93.59</v>
      </c>
      <c r="O191" s="33">
        <v>103.96</v>
      </c>
      <c r="P191" s="33">
        <v>26.85</v>
      </c>
      <c r="Q191" s="33">
        <v>26.85</v>
      </c>
      <c r="R191" s="33">
        <v>26.85</v>
      </c>
      <c r="S191" s="33">
        <v>26.85</v>
      </c>
      <c r="T191" s="33">
        <v>32.77</v>
      </c>
      <c r="U191" s="33">
        <v>33.24</v>
      </c>
      <c r="V191" s="33">
        <v>33.76</v>
      </c>
      <c r="W191" s="33">
        <v>35.98</v>
      </c>
      <c r="X191" s="33">
        <v>31.85</v>
      </c>
      <c r="Y191" s="33">
        <v>52.42</v>
      </c>
      <c r="Z191" s="33">
        <v>34.55</v>
      </c>
      <c r="AA191" s="33">
        <v>31.56</v>
      </c>
      <c r="AB191" s="33">
        <v>30.08</v>
      </c>
      <c r="AC191" s="33">
        <v>26.85</v>
      </c>
      <c r="AD191" s="33">
        <v>26.85</v>
      </c>
      <c r="AE191" s="33">
        <v>26.87</v>
      </c>
      <c r="AF191" s="33">
        <v>26.87</v>
      </c>
      <c r="AG191" s="33">
        <v>28.52</v>
      </c>
      <c r="AH191" s="33">
        <v>51.76</v>
      </c>
      <c r="AI191" s="33">
        <v>75.23</v>
      </c>
      <c r="AJ191" s="33">
        <v>93.51</v>
      </c>
      <c r="AK191" s="32"/>
      <c r="AL191" s="34">
        <f>SUM(G191:AK191)</f>
      </c>
      <c r="AM191" s="35"/>
    </row>
    <row r="192" ht="13.5" customHeight="1" spans="2:39" x14ac:dyDescent="0.25">
      <c r="B192" s="48" t="s">
        <v>3</v>
      </c>
      <c r="C192" s="49" t="s">
        <v>2223</v>
      </c>
      <c r="D192" s="50" t="s">
        <v>42</v>
      </c>
      <c r="E192" s="32" t="s">
        <v>3</v>
      </c>
      <c r="F192" s="32" t="s">
        <v>2402</v>
      </c>
      <c r="G192" s="32"/>
      <c r="H192" s="32"/>
      <c r="I192" s="32"/>
      <c r="J192" s="33">
        <v>198.52</v>
      </c>
      <c r="K192" s="33">
        <v>158.82</v>
      </c>
      <c r="L192" s="33">
        <v>101.92</v>
      </c>
      <c r="M192" s="33">
        <v>110.53</v>
      </c>
      <c r="N192" s="33">
        <v>119.55</v>
      </c>
      <c r="O192" s="33">
        <v>159.65</v>
      </c>
      <c r="P192" s="33">
        <v>26.85</v>
      </c>
      <c r="Q192" s="33">
        <v>26.85</v>
      </c>
      <c r="R192" s="33">
        <v>26.85</v>
      </c>
      <c r="S192" s="33">
        <v>26.85</v>
      </c>
      <c r="T192" s="33">
        <v>26.85</v>
      </c>
      <c r="U192" s="33">
        <v>26.85</v>
      </c>
      <c r="V192" s="33">
        <v>28.89</v>
      </c>
      <c r="W192" s="33">
        <v>51.01</v>
      </c>
      <c r="X192" s="33">
        <v>59.09</v>
      </c>
      <c r="Y192" s="33">
        <v>65.47</v>
      </c>
      <c r="Z192" s="33">
        <v>72.6</v>
      </c>
      <c r="AA192" s="33">
        <v>26.85</v>
      </c>
      <c r="AB192" s="33">
        <v>26.85</v>
      </c>
      <c r="AC192" s="33">
        <v>26.85</v>
      </c>
      <c r="AD192" s="33">
        <v>26.85</v>
      </c>
      <c r="AE192" s="33">
        <v>26.87</v>
      </c>
      <c r="AF192" s="33">
        <v>26.87</v>
      </c>
      <c r="AG192" s="33">
        <v>35.74</v>
      </c>
      <c r="AH192" s="33">
        <v>33.67</v>
      </c>
      <c r="AI192" s="33">
        <v>45.58</v>
      </c>
      <c r="AJ192" s="33">
        <v>49.17</v>
      </c>
      <c r="AK192" s="32"/>
      <c r="AL192" s="34">
        <f>SUM(G192:AK192)</f>
      </c>
      <c r="AM192" s="35"/>
    </row>
    <row r="193" ht="13.5" customHeight="1" spans="2:39" x14ac:dyDescent="0.25">
      <c r="B193" s="48" t="s">
        <v>3</v>
      </c>
      <c r="C193" s="49" t="s">
        <v>2223</v>
      </c>
      <c r="D193" s="50" t="s">
        <v>42</v>
      </c>
      <c r="E193" s="32" t="s">
        <v>3</v>
      </c>
      <c r="F193" s="32" t="s">
        <v>2403</v>
      </c>
      <c r="G193" s="32"/>
      <c r="H193" s="32"/>
      <c r="I193" s="32"/>
      <c r="J193" s="33">
        <v>41.77</v>
      </c>
      <c r="K193" s="33">
        <v>48.45</v>
      </c>
      <c r="L193" s="33">
        <v>55.96</v>
      </c>
      <c r="M193" s="33">
        <v>38.67</v>
      </c>
      <c r="N193" s="33">
        <v>40.44</v>
      </c>
      <c r="O193" s="33">
        <v>76.69</v>
      </c>
      <c r="P193" s="33">
        <v>65.73</v>
      </c>
      <c r="Q193" s="33">
        <v>62.73</v>
      </c>
      <c r="R193" s="33">
        <v>31.34</v>
      </c>
      <c r="S193" s="33">
        <v>28.02</v>
      </c>
      <c r="T193" s="33">
        <v>42.65</v>
      </c>
      <c r="U193" s="33">
        <v>33.96</v>
      </c>
      <c r="V193" s="33">
        <v>50.15</v>
      </c>
      <c r="W193" s="33">
        <v>68.44</v>
      </c>
      <c r="X193" s="33">
        <v>44.39</v>
      </c>
      <c r="Y193" s="33">
        <v>50.24</v>
      </c>
      <c r="Z193" s="33">
        <v>62.71</v>
      </c>
      <c r="AA193" s="33">
        <v>80.93</v>
      </c>
      <c r="AB193" s="33">
        <v>71.57</v>
      </c>
      <c r="AC193" s="33">
        <v>102.25</v>
      </c>
      <c r="AD193" s="33">
        <v>91.22</v>
      </c>
      <c r="AE193" s="33">
        <v>33.91</v>
      </c>
      <c r="AF193" s="33">
        <v>43.53</v>
      </c>
      <c r="AG193" s="33">
        <v>52.62</v>
      </c>
      <c r="AH193" s="33">
        <v>52.29</v>
      </c>
      <c r="AI193" s="33">
        <v>71.27</v>
      </c>
      <c r="AJ193" s="33">
        <v>54.82</v>
      </c>
      <c r="AK193" s="32"/>
      <c r="AL193" s="34">
        <f>SUM(G193:AK193)</f>
      </c>
      <c r="AM193" s="35"/>
    </row>
    <row r="194" ht="13.5" customHeight="1" spans="2:39" x14ac:dyDescent="0.25">
      <c r="B194" s="48" t="s">
        <v>3</v>
      </c>
      <c r="C194" s="49" t="s">
        <v>2223</v>
      </c>
      <c r="D194" s="50" t="s">
        <v>42</v>
      </c>
      <c r="E194" s="32" t="s">
        <v>3</v>
      </c>
      <c r="F194" s="32" t="s">
        <v>2404</v>
      </c>
      <c r="G194" s="32"/>
      <c r="H194" s="32"/>
      <c r="I194" s="32"/>
      <c r="J194" s="33">
        <v>419.12</v>
      </c>
      <c r="K194" s="33">
        <v>416.12</v>
      </c>
      <c r="L194" s="33">
        <v>433.35</v>
      </c>
      <c r="M194" s="33">
        <v>484.9</v>
      </c>
      <c r="N194" s="33">
        <v>584.66</v>
      </c>
      <c r="O194" s="33">
        <v>852.76</v>
      </c>
      <c r="P194" s="33">
        <v>826.67</v>
      </c>
      <c r="Q194" s="33">
        <v>865.66</v>
      </c>
      <c r="R194" s="33">
        <f>0.00+939.41</f>
        <v>939.41</v>
      </c>
      <c r="S194" s="33">
        <v>818.29</v>
      </c>
      <c r="T194" s="33">
        <v>690.29</v>
      </c>
      <c r="U194" s="33">
        <v>545.66</v>
      </c>
      <c r="V194" s="33">
        <v>444.34</v>
      </c>
      <c r="W194" s="33">
        <v>451.33</v>
      </c>
      <c r="X194" s="33">
        <v>433.97</v>
      </c>
      <c r="Y194" s="33">
        <v>504.67</v>
      </c>
      <c r="Z194" s="33">
        <v>609.81</v>
      </c>
      <c r="AA194" s="33">
        <v>722.76</v>
      </c>
      <c r="AB194" s="33">
        <v>604.12</v>
      </c>
      <c r="AC194" s="33">
        <v>751.64</v>
      </c>
      <c r="AD194" s="33">
        <v>631.15</v>
      </c>
      <c r="AE194" s="33">
        <v>661.38</v>
      </c>
      <c r="AF194" s="33">
        <v>572.07</v>
      </c>
      <c r="AG194" s="33">
        <v>406.33</v>
      </c>
      <c r="AH194" s="33">
        <v>485.74</v>
      </c>
      <c r="AI194" s="33">
        <v>490.13</v>
      </c>
      <c r="AJ194" s="33">
        <v>449.79</v>
      </c>
      <c r="AK194" s="32"/>
      <c r="AL194" s="34">
        <f>SUM(G194:AK194)</f>
      </c>
      <c r="AM194" s="35"/>
    </row>
    <row r="195" ht="13.5" customHeight="1" spans="2:39" x14ac:dyDescent="0.25">
      <c r="B195" s="48" t="s">
        <v>3</v>
      </c>
      <c r="C195" s="49" t="s">
        <v>2223</v>
      </c>
      <c r="D195" s="50" t="s">
        <v>42</v>
      </c>
      <c r="E195" s="32" t="s">
        <v>3</v>
      </c>
      <c r="F195" s="32" t="s">
        <v>2405</v>
      </c>
      <c r="G195" s="32"/>
      <c r="H195" s="32"/>
      <c r="I195" s="32"/>
      <c r="J195" s="33">
        <v>86.91</v>
      </c>
      <c r="K195" s="33">
        <v>78.35</v>
      </c>
      <c r="L195" s="33">
        <v>101.92</v>
      </c>
      <c r="M195" s="33">
        <v>130.48</v>
      </c>
      <c r="N195" s="33">
        <v>148.6</v>
      </c>
      <c r="O195" s="33">
        <v>215.24</v>
      </c>
      <c r="P195" s="33">
        <v>28.45</v>
      </c>
      <c r="Q195" s="33">
        <v>26.85</v>
      </c>
      <c r="R195" s="33">
        <v>26.85</v>
      </c>
      <c r="S195" s="33">
        <v>26.85</v>
      </c>
      <c r="T195" s="33">
        <v>32.77</v>
      </c>
      <c r="U195" s="33">
        <v>137.97</v>
      </c>
      <c r="V195" s="33">
        <v>122.91</v>
      </c>
      <c r="W195" s="33">
        <v>91.86</v>
      </c>
      <c r="X195" s="33">
        <v>146.11</v>
      </c>
      <c r="Y195" s="33">
        <v>155.64</v>
      </c>
      <c r="Z195" s="33">
        <v>188.26</v>
      </c>
      <c r="AA195" s="33">
        <v>26.85</v>
      </c>
      <c r="AB195" s="33">
        <v>26.85</v>
      </c>
      <c r="AC195" s="33">
        <v>26.85</v>
      </c>
      <c r="AD195" s="33">
        <v>26.85</v>
      </c>
      <c r="AE195" s="33">
        <v>26.87</v>
      </c>
      <c r="AF195" s="33">
        <v>26.87</v>
      </c>
      <c r="AG195" s="33">
        <v>144.88</v>
      </c>
      <c r="AH195" s="33">
        <v>135.16</v>
      </c>
      <c r="AI195" s="33">
        <v>150.92</v>
      </c>
      <c r="AJ195" s="33">
        <v>156.58</v>
      </c>
      <c r="AK195" s="32"/>
      <c r="AL195" s="34">
        <f>SUM(G195:AK195)</f>
      </c>
      <c r="AM195" s="35"/>
    </row>
    <row r="196" ht="13.5" customHeight="1" spans="2:39" x14ac:dyDescent="0.25">
      <c r="B196" s="48" t="s">
        <v>3</v>
      </c>
      <c r="C196" s="49" t="s">
        <v>2223</v>
      </c>
      <c r="D196" s="50" t="s">
        <v>42</v>
      </c>
      <c r="E196" s="32" t="s">
        <v>3</v>
      </c>
      <c r="F196" s="32" t="s">
        <v>2406</v>
      </c>
      <c r="G196" s="32"/>
      <c r="H196" s="32"/>
      <c r="I196" s="32"/>
      <c r="J196" s="33">
        <v>117.67</v>
      </c>
      <c r="K196" s="33">
        <v>108.91</v>
      </c>
      <c r="L196" s="33">
        <v>111.27</v>
      </c>
      <c r="M196" s="33">
        <v>106.04</v>
      </c>
      <c r="N196" s="33">
        <v>75.63</v>
      </c>
      <c r="O196" s="33">
        <v>30.73</v>
      </c>
      <c r="P196" s="33">
        <v>32.07</v>
      </c>
      <c r="Q196" s="33">
        <v>38.38</v>
      </c>
      <c r="R196" s="33">
        <v>63.52</v>
      </c>
      <c r="S196" s="33">
        <v>31.88</v>
      </c>
      <c r="T196" s="33">
        <v>32.62</v>
      </c>
      <c r="U196" s="33">
        <v>83.89</v>
      </c>
      <c r="V196" s="33">
        <v>54.82</v>
      </c>
      <c r="W196" s="33">
        <v>65.84</v>
      </c>
      <c r="X196" s="33">
        <v>79.78</v>
      </c>
      <c r="Y196" s="33">
        <v>85.98</v>
      </c>
      <c r="Z196" s="33">
        <v>75.71</v>
      </c>
      <c r="AA196" s="33">
        <v>105.76</v>
      </c>
      <c r="AB196" s="33">
        <v>92.63</v>
      </c>
      <c r="AC196" s="33">
        <v>117.08</v>
      </c>
      <c r="AD196" s="33">
        <v>109</v>
      </c>
      <c r="AE196" s="33">
        <v>93.25</v>
      </c>
      <c r="AF196" s="33">
        <v>81.25</v>
      </c>
      <c r="AG196" s="33">
        <v>55.38</v>
      </c>
      <c r="AH196" s="33">
        <v>91.18</v>
      </c>
      <c r="AI196" s="33">
        <v>142.17</v>
      </c>
      <c r="AJ196" s="33">
        <v>92.31</v>
      </c>
      <c r="AK196" s="32"/>
      <c r="AL196" s="34">
        <f>SUM(G196:AK196)</f>
      </c>
      <c r="AM196" s="35"/>
    </row>
    <row r="197" ht="13.5" customHeight="1" spans="2:39" x14ac:dyDescent="0.25">
      <c r="B197" s="48" t="s">
        <v>3</v>
      </c>
      <c r="C197" s="49" t="s">
        <v>2223</v>
      </c>
      <c r="D197" s="50" t="s">
        <v>42</v>
      </c>
      <c r="E197" s="32" t="s">
        <v>3</v>
      </c>
      <c r="F197" s="32" t="s">
        <v>2407</v>
      </c>
      <c r="G197" s="32"/>
      <c r="H197" s="32"/>
      <c r="I197" s="32"/>
      <c r="J197" s="33">
        <v>29.18</v>
      </c>
      <c r="K197" s="33">
        <v>29.27</v>
      </c>
      <c r="L197" s="33">
        <v>29.56</v>
      </c>
      <c r="M197" s="33">
        <v>29.16</v>
      </c>
      <c r="N197" s="33">
        <v>28.56</v>
      </c>
      <c r="O197" s="33">
        <v>28.41</v>
      </c>
      <c r="P197" s="33">
        <v>27.98</v>
      </c>
      <c r="Q197" s="33">
        <v>27.96</v>
      </c>
      <c r="R197" s="33">
        <v>28.24</v>
      </c>
      <c r="S197" s="33">
        <v>27.98</v>
      </c>
      <c r="T197" s="33">
        <v>28.29</v>
      </c>
      <c r="U197" s="33">
        <v>28.6</v>
      </c>
      <c r="V197" s="33">
        <v>29.16</v>
      </c>
      <c r="W197" s="33">
        <v>29.45</v>
      </c>
      <c r="X197" s="33">
        <v>29.15</v>
      </c>
      <c r="Y197" s="33">
        <v>28.8</v>
      </c>
      <c r="Z197" s="33">
        <v>28.92</v>
      </c>
      <c r="AA197" s="33">
        <v>28.53</v>
      </c>
      <c r="AB197" s="33">
        <v>28.29</v>
      </c>
      <c r="AC197" s="33">
        <v>28.71</v>
      </c>
      <c r="AD197" s="33">
        <v>28.71</v>
      </c>
      <c r="AE197" s="33">
        <v>29.43</v>
      </c>
      <c r="AF197" s="33">
        <v>28.32</v>
      </c>
      <c r="AG197" s="33">
        <v>28.32</v>
      </c>
      <c r="AH197" s="33">
        <v>34.81</v>
      </c>
      <c r="AI197" s="33">
        <v>35.7</v>
      </c>
      <c r="AJ197" s="33">
        <v>35.45</v>
      </c>
      <c r="AK197" s="32"/>
      <c r="AL197" s="34">
        <f>SUM(G197:AK197)</f>
      </c>
      <c r="AM197" s="35"/>
    </row>
    <row r="198" ht="13.5" customHeight="1" spans="2:39" x14ac:dyDescent="0.25">
      <c r="B198" s="48" t="s">
        <v>3</v>
      </c>
      <c r="C198" s="49" t="s">
        <v>2223</v>
      </c>
      <c r="D198" s="50" t="s">
        <v>42</v>
      </c>
      <c r="E198" s="32" t="s">
        <v>3</v>
      </c>
      <c r="F198" s="32" t="s">
        <v>2408</v>
      </c>
      <c r="G198" s="32"/>
      <c r="H198" s="32"/>
      <c r="I198" s="32"/>
      <c r="J198" s="33">
        <v>75.31</v>
      </c>
      <c r="K198" s="33">
        <v>62.7</v>
      </c>
      <c r="L198" s="33">
        <v>72.43</v>
      </c>
      <c r="M198" s="33">
        <v>88.85</v>
      </c>
      <c r="N198" s="33">
        <v>56.4</v>
      </c>
      <c r="O198" s="33">
        <v>28.56</v>
      </c>
      <c r="P198" s="33">
        <v>36.01</v>
      </c>
      <c r="Q198" s="33">
        <v>41.49</v>
      </c>
      <c r="R198" s="33">
        <v>40.91</v>
      </c>
      <c r="S198" s="33">
        <v>26.85</v>
      </c>
      <c r="T198" s="33">
        <v>35.28</v>
      </c>
      <c r="U198" s="33">
        <v>47.43</v>
      </c>
      <c r="V198" s="33">
        <v>65.62</v>
      </c>
      <c r="W198" s="33">
        <v>71.44</v>
      </c>
      <c r="X198" s="33">
        <v>81.85</v>
      </c>
      <c r="Y198" s="33">
        <v>92.36</v>
      </c>
      <c r="Z198" s="33">
        <v>62.97</v>
      </c>
      <c r="AA198" s="33">
        <v>64.03</v>
      </c>
      <c r="AB198" s="33">
        <v>49.46</v>
      </c>
      <c r="AC198" s="33">
        <v>153.53</v>
      </c>
      <c r="AD198" s="33">
        <v>91.46</v>
      </c>
      <c r="AE198" s="33">
        <v>35.98</v>
      </c>
      <c r="AF198" s="33">
        <v>33.15</v>
      </c>
      <c r="AG198" s="33">
        <v>49.76</v>
      </c>
      <c r="AH198" s="33">
        <v>85.88</v>
      </c>
      <c r="AI198" s="33">
        <v>86.01</v>
      </c>
      <c r="AJ198" s="33">
        <v>87.3</v>
      </c>
      <c r="AK198" s="32"/>
      <c r="AL198" s="34">
        <f>SUM(G198:AK198)</f>
      </c>
      <c r="AM198" s="35"/>
    </row>
    <row r="199" ht="13.5" customHeight="1" spans="2:39" x14ac:dyDescent="0.25">
      <c r="B199" s="48" t="s">
        <v>3</v>
      </c>
      <c r="C199" s="49" t="s">
        <v>2223</v>
      </c>
      <c r="D199" s="50" t="s">
        <v>42</v>
      </c>
      <c r="E199" s="32" t="s">
        <v>3</v>
      </c>
      <c r="F199" s="32" t="s">
        <v>2409</v>
      </c>
      <c r="G199" s="32"/>
      <c r="H199" s="32"/>
      <c r="I199" s="32"/>
      <c r="J199" s="33">
        <v>52.69</v>
      </c>
      <c r="K199" s="33">
        <v>46.61</v>
      </c>
      <c r="L199" s="33">
        <v>41.98</v>
      </c>
      <c r="M199" s="33">
        <v>56.47</v>
      </c>
      <c r="N199" s="33">
        <v>77.62</v>
      </c>
      <c r="O199" s="33">
        <v>26.85</v>
      </c>
      <c r="P199" s="33">
        <v>26.85</v>
      </c>
      <c r="Q199" s="33">
        <v>26.85</v>
      </c>
      <c r="R199" s="33">
        <v>26.85</v>
      </c>
      <c r="S199" s="33">
        <v>26.85</v>
      </c>
      <c r="T199" s="33">
        <v>26.85</v>
      </c>
      <c r="U199" s="33">
        <v>36.57</v>
      </c>
      <c r="V199" s="33">
        <v>51.96</v>
      </c>
      <c r="W199" s="33">
        <v>53.9</v>
      </c>
      <c r="X199" s="33">
        <v>46.74</v>
      </c>
      <c r="Y199" s="33">
        <v>52.71</v>
      </c>
      <c r="Z199" s="33">
        <v>31.89</v>
      </c>
      <c r="AA199" s="33">
        <v>114.85</v>
      </c>
      <c r="AB199" s="33">
        <v>144.6</v>
      </c>
      <c r="AC199" s="33">
        <v>170.82</v>
      </c>
      <c r="AD199" s="33">
        <v>166.87</v>
      </c>
      <c r="AE199" s="33">
        <v>156.26</v>
      </c>
      <c r="AF199" s="33">
        <v>116.42</v>
      </c>
      <c r="AG199" s="33">
        <v>75.79</v>
      </c>
      <c r="AH199" s="33">
        <v>88.12</v>
      </c>
      <c r="AI199" s="33">
        <v>81.68</v>
      </c>
      <c r="AJ199" s="33">
        <v>70.08</v>
      </c>
      <c r="AK199" s="32"/>
      <c r="AL199" s="34">
        <f>SUM(G199:AK199)</f>
      </c>
      <c r="AM199" s="35"/>
    </row>
    <row r="200" ht="13.5" customHeight="1" spans="2:39" x14ac:dyDescent="0.25">
      <c r="B200" s="48" t="s">
        <v>3</v>
      </c>
      <c r="C200" s="49" t="s">
        <v>2223</v>
      </c>
      <c r="D200" s="50" t="s">
        <v>42</v>
      </c>
      <c r="E200" s="32" t="s">
        <v>3</v>
      </c>
      <c r="F200" s="32" t="s">
        <v>2410</v>
      </c>
      <c r="G200" s="32"/>
      <c r="H200" s="32"/>
      <c r="I200" s="32"/>
      <c r="J200" s="33">
        <v>34.04</v>
      </c>
      <c r="K200" s="33">
        <v>74.12</v>
      </c>
      <c r="L200" s="33">
        <v>114.43</v>
      </c>
      <c r="M200" s="33">
        <v>107.92</v>
      </c>
      <c r="N200" s="33">
        <v>44.39</v>
      </c>
      <c r="O200" s="33">
        <v>31.51</v>
      </c>
      <c r="P200" s="33">
        <v>69.92</v>
      </c>
      <c r="Q200" s="33">
        <v>115.08</v>
      </c>
      <c r="R200" s="33">
        <v>106.98</v>
      </c>
      <c r="S200" s="33">
        <v>101.17</v>
      </c>
      <c r="T200" s="33">
        <v>55.95</v>
      </c>
      <c r="U200" s="33">
        <v>51.63</v>
      </c>
      <c r="V200" s="33">
        <v>50.93</v>
      </c>
      <c r="W200" s="33">
        <v>97.69</v>
      </c>
      <c r="X200" s="33">
        <v>105.24</v>
      </c>
      <c r="Y200" s="33">
        <v>108.24</v>
      </c>
      <c r="Z200" s="33">
        <v>85.98</v>
      </c>
      <c r="AA200" s="33">
        <v>26.85</v>
      </c>
      <c r="AB200" s="33">
        <v>37.73</v>
      </c>
      <c r="AC200" s="33">
        <v>26.85</v>
      </c>
      <c r="AD200" s="33">
        <v>26.85</v>
      </c>
      <c r="AE200" s="33">
        <v>26.87</v>
      </c>
      <c r="AF200" s="33">
        <v>26.87</v>
      </c>
      <c r="AG200" s="33">
        <v>27.51</v>
      </c>
      <c r="AH200" s="33">
        <v>41.94</v>
      </c>
      <c r="AI200" s="33">
        <v>91.18</v>
      </c>
      <c r="AJ200" s="33">
        <v>124.27</v>
      </c>
      <c r="AK200" s="32"/>
      <c r="AL200" s="34">
        <f>SUM(G200:AK200)</f>
      </c>
      <c r="AM200" s="35"/>
    </row>
    <row r="201" ht="13.5" customHeight="1" spans="2:39" x14ac:dyDescent="0.25">
      <c r="B201" s="48" t="s">
        <v>3</v>
      </c>
      <c r="C201" s="49" t="s">
        <v>2223</v>
      </c>
      <c r="D201" s="50" t="s">
        <v>42</v>
      </c>
      <c r="E201" s="32" t="s">
        <v>3</v>
      </c>
      <c r="F201" s="32" t="s">
        <v>2411</v>
      </c>
      <c r="G201" s="32"/>
      <c r="H201" s="32"/>
      <c r="I201" s="32"/>
      <c r="J201" s="33">
        <v>42.96</v>
      </c>
      <c r="K201" s="33">
        <v>55.43</v>
      </c>
      <c r="L201" s="33">
        <v>74.4</v>
      </c>
      <c r="M201" s="33">
        <v>81.02</v>
      </c>
      <c r="N201" s="33">
        <v>67.6</v>
      </c>
      <c r="O201" s="33">
        <v>125.88</v>
      </c>
      <c r="P201" s="33">
        <v>138.39</v>
      </c>
      <c r="Q201" s="33">
        <v>148.24</v>
      </c>
      <c r="R201" s="33">
        <v>51.96</v>
      </c>
      <c r="S201" s="33">
        <v>26.85</v>
      </c>
      <c r="T201" s="33">
        <v>27.72</v>
      </c>
      <c r="U201" s="33">
        <v>59.18</v>
      </c>
      <c r="V201" s="33">
        <v>52.47</v>
      </c>
      <c r="W201" s="33">
        <v>84.18</v>
      </c>
      <c r="X201" s="33">
        <v>66.22</v>
      </c>
      <c r="Y201" s="33">
        <v>46.98</v>
      </c>
      <c r="Z201" s="33">
        <v>42.84</v>
      </c>
      <c r="AA201" s="33">
        <v>26.85</v>
      </c>
      <c r="AB201" s="33">
        <v>26.85</v>
      </c>
      <c r="AC201" s="33">
        <v>26.85</v>
      </c>
      <c r="AD201" s="33">
        <v>26.85</v>
      </c>
      <c r="AE201" s="33">
        <v>26.87</v>
      </c>
      <c r="AF201" s="33">
        <v>121.61</v>
      </c>
      <c r="AG201" s="33">
        <v>89.2</v>
      </c>
      <c r="AH201" s="33">
        <v>109.46</v>
      </c>
      <c r="AI201" s="33">
        <v>98.67</v>
      </c>
      <c r="AJ201" s="33">
        <v>96.91</v>
      </c>
      <c r="AK201" s="32"/>
      <c r="AL201" s="34">
        <f>SUM(G201:AK201)</f>
      </c>
      <c r="AM201" s="35"/>
    </row>
    <row r="202" ht="13.5" customHeight="1" spans="2:39" x14ac:dyDescent="0.25">
      <c r="B202" s="48" t="s">
        <v>3</v>
      </c>
      <c r="C202" s="49" t="s">
        <v>2223</v>
      </c>
      <c r="D202" s="50" t="s">
        <v>42</v>
      </c>
      <c r="E202" s="32" t="s">
        <v>3</v>
      </c>
      <c r="F202" s="32" t="s">
        <v>2412</v>
      </c>
      <c r="G202" s="32"/>
      <c r="H202" s="32"/>
      <c r="I202" s="32"/>
      <c r="J202" s="33">
        <v>31.86</v>
      </c>
      <c r="K202" s="33">
        <v>75.32</v>
      </c>
      <c r="L202" s="33">
        <v>90.2</v>
      </c>
      <c r="M202" s="33">
        <v>117.78</v>
      </c>
      <c r="N202" s="33">
        <v>43.95</v>
      </c>
      <c r="O202" s="33">
        <v>28.49</v>
      </c>
      <c r="P202" s="33">
        <v>26.85</v>
      </c>
      <c r="Q202" s="33">
        <v>26.85</v>
      </c>
      <c r="R202" s="33">
        <v>26.85</v>
      </c>
      <c r="S202" s="33">
        <v>26.85</v>
      </c>
      <c r="T202" s="33">
        <v>26.85</v>
      </c>
      <c r="U202" s="33">
        <v>26.85</v>
      </c>
      <c r="V202" s="33">
        <v>32.67</v>
      </c>
      <c r="W202" s="33">
        <v>89.39</v>
      </c>
      <c r="X202" s="33">
        <v>61.03</v>
      </c>
      <c r="Y202" s="33">
        <v>48.28</v>
      </c>
      <c r="Z202" s="33">
        <v>30.41</v>
      </c>
      <c r="AA202" s="33">
        <v>30.84</v>
      </c>
      <c r="AB202" s="33">
        <v>26.85</v>
      </c>
      <c r="AC202" s="33">
        <v>26.85</v>
      </c>
      <c r="AD202" s="33">
        <v>26.85</v>
      </c>
      <c r="AE202" s="33">
        <v>26.87</v>
      </c>
      <c r="AF202" s="33">
        <v>26.87</v>
      </c>
      <c r="AG202" s="33">
        <v>26.87</v>
      </c>
      <c r="AH202" s="33">
        <v>33.67</v>
      </c>
      <c r="AI202" s="33">
        <v>38.35</v>
      </c>
      <c r="AJ202" s="33">
        <v>75.21</v>
      </c>
      <c r="AK202" s="32"/>
      <c r="AL202" s="34">
        <f>SUM(G202:AK202)</f>
      </c>
      <c r="AM202" s="35"/>
    </row>
    <row r="203" ht="13.5" customHeight="1" spans="2:39" x14ac:dyDescent="0.25">
      <c r="B203" s="48" t="s">
        <v>3</v>
      </c>
      <c r="C203" s="49" t="s">
        <v>2223</v>
      </c>
      <c r="D203" s="50" t="s">
        <v>42</v>
      </c>
      <c r="E203" s="32" t="s">
        <v>3</v>
      </c>
      <c r="F203" s="32" t="s">
        <v>2413</v>
      </c>
      <c r="G203" s="32"/>
      <c r="H203" s="32"/>
      <c r="I203" s="32"/>
      <c r="J203" s="33">
        <v>33.19</v>
      </c>
      <c r="K203" s="33">
        <v>67.02</v>
      </c>
      <c r="L203" s="33">
        <v>82.82</v>
      </c>
      <c r="M203" s="33">
        <v>85.51</v>
      </c>
      <c r="N203" s="33">
        <v>51.04</v>
      </c>
      <c r="O203" s="33">
        <v>37.88</v>
      </c>
      <c r="P203" s="33">
        <v>27.7</v>
      </c>
      <c r="Q203" s="33">
        <v>31.14</v>
      </c>
      <c r="R203" s="33">
        <v>131.76</v>
      </c>
      <c r="S203" s="33">
        <v>177.04</v>
      </c>
      <c r="T203" s="33">
        <v>123.89</v>
      </c>
      <c r="U203" s="33">
        <v>110.24</v>
      </c>
      <c r="V203" s="33">
        <v>111.61</v>
      </c>
      <c r="W203" s="33">
        <v>92.63</v>
      </c>
      <c r="X203" s="33">
        <v>97.43</v>
      </c>
      <c r="Y203" s="33">
        <v>108.74</v>
      </c>
      <c r="Z203" s="33">
        <v>64.94</v>
      </c>
      <c r="AA203" s="33">
        <v>27.96</v>
      </c>
      <c r="AB203" s="33">
        <v>30.62</v>
      </c>
      <c r="AC203" s="33">
        <v>264.17</v>
      </c>
      <c r="AD203" s="33">
        <v>212.79</v>
      </c>
      <c r="AE203" s="33">
        <v>94.27</v>
      </c>
      <c r="AF203" s="33">
        <v>28.09</v>
      </c>
      <c r="AG203" s="33">
        <v>62.77</v>
      </c>
      <c r="AH203" s="33">
        <v>93.4</v>
      </c>
      <c r="AI203" s="33">
        <v>98.02</v>
      </c>
      <c r="AJ203" s="33">
        <v>92.96</v>
      </c>
      <c r="AK203" s="32"/>
      <c r="AL203" s="34">
        <f>SUM(G203:AK203)</f>
      </c>
      <c r="AM203" s="35"/>
    </row>
    <row r="204" ht="13.5" customHeight="1" spans="2:39" x14ac:dyDescent="0.25">
      <c r="B204" s="48" t="s">
        <v>3</v>
      </c>
      <c r="C204" s="49" t="s">
        <v>2223</v>
      </c>
      <c r="D204" s="50" t="s">
        <v>42</v>
      </c>
      <c r="E204" s="32" t="s">
        <v>3</v>
      </c>
      <c r="F204" s="32" t="s">
        <v>2414</v>
      </c>
      <c r="G204" s="32"/>
      <c r="H204" s="32"/>
      <c r="I204" s="32"/>
      <c r="J204" s="33">
        <v>33.53</v>
      </c>
      <c r="K204" s="33">
        <v>32.11</v>
      </c>
      <c r="L204" s="33">
        <v>42.38</v>
      </c>
      <c r="M204" s="33">
        <v>34.94</v>
      </c>
      <c r="N204" s="33">
        <v>32.38</v>
      </c>
      <c r="O204" s="33">
        <v>26.85</v>
      </c>
      <c r="P204" s="33">
        <v>26.85</v>
      </c>
      <c r="Q204" s="33">
        <v>26.85</v>
      </c>
      <c r="R204" s="33">
        <v>26.85</v>
      </c>
      <c r="S204" s="33">
        <v>26.85</v>
      </c>
      <c r="T204" s="33">
        <v>26.85</v>
      </c>
      <c r="U204" s="33">
        <v>27.53</v>
      </c>
      <c r="V204" s="33">
        <v>34.61</v>
      </c>
      <c r="W204" s="33">
        <v>38.67</v>
      </c>
      <c r="X204" s="33">
        <v>54.14</v>
      </c>
      <c r="Y204" s="33">
        <v>53.9</v>
      </c>
      <c r="Z204" s="33">
        <v>37.27</v>
      </c>
      <c r="AA204" s="33">
        <v>26.85</v>
      </c>
      <c r="AB204" s="33">
        <v>26.85</v>
      </c>
      <c r="AC204" s="33">
        <v>26.85</v>
      </c>
      <c r="AD204" s="33">
        <v>26.85</v>
      </c>
      <c r="AE204" s="33">
        <v>26.87</v>
      </c>
      <c r="AF204" s="33">
        <v>26.87</v>
      </c>
      <c r="AG204" s="33">
        <v>58.51</v>
      </c>
      <c r="AH204" s="33">
        <v>70.21</v>
      </c>
      <c r="AI204" s="33">
        <v>48.62</v>
      </c>
      <c r="AJ204" s="33">
        <v>59.02</v>
      </c>
      <c r="AK204" s="32"/>
      <c r="AL204" s="34">
        <f>SUM(G204:AK204)</f>
      </c>
      <c r="AM204" s="35"/>
    </row>
    <row r="205" ht="13.5" customHeight="1" spans="2:39" x14ac:dyDescent="0.25">
      <c r="B205" s="48" t="s">
        <v>3</v>
      </c>
      <c r="C205" s="49" t="s">
        <v>2223</v>
      </c>
      <c r="D205" s="50" t="s">
        <v>42</v>
      </c>
      <c r="E205" s="32" t="s">
        <v>3</v>
      </c>
      <c r="F205" s="32" t="s">
        <v>2415</v>
      </c>
      <c r="G205" s="32"/>
      <c r="H205" s="32"/>
      <c r="I205" s="32"/>
      <c r="J205" s="33">
        <v>106.9</v>
      </c>
      <c r="K205" s="33">
        <v>102.45</v>
      </c>
      <c r="L205" s="33">
        <v>117.85</v>
      </c>
      <c r="M205" s="33">
        <v>125.01</v>
      </c>
      <c r="N205" s="33">
        <v>137.56</v>
      </c>
      <c r="O205" s="33">
        <v>222.71</v>
      </c>
      <c r="P205" s="33">
        <v>188.47</v>
      </c>
      <c r="Q205" s="33">
        <v>205.46</v>
      </c>
      <c r="R205" s="33">
        <v>220.37</v>
      </c>
      <c r="S205" s="33">
        <v>189.04</v>
      </c>
      <c r="T205" s="33">
        <v>98.36</v>
      </c>
      <c r="U205" s="33">
        <v>121.9</v>
      </c>
      <c r="V205" s="33">
        <v>119.4</v>
      </c>
      <c r="W205" s="33">
        <v>138.14</v>
      </c>
      <c r="X205" s="33">
        <v>125.79</v>
      </c>
      <c r="Y205" s="33">
        <v>143.54</v>
      </c>
      <c r="Z205" s="33">
        <v>185.81</v>
      </c>
      <c r="AA205" s="33">
        <v>240.83</v>
      </c>
      <c r="AB205" s="33">
        <v>225.84</v>
      </c>
      <c r="AC205" s="33">
        <v>292.84</v>
      </c>
      <c r="AD205" s="33">
        <v>234.92</v>
      </c>
      <c r="AE205" s="33">
        <v>200.87</v>
      </c>
      <c r="AF205" s="33">
        <v>177.19</v>
      </c>
      <c r="AG205" s="33">
        <v>119.26</v>
      </c>
      <c r="AH205" s="33">
        <v>108.03</v>
      </c>
      <c r="AI205" s="33">
        <v>145.23</v>
      </c>
      <c r="AJ205" s="33">
        <v>142.54</v>
      </c>
      <c r="AK205" s="32"/>
      <c r="AL205" s="34">
        <f>SUM(G205:AK205)</f>
      </c>
      <c r="AM205" s="35"/>
    </row>
    <row r="206" ht="13.5" customHeight="1" spans="2:39" x14ac:dyDescent="0.25">
      <c r="B206" s="48" t="s">
        <v>3</v>
      </c>
      <c r="C206" s="49" t="s">
        <v>2223</v>
      </c>
      <c r="D206" s="50" t="s">
        <v>42</v>
      </c>
      <c r="E206" s="32" t="s">
        <v>3</v>
      </c>
      <c r="F206" s="32" t="s">
        <v>2416</v>
      </c>
      <c r="G206" s="32"/>
      <c r="H206" s="32"/>
      <c r="I206" s="32"/>
      <c r="J206" s="33">
        <v>40.85</v>
      </c>
      <c r="K206" s="33">
        <v>101.77</v>
      </c>
      <c r="L206" s="33">
        <v>111.02</v>
      </c>
      <c r="M206" s="33">
        <v>120.13</v>
      </c>
      <c r="N206" s="33">
        <v>103.61</v>
      </c>
      <c r="O206" s="33">
        <v>90.42</v>
      </c>
      <c r="P206" s="33">
        <v>74.82</v>
      </c>
      <c r="Q206" s="33">
        <v>82.47</v>
      </c>
      <c r="R206" s="33">
        <v>79.83</v>
      </c>
      <c r="S206" s="33">
        <v>26.85</v>
      </c>
      <c r="T206" s="33">
        <v>26.85</v>
      </c>
      <c r="U206" s="33">
        <v>26.85</v>
      </c>
      <c r="V206" s="33">
        <v>26.85</v>
      </c>
      <c r="W206" s="33">
        <v>65.47</v>
      </c>
      <c r="X206" s="33">
        <v>94.86</v>
      </c>
      <c r="Y206" s="33">
        <v>78.45</v>
      </c>
      <c r="Z206" s="33">
        <v>27.59</v>
      </c>
      <c r="AA206" s="33">
        <v>26.85</v>
      </c>
      <c r="AB206" s="33">
        <v>26.85</v>
      </c>
      <c r="AC206" s="33">
        <v>26.85</v>
      </c>
      <c r="AD206" s="33">
        <v>26.85</v>
      </c>
      <c r="AE206" s="33">
        <v>26.87</v>
      </c>
      <c r="AF206" s="33">
        <v>26.87</v>
      </c>
      <c r="AG206" s="33">
        <v>31.83</v>
      </c>
      <c r="AH206" s="33">
        <v>37.27</v>
      </c>
      <c r="AI206" s="33">
        <v>109.21</v>
      </c>
      <c r="AJ206" s="33">
        <v>98.48</v>
      </c>
      <c r="AK206" s="32"/>
      <c r="AL206" s="34">
        <f>SUM(G206:AK206)</f>
      </c>
      <c r="AM206" s="35"/>
    </row>
    <row r="207" ht="13.5" customHeight="1" spans="2:39" x14ac:dyDescent="0.25">
      <c r="B207" s="48" t="s">
        <v>3</v>
      </c>
      <c r="C207" s="49" t="s">
        <v>2223</v>
      </c>
      <c r="D207" s="50" t="s">
        <v>42</v>
      </c>
      <c r="E207" s="32" t="s">
        <v>3</v>
      </c>
      <c r="F207" s="32" t="s">
        <v>2417</v>
      </c>
      <c r="G207" s="32"/>
      <c r="H207" s="32"/>
      <c r="I207" s="32"/>
      <c r="J207" s="33">
        <v>46.75</v>
      </c>
      <c r="K207" s="33">
        <v>228.05</v>
      </c>
      <c r="L207" s="33">
        <v>256.39</v>
      </c>
      <c r="M207" s="33">
        <v>64.96</v>
      </c>
      <c r="N207" s="33">
        <v>60.61</v>
      </c>
      <c r="O207" s="33">
        <v>30.91</v>
      </c>
      <c r="P207" s="33">
        <v>26.85</v>
      </c>
      <c r="Q207" s="33">
        <v>26.85</v>
      </c>
      <c r="R207" s="33">
        <v>26.85</v>
      </c>
      <c r="S207" s="33">
        <v>78.42</v>
      </c>
      <c r="T207" s="33">
        <v>94.97</v>
      </c>
      <c r="U207" s="33">
        <v>79.83</v>
      </c>
      <c r="V207" s="33">
        <v>61.59</v>
      </c>
      <c r="W207" s="33">
        <v>54.91</v>
      </c>
      <c r="X207" s="33">
        <v>58.04</v>
      </c>
      <c r="Y207" s="33">
        <v>26.85</v>
      </c>
      <c r="Z207" s="33">
        <v>26.85</v>
      </c>
      <c r="AA207" s="33">
        <v>26.85</v>
      </c>
      <c r="AB207" s="33">
        <v>26.85</v>
      </c>
      <c r="AC207" s="33">
        <v>26.85</v>
      </c>
      <c r="AD207" s="33">
        <v>26.85</v>
      </c>
      <c r="AE207" s="33">
        <v>26.87</v>
      </c>
      <c r="AF207" s="33">
        <v>26.87</v>
      </c>
      <c r="AG207" s="33">
        <v>26.87</v>
      </c>
      <c r="AH207" s="33">
        <v>34.09</v>
      </c>
      <c r="AI207" s="33">
        <v>81.82</v>
      </c>
      <c r="AJ207" s="33">
        <v>119.01</v>
      </c>
      <c r="AK207" s="32"/>
      <c r="AL207" s="34">
        <f>SUM(G207:AK207)</f>
      </c>
      <c r="AM207" s="35"/>
    </row>
    <row r="208" ht="13.5" customHeight="1" spans="2:39" x14ac:dyDescent="0.25">
      <c r="B208" s="48" t="s">
        <v>3</v>
      </c>
      <c r="C208" s="49" t="s">
        <v>2223</v>
      </c>
      <c r="D208" s="50" t="s">
        <v>42</v>
      </c>
      <c r="E208" s="32" t="s">
        <v>3</v>
      </c>
      <c r="F208" s="32" t="s">
        <v>2418</v>
      </c>
      <c r="G208" s="32"/>
      <c r="H208" s="32"/>
      <c r="I208" s="32"/>
      <c r="J208" s="33">
        <v>95.97</v>
      </c>
      <c r="K208" s="33">
        <v>107.32</v>
      </c>
      <c r="L208" s="33">
        <v>99.03</v>
      </c>
      <c r="M208" s="33">
        <v>139.36</v>
      </c>
      <c r="N208" s="33">
        <v>130.37</v>
      </c>
      <c r="O208" s="33">
        <v>228.35</v>
      </c>
      <c r="P208" s="33">
        <v>195.25</v>
      </c>
      <c r="Q208" s="33">
        <v>190.89</v>
      </c>
      <c r="R208" s="33">
        <v>229.88</v>
      </c>
      <c r="S208" s="33">
        <v>217.46</v>
      </c>
      <c r="T208" s="33">
        <v>111.54</v>
      </c>
      <c r="U208" s="33">
        <v>105.1</v>
      </c>
      <c r="V208" s="33">
        <v>68.33</v>
      </c>
      <c r="W208" s="33">
        <v>81.72</v>
      </c>
      <c r="X208" s="33">
        <v>131.77</v>
      </c>
      <c r="Y208" s="33">
        <v>116.44</v>
      </c>
      <c r="Z208" s="33">
        <v>88.98</v>
      </c>
      <c r="AA208" s="33">
        <v>193.84</v>
      </c>
      <c r="AB208" s="33">
        <v>138.14</v>
      </c>
      <c r="AC208" s="33">
        <v>135.4</v>
      </c>
      <c r="AD208" s="33">
        <v>166.11</v>
      </c>
      <c r="AE208" s="33">
        <v>185.55</v>
      </c>
      <c r="AF208" s="33">
        <v>113.94</v>
      </c>
      <c r="AG208" s="33">
        <v>37.88</v>
      </c>
      <c r="AH208" s="33">
        <v>58.36</v>
      </c>
      <c r="AI208" s="33">
        <v>93.81</v>
      </c>
      <c r="AJ208" s="33">
        <v>92.16</v>
      </c>
      <c r="AK208" s="32"/>
      <c r="AL208" s="34">
        <f>SUM(G208:AK208)</f>
      </c>
      <c r="AM208" s="35"/>
    </row>
    <row r="209" ht="13.5" customHeight="1" spans="2:39" x14ac:dyDescent="0.25">
      <c r="B209" s="48" t="s">
        <v>3</v>
      </c>
      <c r="C209" s="49" t="s">
        <v>2223</v>
      </c>
      <c r="D209" s="50" t="s">
        <v>42</v>
      </c>
      <c r="E209" s="32" t="s">
        <v>3</v>
      </c>
      <c r="F209" s="32" t="s">
        <v>2419</v>
      </c>
      <c r="G209" s="32"/>
      <c r="H209" s="32"/>
      <c r="I209" s="32"/>
      <c r="J209" s="33">
        <v>96.91</v>
      </c>
      <c r="K209" s="33">
        <v>111.8</v>
      </c>
      <c r="L209" s="33">
        <v>96.01</v>
      </c>
      <c r="M209" s="33">
        <v>162.31</v>
      </c>
      <c r="N209" s="33">
        <v>135.63</v>
      </c>
      <c r="O209" s="33">
        <v>26.85</v>
      </c>
      <c r="P209" s="33">
        <v>26.85</v>
      </c>
      <c r="Q209" s="33">
        <v>26.85</v>
      </c>
      <c r="R209" s="33">
        <v>26.85</v>
      </c>
      <c r="S209" s="33">
        <v>26.85</v>
      </c>
      <c r="T209" s="33">
        <v>27.49</v>
      </c>
      <c r="U209" s="33">
        <v>144.73</v>
      </c>
      <c r="V209" s="33">
        <v>80.29</v>
      </c>
      <c r="W209" s="33">
        <v>102.25</v>
      </c>
      <c r="X209" s="33">
        <v>121.37</v>
      </c>
      <c r="Y209" s="33">
        <v>130.86</v>
      </c>
      <c r="Z209" s="33">
        <v>87.95</v>
      </c>
      <c r="AA209" s="33">
        <v>26.85</v>
      </c>
      <c r="AB209" s="33">
        <v>26.85</v>
      </c>
      <c r="AC209" s="33">
        <v>26.85</v>
      </c>
      <c r="AD209" s="33">
        <v>26.85</v>
      </c>
      <c r="AE209" s="33">
        <v>102.1</v>
      </c>
      <c r="AF209" s="33">
        <v>99.22</v>
      </c>
      <c r="AG209" s="33">
        <v>77.23</v>
      </c>
      <c r="AH209" s="33">
        <v>57.55</v>
      </c>
      <c r="AI209" s="33">
        <v>94.08</v>
      </c>
      <c r="AJ209" s="33">
        <v>88.89</v>
      </c>
      <c r="AK209" s="32"/>
      <c r="AL209" s="34">
        <f>SUM(G209:AK209)</f>
      </c>
      <c r="AM209" s="35"/>
    </row>
    <row r="210" ht="13.5" customHeight="1" spans="2:39" x14ac:dyDescent="0.25">
      <c r="B210" s="51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40"/>
    </row>
    <row r="211" ht="13.5" customHeight="1" spans="2:39" x14ac:dyDescent="0.25">
      <c r="B211" s="20"/>
      <c r="C211" s="21"/>
      <c r="D211" s="21" t="s">
        <v>85</v>
      </c>
      <c r="E211" s="21"/>
      <c r="F211" s="21"/>
      <c r="G211" s="22">
        <f>SUM(G15:G209)</f>
      </c>
      <c r="H211" s="22">
        <f>SUM(H15:H209)</f>
      </c>
      <c r="I211" s="22">
        <f>SUM(I15:I209)</f>
      </c>
      <c r="J211" s="22">
        <f>SUM(J15:J209)</f>
      </c>
      <c r="K211" s="22">
        <f>SUM(K15:K209)</f>
      </c>
      <c r="L211" s="22">
        <f>SUM(L15:L209)</f>
      </c>
      <c r="M211" s="22">
        <f>SUM(M15:M209)</f>
      </c>
      <c r="N211" s="22">
        <f>SUM(N15:N209)</f>
      </c>
      <c r="O211" s="22">
        <f>SUM(O15:O209)</f>
      </c>
      <c r="P211" s="22">
        <f>SUM(P15:P209)</f>
      </c>
      <c r="Q211" s="22">
        <f>SUM(Q15:Q209)</f>
      </c>
      <c r="R211" s="22">
        <f>SUM(R15:R209)</f>
      </c>
      <c r="S211" s="22">
        <f>SUM(S15:S209)</f>
      </c>
      <c r="T211" s="22">
        <f>SUM(T15:T209)</f>
      </c>
      <c r="U211" s="22">
        <f>SUM(U15:U209)</f>
      </c>
      <c r="V211" s="22">
        <f>SUM(V15:V209)</f>
      </c>
      <c r="W211" s="22">
        <f>SUM(W15:W209)</f>
      </c>
      <c r="X211" s="22">
        <f>SUM(X15:X209)</f>
      </c>
      <c r="Y211" s="22">
        <f>SUM(Y15:Y209)</f>
      </c>
      <c r="Z211" s="22">
        <f>SUM(Z15:Z209)</f>
      </c>
      <c r="AA211" s="22">
        <f>SUM(AA15:AA209)</f>
      </c>
      <c r="AB211" s="22">
        <f>SUM(AB15:AB209)</f>
      </c>
      <c r="AC211" s="22">
        <f>SUM(AC15:AC209)</f>
      </c>
      <c r="AD211" s="22">
        <f>SUM(AD15:AD209)</f>
      </c>
      <c r="AE211" s="22">
        <f>SUM(AE15:AE209)</f>
      </c>
      <c r="AF211" s="22">
        <f>SUM(AF15:AF209)</f>
      </c>
      <c r="AG211" s="22">
        <f>SUM(AG15:AG209)</f>
      </c>
      <c r="AH211" s="22">
        <f>SUM(AH15:AH209)</f>
      </c>
      <c r="AI211" s="22">
        <f>SUM(AI15:AI209)</f>
      </c>
      <c r="AJ211" s="22">
        <f>SUM(AJ15:AJ209)</f>
      </c>
      <c r="AK211" s="22">
        <f>SUM(AK15:AK209)</f>
      </c>
      <c r="AL211" s="22">
        <f>SUM(AL15:AL209)</f>
      </c>
      <c r="AM211" s="23"/>
    </row>
    <row r="213" ht="13.5" customHeight="1" spans="2:39" x14ac:dyDescent="0.25">
      <c r="B213" s="46"/>
      <c r="C213" s="28"/>
      <c r="D213" s="47" t="s">
        <v>43</v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9"/>
    </row>
    <row r="214" ht="13.5" customHeight="1" spans="2:39" x14ac:dyDescent="0.25">
      <c r="B214" s="48" t="s">
        <v>3</v>
      </c>
      <c r="C214" s="49" t="s">
        <v>2223</v>
      </c>
      <c r="D214" s="50" t="s">
        <v>43</v>
      </c>
      <c r="E214" s="32" t="s">
        <v>3</v>
      </c>
      <c r="F214" s="32" t="s">
        <v>2420</v>
      </c>
      <c r="G214" s="32"/>
      <c r="H214" s="32"/>
      <c r="I214" s="32"/>
      <c r="J214" s="32"/>
      <c r="K214" s="33">
        <f>1282.00+1518.13</f>
        <v>2800.13</v>
      </c>
      <c r="L214" s="33">
        <f>1598.40+2031.89</f>
        <v>3630.29</v>
      </c>
      <c r="M214" s="33">
        <f>2060.40+2777.21</f>
        <v>4837.610000000001</v>
      </c>
      <c r="N214" s="33">
        <f>1664.14+2138.63</f>
        <v>3802.7700000000004</v>
      </c>
      <c r="O214" s="33">
        <f>1607.51+2046.68</f>
        <v>3654.19</v>
      </c>
      <c r="P214" s="33">
        <f>1216.01+1398.91</f>
        <v>2614.92</v>
      </c>
      <c r="Q214" s="33">
        <f>922.06+912.21</f>
        <v>1834.27</v>
      </c>
      <c r="R214" s="33">
        <f>714.91+603.62</f>
        <v>1318.53</v>
      </c>
      <c r="S214" s="33">
        <f>809.44+737.02</f>
        <v>1546.46</v>
      </c>
      <c r="T214" s="33">
        <f>841.09+781.68</f>
        <v>1622.77</v>
      </c>
      <c r="U214" s="33">
        <f>1365.53+1631.90</f>
        <v>2997.4300000000003</v>
      </c>
      <c r="V214" s="33">
        <f>1731.32+2225.53</f>
        <v>3956.8500000000004</v>
      </c>
      <c r="W214" s="33">
        <f>1440.33+1753.30</f>
        <v>3193.63</v>
      </c>
      <c r="X214" s="33">
        <f>2136.15+2882.53</f>
        <v>5018.68</v>
      </c>
      <c r="Y214" s="33">
        <f>1854.21+2424.97</f>
        <v>4279.18</v>
      </c>
      <c r="Z214" s="33">
        <f>1995.89+2649.81+1558.29+1944.73</f>
        <v>8148.719999999999</v>
      </c>
      <c r="AA214" s="32"/>
      <c r="AB214" s="33">
        <f>1027.53+1077.42</f>
        <v>2104.95</v>
      </c>
      <c r="AC214" s="33">
        <f>692.28+557.51</f>
        <v>1249.79</v>
      </c>
      <c r="AD214" s="33">
        <f>1055.52+1117.21</f>
        <v>2172.73</v>
      </c>
      <c r="AE214" s="33">
        <f>793.64+706.63</f>
        <v>1500.27</v>
      </c>
      <c r="AF214" s="33">
        <f>706.49+583.70</f>
        <v>1290.19</v>
      </c>
      <c r="AG214" s="33">
        <f>1239.88+1416.41</f>
        <v>2656.29</v>
      </c>
      <c r="AH214" s="33">
        <f>1607.76+2013.45</f>
        <v>3621.21</v>
      </c>
      <c r="AI214" s="33">
        <f>1470.33+1790.41</f>
        <v>3260.74</v>
      </c>
      <c r="AJ214" s="33">
        <f>2240.26+2751.51</f>
        <v>4991.77</v>
      </c>
      <c r="AK214" s="32"/>
      <c r="AL214" s="34">
        <f>SUM(G214:AK214)</f>
      </c>
      <c r="AM214" s="35"/>
    </row>
    <row r="215" ht="13.5" customHeight="1" spans="2:39" x14ac:dyDescent="0.25">
      <c r="B215" s="51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40"/>
    </row>
    <row r="216" ht="13.5" customHeight="1" spans="2:39" x14ac:dyDescent="0.25">
      <c r="B216" s="20"/>
      <c r="C216" s="21"/>
      <c r="D216" s="21" t="s">
        <v>89</v>
      </c>
      <c r="E216" s="21"/>
      <c r="F216" s="21"/>
      <c r="G216" s="22">
        <f>SUM(G214:G214)</f>
      </c>
      <c r="H216" s="22">
        <f>SUM(H214:H214)</f>
      </c>
      <c r="I216" s="22">
        <f>SUM(I214:I214)</f>
      </c>
      <c r="J216" s="22">
        <f>SUM(J214:J214)</f>
      </c>
      <c r="K216" s="22">
        <f>SUM(K214:K214)</f>
      </c>
      <c r="L216" s="22">
        <f>SUM(L214:L214)</f>
      </c>
      <c r="M216" s="22">
        <f>SUM(M214:M214)</f>
      </c>
      <c r="N216" s="22">
        <f>SUM(N214:N214)</f>
      </c>
      <c r="O216" s="22">
        <f>SUM(O214:O214)</f>
      </c>
      <c r="P216" s="22">
        <f>SUM(P214:P214)</f>
      </c>
      <c r="Q216" s="22">
        <f>SUM(Q214:Q214)</f>
      </c>
      <c r="R216" s="22">
        <f>SUM(R214:R214)</f>
      </c>
      <c r="S216" s="22">
        <f>SUM(S214:S214)</f>
      </c>
      <c r="T216" s="22">
        <f>SUM(T214:T214)</f>
      </c>
      <c r="U216" s="22">
        <f>SUM(U214:U214)</f>
      </c>
      <c r="V216" s="22">
        <f>SUM(V214:V214)</f>
      </c>
      <c r="W216" s="22">
        <f>SUM(W214:W214)</f>
      </c>
      <c r="X216" s="22">
        <f>SUM(X214:X214)</f>
      </c>
      <c r="Y216" s="22">
        <f>SUM(Y214:Y214)</f>
      </c>
      <c r="Z216" s="22">
        <f>SUM(Z214:Z214)</f>
      </c>
      <c r="AA216" s="22">
        <f>SUM(AA214:AA214)</f>
      </c>
      <c r="AB216" s="22">
        <f>SUM(AB214:AB214)</f>
      </c>
      <c r="AC216" s="22">
        <f>SUM(AC214:AC214)</f>
      </c>
      <c r="AD216" s="22">
        <f>SUM(AD214:AD214)</f>
      </c>
      <c r="AE216" s="22">
        <f>SUM(AE214:AE214)</f>
      </c>
      <c r="AF216" s="22">
        <f>SUM(AF214:AF214)</f>
      </c>
      <c r="AG216" s="22">
        <f>SUM(AG214:AG214)</f>
      </c>
      <c r="AH216" s="22">
        <f>SUM(AH214:AH214)</f>
      </c>
      <c r="AI216" s="22">
        <f>SUM(AI214:AI214)</f>
      </c>
      <c r="AJ216" s="22">
        <f>SUM(AJ214:AJ214)</f>
      </c>
      <c r="AK216" s="22">
        <f>SUM(AK214:AK214)</f>
      </c>
      <c r="AL216" s="22">
        <f>SUM(AL214:AL214)</f>
      </c>
      <c r="AM216" s="23"/>
    </row>
    <row r="218" ht="13.5" customHeight="1" spans="2:39" x14ac:dyDescent="0.25">
      <c r="B218" s="46"/>
      <c r="C218" s="28"/>
      <c r="D218" s="47" t="s">
        <v>44</v>
      </c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9"/>
    </row>
    <row r="219" ht="13.5" customHeight="1" spans="2:39" x14ac:dyDescent="0.25">
      <c r="B219" s="51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40"/>
    </row>
    <row r="220" ht="13.5" customHeight="1" spans="2:39" x14ac:dyDescent="0.25">
      <c r="B220" s="20"/>
      <c r="C220" s="21"/>
      <c r="D220" s="21" t="s">
        <v>90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3"/>
    </row>
    <row r="223" ht="12.75" customHeight="1" spans="2:39" x14ac:dyDescent="0.25">
      <c r="B223" s="11" t="s">
        <v>40</v>
      </c>
      <c r="C223" s="12"/>
      <c r="D223" s="12"/>
      <c r="E223" s="12"/>
      <c r="F223" s="12"/>
      <c r="G223" s="52" t="s">
        <v>7</v>
      </c>
      <c r="H223" s="52" t="s">
        <v>8</v>
      </c>
      <c r="I223" s="52" t="s">
        <v>9</v>
      </c>
      <c r="J223" s="52" t="s">
        <v>10</v>
      </c>
      <c r="K223" s="52" t="s">
        <v>11</v>
      </c>
      <c r="L223" s="52" t="s">
        <v>12</v>
      </c>
      <c r="M223" s="52" t="s">
        <v>13</v>
      </c>
      <c r="N223" s="52" t="s">
        <v>14</v>
      </c>
      <c r="O223" s="52" t="s">
        <v>15</v>
      </c>
      <c r="P223" s="52" t="s">
        <v>16</v>
      </c>
      <c r="Q223" s="52" t="s">
        <v>17</v>
      </c>
      <c r="R223" s="52" t="s">
        <v>18</v>
      </c>
      <c r="S223" s="52" t="s">
        <v>19</v>
      </c>
      <c r="T223" s="52" t="s">
        <v>20</v>
      </c>
      <c r="U223" s="52" t="s">
        <v>21</v>
      </c>
      <c r="V223" s="52" t="s">
        <v>22</v>
      </c>
      <c r="W223" s="52" t="s">
        <v>23</v>
      </c>
      <c r="X223" s="52" t="s">
        <v>24</v>
      </c>
      <c r="Y223" s="52" t="s">
        <v>25</v>
      </c>
      <c r="Z223" s="52" t="s">
        <v>26</v>
      </c>
      <c r="AA223" s="52" t="s">
        <v>27</v>
      </c>
      <c r="AB223" s="52" t="s">
        <v>28</v>
      </c>
      <c r="AC223" s="52" t="s">
        <v>29</v>
      </c>
      <c r="AD223" s="52" t="s">
        <v>30</v>
      </c>
      <c r="AE223" s="52" t="s">
        <v>31</v>
      </c>
      <c r="AF223" s="52" t="s">
        <v>32</v>
      </c>
      <c r="AG223" s="52" t="s">
        <v>33</v>
      </c>
      <c r="AH223" s="52" t="s">
        <v>34</v>
      </c>
      <c r="AI223" s="52" t="s">
        <v>35</v>
      </c>
      <c r="AJ223" s="52" t="s">
        <v>36</v>
      </c>
      <c r="AK223" s="52" t="s">
        <v>37</v>
      </c>
      <c r="AL223" s="52" t="s">
        <v>38</v>
      </c>
      <c r="AM223" s="15"/>
    </row>
    <row r="224" ht="12.75" customHeight="1" spans="2:39" x14ac:dyDescent="0.25">
      <c r="B224" s="16"/>
      <c r="C224" s="17"/>
      <c r="D224" s="17" t="s">
        <v>41</v>
      </c>
      <c r="E224" s="17"/>
      <c r="F224" s="17"/>
      <c r="G224" s="18">
        <f>G12</f>
      </c>
      <c r="H224" s="18">
        <f>H12</f>
      </c>
      <c r="I224" s="18">
        <f>I12</f>
      </c>
      <c r="J224" s="18">
        <f>J12</f>
      </c>
      <c r="K224" s="18">
        <f>K12</f>
      </c>
      <c r="L224" s="18">
        <f>L12</f>
      </c>
      <c r="M224" s="18">
        <f>M12</f>
      </c>
      <c r="N224" s="18">
        <f>N12</f>
      </c>
      <c r="O224" s="18">
        <f>O12</f>
      </c>
      <c r="P224" s="18">
        <f>P12</f>
      </c>
      <c r="Q224" s="18">
        <f>Q12</f>
      </c>
      <c r="R224" s="18">
        <f>R12</f>
      </c>
      <c r="S224" s="18">
        <f>S12</f>
      </c>
      <c r="T224" s="18">
        <f>T12</f>
      </c>
      <c r="U224" s="18">
        <f>U12</f>
      </c>
      <c r="V224" s="18">
        <f>V12</f>
      </c>
      <c r="W224" s="18">
        <f>W12</f>
      </c>
      <c r="X224" s="18">
        <f>X12</f>
      </c>
      <c r="Y224" s="18">
        <f>Y12</f>
      </c>
      <c r="Z224" s="18">
        <f>Z12</f>
      </c>
      <c r="AA224" s="18">
        <f>AA12</f>
      </c>
      <c r="AB224" s="18">
        <f>AB12</f>
      </c>
      <c r="AC224" s="18">
        <f>AC12</f>
      </c>
      <c r="AD224" s="18">
        <f>AD12</f>
      </c>
      <c r="AE224" s="18">
        <f>AE12</f>
      </c>
      <c r="AF224" s="18">
        <f>AF12</f>
      </c>
      <c r="AG224" s="18">
        <f>AG12</f>
      </c>
      <c r="AH224" s="18">
        <f>AH12</f>
      </c>
      <c r="AI224" s="18">
        <f>AI12</f>
      </c>
      <c r="AJ224" s="18">
        <f>AJ12</f>
      </c>
      <c r="AK224" s="18">
        <f>AK12</f>
      </c>
      <c r="AL224" s="18">
        <f>AL12</f>
      </c>
      <c r="AM224" s="19"/>
    </row>
    <row r="225" ht="12.75" customHeight="1" spans="2:39" x14ac:dyDescent="0.25">
      <c r="B225" s="16"/>
      <c r="C225" s="17"/>
      <c r="D225" s="17" t="s">
        <v>42</v>
      </c>
      <c r="E225" s="17"/>
      <c r="F225" s="17"/>
      <c r="G225" s="18">
        <f>G211</f>
      </c>
      <c r="H225" s="18">
        <f>H211</f>
      </c>
      <c r="I225" s="18">
        <f>I211</f>
      </c>
      <c r="J225" s="18">
        <f>J211</f>
      </c>
      <c r="K225" s="18">
        <f>K211</f>
      </c>
      <c r="L225" s="18">
        <f>L211</f>
      </c>
      <c r="M225" s="18">
        <f>M211</f>
      </c>
      <c r="N225" s="18">
        <f>N211</f>
      </c>
      <c r="O225" s="18">
        <f>O211</f>
      </c>
      <c r="P225" s="18">
        <f>P211</f>
      </c>
      <c r="Q225" s="18">
        <f>Q211</f>
      </c>
      <c r="R225" s="18">
        <f>R211</f>
      </c>
      <c r="S225" s="18">
        <f>S211</f>
      </c>
      <c r="T225" s="18">
        <f>T211</f>
      </c>
      <c r="U225" s="18">
        <f>U211</f>
      </c>
      <c r="V225" s="18">
        <f>V211</f>
      </c>
      <c r="W225" s="18">
        <f>W211</f>
      </c>
      <c r="X225" s="18">
        <f>X211</f>
      </c>
      <c r="Y225" s="18">
        <f>Y211</f>
      </c>
      <c r="Z225" s="18">
        <f>Z211</f>
      </c>
      <c r="AA225" s="18">
        <f>AA211</f>
      </c>
      <c r="AB225" s="18">
        <f>AB211</f>
      </c>
      <c r="AC225" s="18">
        <f>AC211</f>
      </c>
      <c r="AD225" s="18">
        <f>AD211</f>
      </c>
      <c r="AE225" s="18">
        <f>AE211</f>
      </c>
      <c r="AF225" s="18">
        <f>AF211</f>
      </c>
      <c r="AG225" s="18">
        <f>AG211</f>
      </c>
      <c r="AH225" s="18">
        <f>AH211</f>
      </c>
      <c r="AI225" s="18">
        <f>AI211</f>
      </c>
      <c r="AJ225" s="18">
        <f>AJ211</f>
      </c>
      <c r="AK225" s="18">
        <f>AK211</f>
      </c>
      <c r="AL225" s="18">
        <f>AL211</f>
      </c>
      <c r="AM225" s="19"/>
    </row>
    <row r="226" ht="12.75" customHeight="1" spans="2:39" x14ac:dyDescent="0.25">
      <c r="B226" s="16"/>
      <c r="C226" s="17"/>
      <c r="D226" s="17" t="s">
        <v>43</v>
      </c>
      <c r="E226" s="17"/>
      <c r="F226" s="17"/>
      <c r="G226" s="18">
        <f>G216</f>
      </c>
      <c r="H226" s="18">
        <f>H216</f>
      </c>
      <c r="I226" s="18">
        <f>I216</f>
      </c>
      <c r="J226" s="18">
        <f>J216</f>
      </c>
      <c r="K226" s="18">
        <f>K216</f>
      </c>
      <c r="L226" s="18">
        <f>L216</f>
      </c>
      <c r="M226" s="18">
        <f>M216</f>
      </c>
      <c r="N226" s="18">
        <f>N216</f>
      </c>
      <c r="O226" s="18">
        <f>O216</f>
      </c>
      <c r="P226" s="18">
        <f>P216</f>
      </c>
      <c r="Q226" s="18">
        <f>Q216</f>
      </c>
      <c r="R226" s="18">
        <f>R216</f>
      </c>
      <c r="S226" s="18">
        <f>S216</f>
      </c>
      <c r="T226" s="18">
        <f>T216</f>
      </c>
      <c r="U226" s="18">
        <f>U216</f>
      </c>
      <c r="V226" s="18">
        <f>V216</f>
      </c>
      <c r="W226" s="18">
        <f>W216</f>
      </c>
      <c r="X226" s="18">
        <f>X216</f>
      </c>
      <c r="Y226" s="18">
        <f>Y216</f>
      </c>
      <c r="Z226" s="18">
        <f>Z216</f>
      </c>
      <c r="AA226" s="18">
        <f>AA216</f>
      </c>
      <c r="AB226" s="18">
        <f>AB216</f>
      </c>
      <c r="AC226" s="18">
        <f>AC216</f>
      </c>
      <c r="AD226" s="18">
        <f>AD216</f>
      </c>
      <c r="AE226" s="18">
        <f>AE216</f>
      </c>
      <c r="AF226" s="18">
        <f>AF216</f>
      </c>
      <c r="AG226" s="18">
        <f>AG216</f>
      </c>
      <c r="AH226" s="18">
        <f>AH216</f>
      </c>
      <c r="AI226" s="18">
        <f>AI216</f>
      </c>
      <c r="AJ226" s="18">
        <f>AJ216</f>
      </c>
      <c r="AK226" s="18">
        <f>AK216</f>
      </c>
      <c r="AL226" s="18">
        <f>AL216</f>
      </c>
      <c r="AM226" s="19"/>
    </row>
    <row r="227" ht="12.75" customHeight="1" spans="2:39" x14ac:dyDescent="0.25">
      <c r="B227" s="16"/>
      <c r="C227" s="17"/>
      <c r="D227" s="17" t="s">
        <v>44</v>
      </c>
      <c r="E227" s="17"/>
      <c r="F227" s="17"/>
      <c r="G227" s="18">
        <f>G220</f>
      </c>
      <c r="H227" s="18">
        <f>H220</f>
      </c>
      <c r="I227" s="18">
        <f>I220</f>
      </c>
      <c r="J227" s="18">
        <f>J220</f>
      </c>
      <c r="K227" s="18">
        <f>K220</f>
      </c>
      <c r="L227" s="18">
        <f>L220</f>
      </c>
      <c r="M227" s="18">
        <f>M220</f>
      </c>
      <c r="N227" s="18">
        <f>N220</f>
      </c>
      <c r="O227" s="18">
        <f>O220</f>
      </c>
      <c r="P227" s="18">
        <f>P220</f>
      </c>
      <c r="Q227" s="18">
        <f>Q220</f>
      </c>
      <c r="R227" s="18">
        <f>R220</f>
      </c>
      <c r="S227" s="18">
        <f>S220</f>
      </c>
      <c r="T227" s="18">
        <f>T220</f>
      </c>
      <c r="U227" s="18">
        <f>U220</f>
      </c>
      <c r="V227" s="18">
        <f>V220</f>
      </c>
      <c r="W227" s="18">
        <f>W220</f>
      </c>
      <c r="X227" s="18">
        <f>X220</f>
      </c>
      <c r="Y227" s="18">
        <f>Y220</f>
      </c>
      <c r="Z227" s="18">
        <f>Z220</f>
      </c>
      <c r="AA227" s="18">
        <f>AA220</f>
      </c>
      <c r="AB227" s="18">
        <f>AB220</f>
      </c>
      <c r="AC227" s="18">
        <f>AC220</f>
      </c>
      <c r="AD227" s="18">
        <f>AD220</f>
      </c>
      <c r="AE227" s="18">
        <f>AE220</f>
      </c>
      <c r="AF227" s="18">
        <f>AF220</f>
      </c>
      <c r="AG227" s="18">
        <f>AG220</f>
      </c>
      <c r="AH227" s="18">
        <f>AH220</f>
      </c>
      <c r="AI227" s="18">
        <f>AI220</f>
      </c>
      <c r="AJ227" s="18">
        <f>AJ220</f>
      </c>
      <c r="AK227" s="18">
        <f>AK220</f>
      </c>
      <c r="AL227" s="18">
        <f>AL220</f>
      </c>
      <c r="AM227" s="19"/>
    </row>
    <row r="228" ht="12.75" customHeight="1" spans="2:39" x14ac:dyDescent="0.25">
      <c r="B228" s="20"/>
      <c r="C228" s="21"/>
      <c r="D228" s="21" t="s">
        <v>45</v>
      </c>
      <c r="E228" s="21"/>
      <c r="F228" s="21"/>
      <c r="G228" s="22">
        <f>G224+G225+G226+G227</f>
      </c>
      <c r="H228" s="22">
        <f>H224+H225+H226+H227</f>
      </c>
      <c r="I228" s="22">
        <f>I224+I225+I226+I227</f>
      </c>
      <c r="J228" s="22">
        <f>J224+J225+J226+J227</f>
      </c>
      <c r="K228" s="22">
        <f>K224+K225+K226+K227</f>
      </c>
      <c r="L228" s="22">
        <f>L224+L225+L226+L227</f>
      </c>
      <c r="M228" s="22">
        <f>M224+M225+M226+M227</f>
      </c>
      <c r="N228" s="22">
        <f>N224+N225+N226+N227</f>
      </c>
      <c r="O228" s="22">
        <f>O224+O225+O226+O227</f>
      </c>
      <c r="P228" s="22">
        <f>P224+P225+P226+P227</f>
      </c>
      <c r="Q228" s="22">
        <f>Q224+Q225+Q226+Q227</f>
      </c>
      <c r="R228" s="22">
        <f>R224+R225+R226+R227</f>
      </c>
      <c r="S228" s="22">
        <f>S224+S225+S226+S227</f>
      </c>
      <c r="T228" s="22">
        <f>T224+T225+T226+T227</f>
      </c>
      <c r="U228" s="22">
        <f>U224+U225+U226+U227</f>
      </c>
      <c r="V228" s="22">
        <f>V224+V225+V226+V227</f>
      </c>
      <c r="W228" s="22">
        <f>W224+W225+W226+W227</f>
      </c>
      <c r="X228" s="22">
        <f>X224+X225+X226+X227</f>
      </c>
      <c r="Y228" s="22">
        <f>Y224+Y225+Y226+Y227</f>
      </c>
      <c r="Z228" s="22">
        <f>Z224+Z225+Z226+Z227</f>
      </c>
      <c r="AA228" s="22">
        <f>AA224+AA225+AA226+AA227</f>
      </c>
      <c r="AB228" s="22">
        <f>AB224+AB225+AB226+AB227</f>
      </c>
      <c r="AC228" s="22">
        <f>AC224+AC225+AC226+AC227</f>
      </c>
      <c r="AD228" s="22">
        <f>AD224+AD225+AD226+AD227</f>
      </c>
      <c r="AE228" s="22">
        <f>AE224+AE225+AE226+AE227</f>
      </c>
      <c r="AF228" s="22">
        <f>AF224+AF225+AF226+AF227</f>
      </c>
      <c r="AG228" s="22">
        <f>AG224+AG225+AG226+AG227</f>
      </c>
      <c r="AH228" s="22">
        <f>AH224+AH225+AH226+AH227</f>
      </c>
      <c r="AI228" s="22">
        <f>AI224+AI225+AI226+AI227</f>
      </c>
      <c r="AJ228" s="22">
        <f>AJ224+AJ225+AJ226+AJ227</f>
      </c>
      <c r="AK228" s="22">
        <f>AK224+AK225+AK226+AK227</f>
      </c>
      <c r="AL228" s="22">
        <f>AL224+AL225+AL226+AL227</f>
      </c>
      <c r="AM228" s="23"/>
    </row>
    <row r="230" ht="12.75" customHeight="1" spans="2:39" x14ac:dyDescent="0.25">
      <c r="B230" s="11" t="s">
        <v>46</v>
      </c>
      <c r="C230" s="12"/>
      <c r="D230" s="12"/>
      <c r="E230" s="12"/>
      <c r="F230" s="12"/>
      <c r="G230" s="52" t="s">
        <v>7</v>
      </c>
      <c r="H230" s="52" t="s">
        <v>8</v>
      </c>
      <c r="I230" s="52" t="s">
        <v>9</v>
      </c>
      <c r="J230" s="52" t="s">
        <v>10</v>
      </c>
      <c r="K230" s="52" t="s">
        <v>11</v>
      </c>
      <c r="L230" s="52" t="s">
        <v>12</v>
      </c>
      <c r="M230" s="52" t="s">
        <v>13</v>
      </c>
      <c r="N230" s="52" t="s">
        <v>14</v>
      </c>
      <c r="O230" s="52" t="s">
        <v>15</v>
      </c>
      <c r="P230" s="52" t="s">
        <v>16</v>
      </c>
      <c r="Q230" s="52" t="s">
        <v>17</v>
      </c>
      <c r="R230" s="52" t="s">
        <v>18</v>
      </c>
      <c r="S230" s="52" t="s">
        <v>19</v>
      </c>
      <c r="T230" s="52" t="s">
        <v>20</v>
      </c>
      <c r="U230" s="52" t="s">
        <v>21</v>
      </c>
      <c r="V230" s="52" t="s">
        <v>22</v>
      </c>
      <c r="W230" s="52" t="s">
        <v>23</v>
      </c>
      <c r="X230" s="52" t="s">
        <v>24</v>
      </c>
      <c r="Y230" s="52" t="s">
        <v>25</v>
      </c>
      <c r="Z230" s="52" t="s">
        <v>26</v>
      </c>
      <c r="AA230" s="52" t="s">
        <v>27</v>
      </c>
      <c r="AB230" s="52" t="s">
        <v>28</v>
      </c>
      <c r="AC230" s="52" t="s">
        <v>29</v>
      </c>
      <c r="AD230" s="52" t="s">
        <v>30</v>
      </c>
      <c r="AE230" s="52" t="s">
        <v>31</v>
      </c>
      <c r="AF230" s="52" t="s">
        <v>32</v>
      </c>
      <c r="AG230" s="52" t="s">
        <v>33</v>
      </c>
      <c r="AH230" s="52" t="s">
        <v>34</v>
      </c>
      <c r="AI230" s="52" t="s">
        <v>35</v>
      </c>
      <c r="AJ230" s="52" t="s">
        <v>36</v>
      </c>
      <c r="AK230" s="52" t="s">
        <v>37</v>
      </c>
      <c r="AL230" s="52" t="s">
        <v>38</v>
      </c>
      <c r="AM230" s="15"/>
    </row>
    <row r="231" ht="12.75" customHeight="1" spans="2:39" x14ac:dyDescent="0.25">
      <c r="B231" s="16"/>
      <c r="C231" s="17"/>
      <c r="D231" s="17" t="s">
        <v>41</v>
      </c>
      <c r="E231" s="17"/>
      <c r="F231" s="1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9"/>
    </row>
    <row r="232" ht="12.75" customHeight="1" spans="2:39" x14ac:dyDescent="0.25">
      <c r="B232" s="16"/>
      <c r="C232" s="17"/>
      <c r="D232" s="17" t="s">
        <v>42</v>
      </c>
      <c r="E232" s="17"/>
      <c r="F232" s="1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9"/>
    </row>
    <row r="233" ht="12.75" customHeight="1" spans="2:39" x14ac:dyDescent="0.25">
      <c r="B233" s="16"/>
      <c r="C233" s="17"/>
      <c r="D233" s="17" t="s">
        <v>43</v>
      </c>
      <c r="E233" s="17"/>
      <c r="F233" s="1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9"/>
    </row>
    <row r="234" ht="12.75" customHeight="1" spans="2:39" x14ac:dyDescent="0.25">
      <c r="B234" s="16"/>
      <c r="C234" s="17"/>
      <c r="D234" s="17" t="s">
        <v>44</v>
      </c>
      <c r="E234" s="17"/>
      <c r="F234" s="1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9"/>
    </row>
    <row r="235" ht="12.75" customHeight="1" spans="2:39" x14ac:dyDescent="0.25">
      <c r="B235" s="20"/>
      <c r="C235" s="21"/>
      <c r="D235" s="21" t="s">
        <v>45</v>
      </c>
      <c r="E235" s="21"/>
      <c r="F235" s="21"/>
      <c r="G235" s="22">
        <f>G231+G232+G233+G234</f>
      </c>
      <c r="H235" s="22">
        <f>H231+H232+H233+H234</f>
      </c>
      <c r="I235" s="22">
        <f>I231+I232+I233+I234</f>
      </c>
      <c r="J235" s="22">
        <f>J231+J232+J233+J234</f>
      </c>
      <c r="K235" s="22">
        <f>K231+K232+K233+K234</f>
      </c>
      <c r="L235" s="22">
        <f>L231+L232+L233+L234</f>
      </c>
      <c r="M235" s="22">
        <f>M231+M232+M233+M234</f>
      </c>
      <c r="N235" s="22">
        <f>N231+N232+N233+N234</f>
      </c>
      <c r="O235" s="22">
        <f>O231+O232+O233+O234</f>
      </c>
      <c r="P235" s="22">
        <f>P231+P232+P233+P234</f>
      </c>
      <c r="Q235" s="22">
        <f>Q231+Q232+Q233+Q234</f>
      </c>
      <c r="R235" s="22">
        <f>R231+R232+R233+R234</f>
      </c>
      <c r="S235" s="22">
        <f>S231+S232+S233+S234</f>
      </c>
      <c r="T235" s="22">
        <f>T231+T232+T233+T234</f>
      </c>
      <c r="U235" s="22">
        <f>U231+U232+U233+U234</f>
      </c>
      <c r="V235" s="22">
        <f>V231+V232+V233+V234</f>
      </c>
      <c r="W235" s="22">
        <f>W231+W232+W233+W234</f>
      </c>
      <c r="X235" s="22">
        <f>X231+X232+X233+X234</f>
      </c>
      <c r="Y235" s="22">
        <f>Y231+Y232+Y233+Y234</f>
      </c>
      <c r="Z235" s="22">
        <f>Z231+Z232+Z233+Z234</f>
      </c>
      <c r="AA235" s="22">
        <f>AA231+AA232+AA233+AA234</f>
      </c>
      <c r="AB235" s="22">
        <f>AB231+AB232+AB233+AB234</f>
      </c>
      <c r="AC235" s="22">
        <f>AC231+AC232+AC233+AC234</f>
      </c>
      <c r="AD235" s="22">
        <f>AD231+AD232+AD233+AD234</f>
      </c>
      <c r="AE235" s="22">
        <f>AE231+AE232+AE233+AE234</f>
      </c>
      <c r="AF235" s="22">
        <f>AF231+AF232+AF233+AF234</f>
      </c>
      <c r="AG235" s="22">
        <f>AG231+AG232+AG233+AG234</f>
      </c>
      <c r="AH235" s="22">
        <f>AH231+AH232+AH233+AH234</f>
      </c>
      <c r="AI235" s="22">
        <f>AI231+AI232+AI233+AI234</f>
      </c>
      <c r="AJ235" s="22">
        <f>AJ231+AJ232+AJ233+AJ234</f>
      </c>
      <c r="AK235" s="22">
        <f>AK231+AK232+AK233+AK234</f>
      </c>
      <c r="AL235" s="22">
        <f>AL231+AL232+AL233+AL234</f>
      </c>
      <c r="AM235" s="23"/>
    </row>
    <row r="237" ht="12.75" customHeight="1" spans="2:39" x14ac:dyDescent="0.25">
      <c r="B237" s="11" t="s">
        <v>47</v>
      </c>
      <c r="C237" s="12"/>
      <c r="D237" s="12"/>
      <c r="E237" s="12"/>
      <c r="F237" s="12"/>
      <c r="G237" s="52" t="s">
        <v>7</v>
      </c>
      <c r="H237" s="52" t="s">
        <v>8</v>
      </c>
      <c r="I237" s="52" t="s">
        <v>9</v>
      </c>
      <c r="J237" s="52" t="s">
        <v>10</v>
      </c>
      <c r="K237" s="52" t="s">
        <v>11</v>
      </c>
      <c r="L237" s="52" t="s">
        <v>12</v>
      </c>
      <c r="M237" s="52" t="s">
        <v>13</v>
      </c>
      <c r="N237" s="52" t="s">
        <v>14</v>
      </c>
      <c r="O237" s="52" t="s">
        <v>15</v>
      </c>
      <c r="P237" s="52" t="s">
        <v>16</v>
      </c>
      <c r="Q237" s="52" t="s">
        <v>17</v>
      </c>
      <c r="R237" s="52" t="s">
        <v>18</v>
      </c>
      <c r="S237" s="52" t="s">
        <v>19</v>
      </c>
      <c r="T237" s="52" t="s">
        <v>20</v>
      </c>
      <c r="U237" s="52" t="s">
        <v>21</v>
      </c>
      <c r="V237" s="52" t="s">
        <v>22</v>
      </c>
      <c r="W237" s="52" t="s">
        <v>23</v>
      </c>
      <c r="X237" s="52" t="s">
        <v>24</v>
      </c>
      <c r="Y237" s="52" t="s">
        <v>25</v>
      </c>
      <c r="Z237" s="52" t="s">
        <v>26</v>
      </c>
      <c r="AA237" s="52" t="s">
        <v>27</v>
      </c>
      <c r="AB237" s="52" t="s">
        <v>28</v>
      </c>
      <c r="AC237" s="52" t="s">
        <v>29</v>
      </c>
      <c r="AD237" s="52" t="s">
        <v>30</v>
      </c>
      <c r="AE237" s="52" t="s">
        <v>31</v>
      </c>
      <c r="AF237" s="52" t="s">
        <v>32</v>
      </c>
      <c r="AG237" s="52" t="s">
        <v>33</v>
      </c>
      <c r="AH237" s="52" t="s">
        <v>34</v>
      </c>
      <c r="AI237" s="52" t="s">
        <v>35</v>
      </c>
      <c r="AJ237" s="52" t="s">
        <v>36</v>
      </c>
      <c r="AK237" s="52" t="s">
        <v>37</v>
      </c>
      <c r="AL237" s="52" t="s">
        <v>38</v>
      </c>
      <c r="AM237" s="15"/>
    </row>
    <row r="238" ht="12.75" customHeight="1" spans="2:39" x14ac:dyDescent="0.25">
      <c r="B238" s="16"/>
      <c r="C238" s="17"/>
      <c r="D238" s="17" t="s">
        <v>41</v>
      </c>
      <c r="E238" s="17"/>
      <c r="F238" s="17"/>
      <c r="G238" s="24">
        <f>G231-G224</f>
      </c>
      <c r="H238" s="24">
        <f>H231-H224</f>
      </c>
      <c r="I238" s="24">
        <f>I231-I224</f>
      </c>
      <c r="J238" s="24">
        <f>J231-J224</f>
      </c>
      <c r="K238" s="24">
        <f>K231-K224</f>
      </c>
      <c r="L238" s="24">
        <f>L231-L224</f>
      </c>
      <c r="M238" s="24">
        <f>M231-M224</f>
      </c>
      <c r="N238" s="24">
        <f>N231-N224</f>
      </c>
      <c r="O238" s="24">
        <f>O231-O224</f>
      </c>
      <c r="P238" s="24">
        <f>P231-P224</f>
      </c>
      <c r="Q238" s="24">
        <f>Q231-Q224</f>
      </c>
      <c r="R238" s="24">
        <f>R231-R224</f>
      </c>
      <c r="S238" s="24">
        <f>S231-S224</f>
      </c>
      <c r="T238" s="24">
        <f>T231-T224</f>
      </c>
      <c r="U238" s="24">
        <f>U231-U224</f>
      </c>
      <c r="V238" s="24">
        <f>V231-V224</f>
      </c>
      <c r="W238" s="24">
        <f>W231-W224</f>
      </c>
      <c r="X238" s="24">
        <f>X231-X224</f>
      </c>
      <c r="Y238" s="24">
        <f>Y231-Y224</f>
      </c>
      <c r="Z238" s="24">
        <f>Z231-Z224</f>
      </c>
      <c r="AA238" s="24">
        <f>AA231-AA224</f>
      </c>
      <c r="AB238" s="24">
        <f>AB231-AB224</f>
      </c>
      <c r="AC238" s="24">
        <f>AC231-AC224</f>
      </c>
      <c r="AD238" s="24">
        <f>AD231-AD224</f>
      </c>
      <c r="AE238" s="24">
        <f>AE231-AE224</f>
      </c>
      <c r="AF238" s="24">
        <f>AF231-AF224</f>
      </c>
      <c r="AG238" s="24">
        <f>AG231-AG224</f>
      </c>
      <c r="AH238" s="24">
        <f>AH231-AH224</f>
      </c>
      <c r="AI238" s="24">
        <f>AI231-AI224</f>
      </c>
      <c r="AJ238" s="24">
        <f>AJ231-AJ224</f>
      </c>
      <c r="AK238" s="24">
        <f>AK231-AK224</f>
      </c>
      <c r="AL238" s="24">
        <f>AL231-AL224</f>
      </c>
      <c r="AM238" s="19"/>
    </row>
    <row r="239" ht="12.75" customHeight="1" spans="2:39" x14ac:dyDescent="0.25">
      <c r="B239" s="16"/>
      <c r="C239" s="17"/>
      <c r="D239" s="17" t="s">
        <v>42</v>
      </c>
      <c r="E239" s="17"/>
      <c r="F239" s="17"/>
      <c r="G239" s="24">
        <f>G232-G225</f>
      </c>
      <c r="H239" s="24">
        <f>H232-H225</f>
      </c>
      <c r="I239" s="24">
        <f>I232-I225</f>
      </c>
      <c r="J239" s="24">
        <f>J232-J225</f>
      </c>
      <c r="K239" s="24">
        <f>K232-K225</f>
      </c>
      <c r="L239" s="24">
        <f>L232-L225</f>
      </c>
      <c r="M239" s="24">
        <f>M232-M225</f>
      </c>
      <c r="N239" s="24">
        <f>N232-N225</f>
      </c>
      <c r="O239" s="24">
        <f>O232-O225</f>
      </c>
      <c r="P239" s="24">
        <f>P232-P225</f>
      </c>
      <c r="Q239" s="24">
        <f>Q232-Q225</f>
      </c>
      <c r="R239" s="24">
        <f>R232-R225</f>
      </c>
      <c r="S239" s="24">
        <f>S232-S225</f>
      </c>
      <c r="T239" s="24">
        <f>T232-T225</f>
      </c>
      <c r="U239" s="24">
        <f>U232-U225</f>
      </c>
      <c r="V239" s="24">
        <f>V232-V225</f>
      </c>
      <c r="W239" s="24">
        <f>W232-W225</f>
      </c>
      <c r="X239" s="24">
        <f>X232-X225</f>
      </c>
      <c r="Y239" s="24">
        <f>Y232-Y225</f>
      </c>
      <c r="Z239" s="24">
        <f>Z232-Z225</f>
      </c>
      <c r="AA239" s="24">
        <f>AA232-AA225</f>
      </c>
      <c r="AB239" s="24">
        <f>AB232-AB225</f>
      </c>
      <c r="AC239" s="24">
        <f>AC232-AC225</f>
      </c>
      <c r="AD239" s="24">
        <f>AD232-AD225</f>
      </c>
      <c r="AE239" s="24">
        <f>AE232-AE225</f>
      </c>
      <c r="AF239" s="24">
        <f>AF232-AF225</f>
      </c>
      <c r="AG239" s="24">
        <f>AG232-AG225</f>
      </c>
      <c r="AH239" s="24">
        <f>AH232-AH225</f>
      </c>
      <c r="AI239" s="24">
        <f>AI232-AI225</f>
      </c>
      <c r="AJ239" s="24">
        <f>AJ232-AJ225</f>
      </c>
      <c r="AK239" s="24">
        <f>AK232-AK225</f>
      </c>
      <c r="AL239" s="24">
        <f>AL232-AL225</f>
      </c>
      <c r="AM239" s="19"/>
    </row>
    <row r="240" ht="12.75" customHeight="1" spans="2:39" x14ac:dyDescent="0.25">
      <c r="B240" s="16"/>
      <c r="C240" s="17"/>
      <c r="D240" s="17" t="s">
        <v>43</v>
      </c>
      <c r="E240" s="17"/>
      <c r="F240" s="17"/>
      <c r="G240" s="24">
        <f>G233-G226</f>
      </c>
      <c r="H240" s="24">
        <f>H233-H226</f>
      </c>
      <c r="I240" s="24">
        <f>I233-I226</f>
      </c>
      <c r="J240" s="24">
        <f>J233-J226</f>
      </c>
      <c r="K240" s="24">
        <f>K233-K226</f>
      </c>
      <c r="L240" s="24">
        <f>L233-L226</f>
      </c>
      <c r="M240" s="24">
        <f>M233-M226</f>
      </c>
      <c r="N240" s="24">
        <f>N233-N226</f>
      </c>
      <c r="O240" s="24">
        <f>O233-O226</f>
      </c>
      <c r="P240" s="24">
        <f>P233-P226</f>
      </c>
      <c r="Q240" s="24">
        <f>Q233-Q226</f>
      </c>
      <c r="R240" s="24">
        <f>R233-R226</f>
      </c>
      <c r="S240" s="24">
        <f>S233-S226</f>
      </c>
      <c r="T240" s="24">
        <f>T233-T226</f>
      </c>
      <c r="U240" s="24">
        <f>U233-U226</f>
      </c>
      <c r="V240" s="24">
        <f>V233-V226</f>
      </c>
      <c r="W240" s="24">
        <f>W233-W226</f>
      </c>
      <c r="X240" s="24">
        <f>X233-X226</f>
      </c>
      <c r="Y240" s="24">
        <f>Y233-Y226</f>
      </c>
      <c r="Z240" s="24">
        <f>Z233-Z226</f>
      </c>
      <c r="AA240" s="24">
        <f>AA233-AA226</f>
      </c>
      <c r="AB240" s="24">
        <f>AB233-AB226</f>
      </c>
      <c r="AC240" s="24">
        <f>AC233-AC226</f>
      </c>
      <c r="AD240" s="24">
        <f>AD233-AD226</f>
      </c>
      <c r="AE240" s="24">
        <f>AE233-AE226</f>
      </c>
      <c r="AF240" s="24">
        <f>AF233-AF226</f>
      </c>
      <c r="AG240" s="24">
        <f>AG233-AG226</f>
      </c>
      <c r="AH240" s="24">
        <f>AH233-AH226</f>
      </c>
      <c r="AI240" s="24">
        <f>AI233-AI226</f>
      </c>
      <c r="AJ240" s="24">
        <f>AJ233-AJ226</f>
      </c>
      <c r="AK240" s="24">
        <f>AK233-AK226</f>
      </c>
      <c r="AL240" s="24">
        <f>AL233-AL226</f>
      </c>
      <c r="AM240" s="19"/>
    </row>
    <row r="241" ht="12.75" customHeight="1" spans="2:39" x14ac:dyDescent="0.25">
      <c r="B241" s="16"/>
      <c r="C241" s="17"/>
      <c r="D241" s="17" t="s">
        <v>44</v>
      </c>
      <c r="E241" s="17"/>
      <c r="F241" s="17"/>
      <c r="G241" s="24">
        <f>G234-G227</f>
      </c>
      <c r="H241" s="24">
        <f>H234-H227</f>
      </c>
      <c r="I241" s="24">
        <f>I234-I227</f>
      </c>
      <c r="J241" s="24">
        <f>J234-J227</f>
      </c>
      <c r="K241" s="24">
        <f>K234-K227</f>
      </c>
      <c r="L241" s="24">
        <f>L234-L227</f>
      </c>
      <c r="M241" s="24">
        <f>M234-M227</f>
      </c>
      <c r="N241" s="24">
        <f>N234-N227</f>
      </c>
      <c r="O241" s="24">
        <f>O234-O227</f>
      </c>
      <c r="P241" s="24">
        <f>P234-P227</f>
      </c>
      <c r="Q241" s="24">
        <f>Q234-Q227</f>
      </c>
      <c r="R241" s="24">
        <f>R234-R227</f>
      </c>
      <c r="S241" s="24">
        <f>S234-S227</f>
      </c>
      <c r="T241" s="24">
        <f>T234-T227</f>
      </c>
      <c r="U241" s="24">
        <f>U234-U227</f>
      </c>
      <c r="V241" s="24">
        <f>V234-V227</f>
      </c>
      <c r="W241" s="24">
        <f>W234-W227</f>
      </c>
      <c r="X241" s="24">
        <f>X234-X227</f>
      </c>
      <c r="Y241" s="24">
        <f>Y234-Y227</f>
      </c>
      <c r="Z241" s="24">
        <f>Z234-Z227</f>
      </c>
      <c r="AA241" s="24">
        <f>AA234-AA227</f>
      </c>
      <c r="AB241" s="24">
        <f>AB234-AB227</f>
      </c>
      <c r="AC241" s="24">
        <f>AC234-AC227</f>
      </c>
      <c r="AD241" s="24">
        <f>AD234-AD227</f>
      </c>
      <c r="AE241" s="24">
        <f>AE234-AE227</f>
      </c>
      <c r="AF241" s="24">
        <f>AF234-AF227</f>
      </c>
      <c r="AG241" s="24">
        <f>AG234-AG227</f>
      </c>
      <c r="AH241" s="24">
        <f>AH234-AH227</f>
      </c>
      <c r="AI241" s="24">
        <f>AI234-AI227</f>
      </c>
      <c r="AJ241" s="24">
        <f>AJ234-AJ227</f>
      </c>
      <c r="AK241" s="24">
        <f>AK234-AK227</f>
      </c>
      <c r="AL241" s="24">
        <f>AL234-AL227</f>
      </c>
      <c r="AM241" s="19"/>
    </row>
    <row r="242" ht="12.75" customHeight="1" spans="2:39" x14ac:dyDescent="0.25">
      <c r="B242" s="20"/>
      <c r="C242" s="21"/>
      <c r="D242" s="21" t="s">
        <v>45</v>
      </c>
      <c r="E242" s="21"/>
      <c r="F242" s="21"/>
      <c r="G242" s="25">
        <f>G238+G239+G240+G241</f>
      </c>
      <c r="H242" s="25">
        <f>H238+H239+H240+H241</f>
      </c>
      <c r="I242" s="25">
        <f>I238+I239+I240+I241</f>
      </c>
      <c r="J242" s="25">
        <f>J238+J239+J240+J241</f>
      </c>
      <c r="K242" s="25">
        <f>K238+K239+K240+K241</f>
      </c>
      <c r="L242" s="25">
        <f>L238+L239+L240+L241</f>
      </c>
      <c r="M242" s="25">
        <f>M238+M239+M240+M241</f>
      </c>
      <c r="N242" s="25">
        <f>N238+N239+N240+N241</f>
      </c>
      <c r="O242" s="25">
        <f>O238+O239+O240+O241</f>
      </c>
      <c r="P242" s="25">
        <f>P238+P239+P240+P241</f>
      </c>
      <c r="Q242" s="25">
        <f>Q238+Q239+Q240+Q241</f>
      </c>
      <c r="R242" s="25">
        <f>R238+R239+R240+R241</f>
      </c>
      <c r="S242" s="25">
        <f>S238+S239+S240+S241</f>
      </c>
      <c r="T242" s="25">
        <f>T238+T239+T240+T241</f>
      </c>
      <c r="U242" s="25">
        <f>U238+U239+U240+U241</f>
      </c>
      <c r="V242" s="25">
        <f>V238+V239+V240+V241</f>
      </c>
      <c r="W242" s="25">
        <f>W238+W239+W240+W241</f>
      </c>
      <c r="X242" s="25">
        <f>X238+X239+X240+X241</f>
      </c>
      <c r="Y242" s="25">
        <f>Y238+Y239+Y240+Y241</f>
      </c>
      <c r="Z242" s="25">
        <f>Z238+Z239+Z240+Z241</f>
      </c>
      <c r="AA242" s="25">
        <f>AA238+AA239+AA240+AA241</f>
      </c>
      <c r="AB242" s="25">
        <f>AB238+AB239+AB240+AB241</f>
      </c>
      <c r="AC242" s="25">
        <f>AC238+AC239+AC240+AC241</f>
      </c>
      <c r="AD242" s="25">
        <f>AD238+AD239+AD240+AD241</f>
      </c>
      <c r="AE242" s="25">
        <f>AE238+AE239+AE240+AE241</f>
      </c>
      <c r="AF242" s="25">
        <f>AF238+AF239+AF240+AF241</f>
      </c>
      <c r="AG242" s="25">
        <f>AG238+AG239+AG240+AG241</f>
      </c>
      <c r="AH242" s="25">
        <f>AH238+AH239+AH240+AH241</f>
      </c>
      <c r="AI242" s="25">
        <f>AI238+AI239+AI240+AI241</f>
      </c>
      <c r="AJ242" s="25">
        <f>AJ238+AJ239+AJ240+AJ241</f>
      </c>
      <c r="AK242" s="25">
        <f>AK238+AK239+AK240+AK241</f>
      </c>
      <c r="AL242" s="25">
        <f>AL238+AL239+AL240+AL241</f>
      </c>
      <c r="AM242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2446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2447</v>
      </c>
      <c r="E9" s="32"/>
      <c r="F9" s="32"/>
      <c r="G9" s="32"/>
      <c r="H9" s="32"/>
      <c r="I9" s="33">
        <v>160.57</v>
      </c>
      <c r="J9" s="33">
        <v>138.7</v>
      </c>
      <c r="K9" s="33">
        <v>110.98</v>
      </c>
      <c r="L9" s="33">
        <v>82.81</v>
      </c>
      <c r="M9" s="33">
        <v>34.17</v>
      </c>
      <c r="N9" s="33">
        <v>22.79</v>
      </c>
      <c r="O9" s="33">
        <v>22.79</v>
      </c>
      <c r="P9" s="33">
        <v>23.6</v>
      </c>
      <c r="Q9" s="33">
        <v>23.19</v>
      </c>
      <c r="R9" s="36">
        <f>22.79+57.40</f>
        <v>80.19</v>
      </c>
      <c r="S9" s="33">
        <v>106.26</v>
      </c>
      <c r="T9" s="33">
        <v>122.47</v>
      </c>
      <c r="U9" s="33">
        <v>138.15</v>
      </c>
      <c r="V9" s="32"/>
      <c r="W9" s="33">
        <v>123.49</v>
      </c>
      <c r="X9" s="33">
        <v>75.57</v>
      </c>
      <c r="Y9" s="33">
        <v>42.8</v>
      </c>
      <c r="Z9" s="33">
        <v>25.37</v>
      </c>
      <c r="AA9" s="33">
        <v>23.67</v>
      </c>
      <c r="AB9" s="33">
        <v>22.79</v>
      </c>
      <c r="AC9" s="33">
        <v>22.81</v>
      </c>
      <c r="AD9" s="33">
        <v>22.81</v>
      </c>
      <c r="AE9" s="33">
        <v>29.65</v>
      </c>
      <c r="AF9" s="33">
        <v>101.9</v>
      </c>
      <c r="AG9" s="33">
        <v>136.81</v>
      </c>
      <c r="AH9" s="33">
        <v>107.15</v>
      </c>
      <c r="AI9" s="33">
        <v>105.25</v>
      </c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2448</v>
      </c>
      <c r="E14" s="32"/>
      <c r="F14" s="32"/>
      <c r="G14" s="32"/>
      <c r="H14" s="33">
        <v>154.46</v>
      </c>
      <c r="I14" s="33">
        <v>114.48</v>
      </c>
      <c r="J14" s="33">
        <v>115.39</v>
      </c>
      <c r="K14" s="33">
        <v>120.07</v>
      </c>
      <c r="L14" s="33">
        <v>107.28</v>
      </c>
      <c r="M14" s="33">
        <v>109.23</v>
      </c>
      <c r="N14" s="33">
        <v>224.26</v>
      </c>
      <c r="O14" s="33">
        <v>260.83</v>
      </c>
      <c r="P14" s="33">
        <v>231</v>
      </c>
      <c r="Q14" s="33">
        <v>161.67</v>
      </c>
      <c r="R14" s="33">
        <v>117.86</v>
      </c>
      <c r="S14" s="33">
        <v>128.86</v>
      </c>
      <c r="T14" s="33">
        <v>146.94</v>
      </c>
      <c r="U14" s="33">
        <v>143.11</v>
      </c>
      <c r="V14" s="33">
        <v>106.97</v>
      </c>
      <c r="W14" s="33">
        <v>111.19</v>
      </c>
      <c r="X14" s="33">
        <v>110.63</v>
      </c>
      <c r="Y14" s="33">
        <v>129.68</v>
      </c>
      <c r="Z14" s="33">
        <v>231.59</v>
      </c>
      <c r="AA14" s="33">
        <v>259.08</v>
      </c>
      <c r="AB14" s="33">
        <v>350.04</v>
      </c>
      <c r="AC14" s="33">
        <v>166.91</v>
      </c>
      <c r="AD14" s="33">
        <v>111.47</v>
      </c>
      <c r="AE14" s="33">
        <v>106.18</v>
      </c>
      <c r="AF14" s="33">
        <v>140.95</v>
      </c>
      <c r="AG14" s="33">
        <v>126.25</v>
      </c>
      <c r="AH14" s="33">
        <v>103.72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2449</v>
      </c>
      <c r="E15" s="32"/>
      <c r="F15" s="32"/>
      <c r="G15" s="32"/>
      <c r="H15" s="33">
        <v>26.72</v>
      </c>
      <c r="I15" s="33">
        <v>24.69</v>
      </c>
      <c r="J15" s="33">
        <v>24.57</v>
      </c>
      <c r="K15" s="33">
        <v>27.43</v>
      </c>
      <c r="L15" s="33">
        <v>25.01</v>
      </c>
      <c r="M15" s="33">
        <v>26.54</v>
      </c>
      <c r="N15" s="33">
        <v>25.71</v>
      </c>
      <c r="O15" s="33">
        <v>25.97</v>
      </c>
      <c r="P15" s="33">
        <v>30.11</v>
      </c>
      <c r="Q15" s="33">
        <v>24.84</v>
      </c>
      <c r="R15" s="33">
        <v>26.31</v>
      </c>
      <c r="S15" s="33">
        <v>27.95</v>
      </c>
      <c r="T15" s="33">
        <v>27.61</v>
      </c>
      <c r="U15" s="33">
        <v>25.77</v>
      </c>
      <c r="V15" s="33">
        <v>24.35</v>
      </c>
      <c r="W15" s="33">
        <v>27.62</v>
      </c>
      <c r="X15" s="33">
        <v>24.97</v>
      </c>
      <c r="Y15" s="33">
        <v>27.67</v>
      </c>
      <c r="Z15" s="33">
        <v>23.92</v>
      </c>
      <c r="AA15" s="33">
        <v>26.59</v>
      </c>
      <c r="AB15" s="33">
        <v>31.9</v>
      </c>
      <c r="AC15" s="33">
        <v>24.81</v>
      </c>
      <c r="AD15" s="33">
        <v>27.43</v>
      </c>
      <c r="AE15" s="33">
        <v>29.39</v>
      </c>
      <c r="AF15" s="33">
        <v>29.61</v>
      </c>
      <c r="AG15" s="33">
        <v>29.36</v>
      </c>
      <c r="AH15" s="33">
        <v>25.25</v>
      </c>
      <c r="AI15" s="32"/>
      <c r="AJ15" s="34">
        <f>SUM(E15:AI15)</f>
      </c>
      <c r="AK15" s="35"/>
    </row>
    <row r="16" ht="12.75" customHeight="1" spans="2:37" x14ac:dyDescent="0.25"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12.75" customHeight="1" spans="2:37" x14ac:dyDescent="0.25">
      <c r="B17" s="20" t="s">
        <v>85</v>
      </c>
      <c r="C17" s="21"/>
      <c r="D17" s="21"/>
      <c r="E17" s="22">
        <f>SUM(E14:E15)</f>
      </c>
      <c r="F17" s="22">
        <f>SUM(F14:F15)</f>
      </c>
      <c r="G17" s="22">
        <f>SUM(G14:G15)</f>
      </c>
      <c r="H17" s="22">
        <f>SUM(H14:H15)</f>
      </c>
      <c r="I17" s="22">
        <f>SUM(I14:I15)</f>
      </c>
      <c r="J17" s="22">
        <f>SUM(J14:J15)</f>
      </c>
      <c r="K17" s="22">
        <f>SUM(K14:K15)</f>
      </c>
      <c r="L17" s="22">
        <f>SUM(L14:L15)</f>
      </c>
      <c r="M17" s="22">
        <f>SUM(M14:M15)</f>
      </c>
      <c r="N17" s="22">
        <f>SUM(N14:N15)</f>
      </c>
      <c r="O17" s="22">
        <f>SUM(O14:O15)</f>
      </c>
      <c r="P17" s="22">
        <f>SUM(P14:P15)</f>
      </c>
      <c r="Q17" s="22">
        <f>SUM(Q14:Q15)</f>
      </c>
      <c r="R17" s="22">
        <f>SUM(R14:R15)</f>
      </c>
      <c r="S17" s="22">
        <f>SUM(S14:S15)</f>
      </c>
      <c r="T17" s="22">
        <f>SUM(T14:T15)</f>
      </c>
      <c r="U17" s="22">
        <f>SUM(U14:U15)</f>
      </c>
      <c r="V17" s="22">
        <f>SUM(V14:V15)</f>
      </c>
      <c r="W17" s="22">
        <f>SUM(W14:W15)</f>
      </c>
      <c r="X17" s="22">
        <f>SUM(X14:X15)</f>
      </c>
      <c r="Y17" s="22">
        <f>SUM(Y14:Y15)</f>
      </c>
      <c r="Z17" s="22">
        <f>SUM(Z14:Z15)</f>
      </c>
      <c r="AA17" s="22">
        <f>SUM(AA14:AA15)</f>
      </c>
      <c r="AB17" s="22">
        <f>SUM(AB14:AB15)</f>
      </c>
      <c r="AC17" s="22">
        <f>SUM(AC14:AC15)</f>
      </c>
      <c r="AD17" s="22">
        <f>SUM(AD14:AD15)</f>
      </c>
      <c r="AE17" s="22">
        <f>SUM(AE14:AE15)</f>
      </c>
      <c r="AF17" s="22">
        <f>SUM(AF14:AF15)</f>
      </c>
      <c r="AG17" s="22">
        <f>SUM(AG14:AG15)</f>
      </c>
      <c r="AH17" s="22">
        <f>SUM(AH14:AH15)</f>
      </c>
      <c r="AI17" s="22">
        <f>SUM(AI14:AI15)</f>
      </c>
      <c r="AJ17" s="22">
        <f>SUM(AJ14:AJ15)</f>
      </c>
      <c r="AK17" s="23"/>
    </row>
    <row r="19" ht="12.75" customHeight="1" spans="2:37" x14ac:dyDescent="0.25">
      <c r="B19" s="26" t="s">
        <v>43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9"/>
    </row>
    <row r="20" ht="12.75" customHeight="1" spans="2:37" x14ac:dyDescent="0.25">
      <c r="B20" s="30" t="s">
        <v>43</v>
      </c>
      <c r="C20" s="31" t="s">
        <v>3</v>
      </c>
      <c r="D20" s="32" t="s">
        <v>2450</v>
      </c>
      <c r="E20" s="32"/>
      <c r="F20" s="32"/>
      <c r="G20" s="32"/>
      <c r="H20" s="32"/>
      <c r="I20" s="36">
        <f>716.82+639.76</f>
        <v>1356.58</v>
      </c>
      <c r="J20" s="36">
        <f>774.36+809.22</f>
        <v>1583.58</v>
      </c>
      <c r="K20" s="36">
        <f>694.92+739.03</f>
        <v>1433.9499999999998</v>
      </c>
      <c r="L20" s="36">
        <f>675.50+711.93</f>
        <v>1387.4299999999998</v>
      </c>
      <c r="M20" s="36">
        <f>713.90+798.08</f>
        <v>1511.98</v>
      </c>
      <c r="N20" s="36">
        <f>980.84+1170.73</f>
        <v>2151.57</v>
      </c>
      <c r="O20" s="36">
        <f>944.39+1044.37</f>
        <v>1988.7599999999998</v>
      </c>
      <c r="P20" s="36">
        <f>1201.63+1403.49</f>
        <v>2605.12</v>
      </c>
      <c r="Q20" s="36">
        <f>782.88+31.50+860.40</f>
        <v>1674.78</v>
      </c>
      <c r="R20" s="36">
        <f>893.48+32.68+1016.10</f>
        <v>1942.26</v>
      </c>
      <c r="S20" s="36">
        <f>1006.44+31.50+1171.78</f>
        <v>2209.7200000000003</v>
      </c>
      <c r="T20" s="36">
        <f>815.82+31.50+908.86</f>
        <v>1756.18</v>
      </c>
      <c r="U20" s="36">
        <f>869.21+31.50+983.39</f>
        <v>1884.1</v>
      </c>
      <c r="V20" s="36">
        <f>1145.95+73.54+1448.57</f>
        <v>2668.06</v>
      </c>
      <c r="W20" s="36">
        <f>853.27+73.50+1062.29</f>
        <v>1989.06</v>
      </c>
      <c r="X20" s="36">
        <f>828.74+73.54+1022.45</f>
        <v>1924.73</v>
      </c>
      <c r="Y20" s="36">
        <f>948.74+73.54+1211.22</f>
        <v>2233.5</v>
      </c>
      <c r="Z20" s="36">
        <f>858.74+73.54+1069.64</f>
        <v>2001.92</v>
      </c>
      <c r="AA20" s="36">
        <f>932.01+77.99+1107.70</f>
        <v>2117.7</v>
      </c>
      <c r="AB20" s="36">
        <f>1093.74+73.54+1439.30</f>
        <v>2606.58</v>
      </c>
      <c r="AC20" s="36">
        <f>807.52+77.91+923.51</f>
        <v>1808.94</v>
      </c>
      <c r="AD20" s="36">
        <f>728.73+73.54+865.15</f>
        <v>1667.42</v>
      </c>
      <c r="AE20" s="36">
        <f>890.91+76.29+1109.72</f>
        <v>2076.92</v>
      </c>
      <c r="AF20" s="36">
        <f>658.74+73.54+755.04</f>
        <v>1487.32</v>
      </c>
      <c r="AG20" s="36">
        <f>928.74+73.54+1179.75</f>
        <v>2182.0299999999997</v>
      </c>
      <c r="AH20" s="36">
        <f>650.05+140.07+753.30</f>
        <v>1543.4199999999998</v>
      </c>
      <c r="AI20" s="32"/>
      <c r="AJ20" s="34">
        <f>SUM(E20:AI20)</f>
      </c>
      <c r="AK20" s="35"/>
    </row>
    <row r="21" ht="12.75" customHeight="1" spans="2:37" x14ac:dyDescent="0.25"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ht="12.75" customHeight="1" spans="2:37" x14ac:dyDescent="0.25">
      <c r="B22" s="20" t="s">
        <v>89</v>
      </c>
      <c r="C22" s="21"/>
      <c r="D22" s="21"/>
      <c r="E22" s="22">
        <f>SUM(E20:E20)</f>
      </c>
      <c r="F22" s="22">
        <f>SUM(F20:F20)</f>
      </c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3"/>
    </row>
    <row r="24" ht="12.75" customHeight="1" spans="2:37" x14ac:dyDescent="0.25">
      <c r="B24" s="26" t="s">
        <v>44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</row>
    <row r="25" ht="12.75" customHeight="1" spans="2:37" x14ac:dyDescent="0.25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ht="12.75" customHeight="1" spans="2:37" x14ac:dyDescent="0.25">
      <c r="B26" s="20" t="s">
        <v>90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3"/>
    </row>
    <row r="29" ht="12.75" customHeight="1" spans="2:37" x14ac:dyDescent="0.25">
      <c r="B29" s="11" t="s">
        <v>40</v>
      </c>
      <c r="C29" s="12"/>
      <c r="D29" s="13"/>
      <c r="E29" s="14" t="s">
        <v>7</v>
      </c>
      <c r="F29" s="14" t="s">
        <v>8</v>
      </c>
      <c r="G29" s="14" t="s">
        <v>9</v>
      </c>
      <c r="H29" s="14" t="s">
        <v>10</v>
      </c>
      <c r="I29" s="14" t="s">
        <v>11</v>
      </c>
      <c r="J29" s="14" t="s">
        <v>12</v>
      </c>
      <c r="K29" s="14" t="s">
        <v>13</v>
      </c>
      <c r="L29" s="14" t="s">
        <v>14</v>
      </c>
      <c r="M29" s="14" t="s">
        <v>15</v>
      </c>
      <c r="N29" s="14" t="s">
        <v>16</v>
      </c>
      <c r="O29" s="14" t="s">
        <v>17</v>
      </c>
      <c r="P29" s="14" t="s">
        <v>18</v>
      </c>
      <c r="Q29" s="14" t="s">
        <v>19</v>
      </c>
      <c r="R29" s="14" t="s">
        <v>20</v>
      </c>
      <c r="S29" s="14" t="s">
        <v>21</v>
      </c>
      <c r="T29" s="14" t="s">
        <v>22</v>
      </c>
      <c r="U29" s="14" t="s">
        <v>23</v>
      </c>
      <c r="V29" s="14" t="s">
        <v>24</v>
      </c>
      <c r="W29" s="14" t="s">
        <v>25</v>
      </c>
      <c r="X29" s="14" t="s">
        <v>26</v>
      </c>
      <c r="Y29" s="14" t="s">
        <v>27</v>
      </c>
      <c r="Z29" s="14" t="s">
        <v>28</v>
      </c>
      <c r="AA29" s="14" t="s">
        <v>29</v>
      </c>
      <c r="AB29" s="14" t="s">
        <v>30</v>
      </c>
      <c r="AC29" s="14" t="s">
        <v>31</v>
      </c>
      <c r="AD29" s="14" t="s">
        <v>32</v>
      </c>
      <c r="AE29" s="14" t="s">
        <v>33</v>
      </c>
      <c r="AF29" s="14" t="s">
        <v>34</v>
      </c>
      <c r="AG29" s="14" t="s">
        <v>35</v>
      </c>
      <c r="AH29" s="14" t="s">
        <v>36</v>
      </c>
      <c r="AI29" s="14" t="s">
        <v>37</v>
      </c>
      <c r="AJ29" s="14" t="s">
        <v>38</v>
      </c>
      <c r="AK29" s="15"/>
    </row>
    <row r="30" ht="12.75" customHeight="1" spans="2:37" x14ac:dyDescent="0.25">
      <c r="B30" s="16" t="s">
        <v>41</v>
      </c>
      <c r="C30" s="17"/>
      <c r="D30" s="17"/>
      <c r="E30" s="18">
        <f>E11</f>
      </c>
      <c r="F30" s="18">
        <f>F11</f>
      </c>
      <c r="G30" s="18">
        <f>G11</f>
      </c>
      <c r="H30" s="18">
        <f>H11</f>
      </c>
      <c r="I30" s="18">
        <f>I11</f>
      </c>
      <c r="J30" s="18">
        <f>J11</f>
      </c>
      <c r="K30" s="18">
        <f>K11</f>
      </c>
      <c r="L30" s="18">
        <f>L11</f>
      </c>
      <c r="M30" s="18">
        <f>M11</f>
      </c>
      <c r="N30" s="18">
        <f>N11</f>
      </c>
      <c r="O30" s="18">
        <f>O11</f>
      </c>
      <c r="P30" s="18">
        <f>P11</f>
      </c>
      <c r="Q30" s="18">
        <f>Q11</f>
      </c>
      <c r="R30" s="18">
        <f>R11</f>
      </c>
      <c r="S30" s="18">
        <f>S11</f>
      </c>
      <c r="T30" s="18">
        <f>T11</f>
      </c>
      <c r="U30" s="18">
        <f>U11</f>
      </c>
      <c r="V30" s="18">
        <f>V11</f>
      </c>
      <c r="W30" s="18">
        <f>W11</f>
      </c>
      <c r="X30" s="18">
        <f>X11</f>
      </c>
      <c r="Y30" s="18">
        <f>Y11</f>
      </c>
      <c r="Z30" s="18">
        <f>Z11</f>
      </c>
      <c r="AA30" s="18">
        <f>AA11</f>
      </c>
      <c r="AB30" s="18">
        <f>AB11</f>
      </c>
      <c r="AC30" s="18">
        <f>AC11</f>
      </c>
      <c r="AD30" s="18">
        <f>AD11</f>
      </c>
      <c r="AE30" s="18">
        <f>AE11</f>
      </c>
      <c r="AF30" s="18">
        <f>AF11</f>
      </c>
      <c r="AG30" s="18">
        <f>AG11</f>
      </c>
      <c r="AH30" s="18">
        <f>AH11</f>
      </c>
      <c r="AI30" s="18">
        <f>AI11</f>
      </c>
      <c r="AJ30" s="18">
        <f>AJ11</f>
      </c>
      <c r="AK30" s="19"/>
    </row>
    <row r="31" ht="12.75" customHeight="1" spans="2:37" x14ac:dyDescent="0.25">
      <c r="B31" s="16" t="s">
        <v>42</v>
      </c>
      <c r="C31" s="17"/>
      <c r="D31" s="17"/>
      <c r="E31" s="18">
        <f>E17</f>
      </c>
      <c r="F31" s="18">
        <f>F17</f>
      </c>
      <c r="G31" s="18">
        <f>G17</f>
      </c>
      <c r="H31" s="18">
        <f>H17</f>
      </c>
      <c r="I31" s="18">
        <f>I17</f>
      </c>
      <c r="J31" s="18">
        <f>J17</f>
      </c>
      <c r="K31" s="18">
        <f>K17</f>
      </c>
      <c r="L31" s="18">
        <f>L17</f>
      </c>
      <c r="M31" s="18">
        <f>M17</f>
      </c>
      <c r="N31" s="18">
        <f>N17</f>
      </c>
      <c r="O31" s="18">
        <f>O17</f>
      </c>
      <c r="P31" s="18">
        <f>P17</f>
      </c>
      <c r="Q31" s="18">
        <f>Q17</f>
      </c>
      <c r="R31" s="18">
        <f>R17</f>
      </c>
      <c r="S31" s="18">
        <f>S17</f>
      </c>
      <c r="T31" s="18">
        <f>T17</f>
      </c>
      <c r="U31" s="18">
        <f>U17</f>
      </c>
      <c r="V31" s="18">
        <f>V17</f>
      </c>
      <c r="W31" s="18">
        <f>W17</f>
      </c>
      <c r="X31" s="18">
        <f>X17</f>
      </c>
      <c r="Y31" s="18">
        <f>Y17</f>
      </c>
      <c r="Z31" s="18">
        <f>Z17</f>
      </c>
      <c r="AA31" s="18">
        <f>AA17</f>
      </c>
      <c r="AB31" s="18">
        <f>AB17</f>
      </c>
      <c r="AC31" s="18">
        <f>AC17</f>
      </c>
      <c r="AD31" s="18">
        <f>AD17</f>
      </c>
      <c r="AE31" s="18">
        <f>AE17</f>
      </c>
      <c r="AF31" s="18">
        <f>AF17</f>
      </c>
      <c r="AG31" s="18">
        <f>AG17</f>
      </c>
      <c r="AH31" s="18">
        <f>AH17</f>
      </c>
      <c r="AI31" s="18">
        <f>AI17</f>
      </c>
      <c r="AJ31" s="18">
        <f>AJ17</f>
      </c>
      <c r="AK31" s="19"/>
    </row>
    <row r="32" ht="12.75" customHeight="1" spans="2:37" x14ac:dyDescent="0.25">
      <c r="B32" s="16" t="s">
        <v>43</v>
      </c>
      <c r="C32" s="17"/>
      <c r="D32" s="17"/>
      <c r="E32" s="18">
        <f>E22</f>
      </c>
      <c r="F32" s="18">
        <f>F22</f>
      </c>
      <c r="G32" s="18">
        <f>G22</f>
      </c>
      <c r="H32" s="18">
        <f>H22</f>
      </c>
      <c r="I32" s="18">
        <f>I22</f>
      </c>
      <c r="J32" s="18">
        <f>J22</f>
      </c>
      <c r="K32" s="18">
        <f>K22</f>
      </c>
      <c r="L32" s="18">
        <f>L22</f>
      </c>
      <c r="M32" s="18">
        <f>M22</f>
      </c>
      <c r="N32" s="18">
        <f>N22</f>
      </c>
      <c r="O32" s="18">
        <f>O22</f>
      </c>
      <c r="P32" s="18">
        <f>P22</f>
      </c>
      <c r="Q32" s="18">
        <f>Q22</f>
      </c>
      <c r="R32" s="18">
        <f>R22</f>
      </c>
      <c r="S32" s="18">
        <f>S22</f>
      </c>
      <c r="T32" s="18">
        <f>T22</f>
      </c>
      <c r="U32" s="18">
        <f>U22</f>
      </c>
      <c r="V32" s="18">
        <f>V22</f>
      </c>
      <c r="W32" s="18">
        <f>W22</f>
      </c>
      <c r="X32" s="18">
        <f>X22</f>
      </c>
      <c r="Y32" s="18">
        <f>Y22</f>
      </c>
      <c r="Z32" s="18">
        <f>Z22</f>
      </c>
      <c r="AA32" s="18">
        <f>AA22</f>
      </c>
      <c r="AB32" s="18">
        <f>AB22</f>
      </c>
      <c r="AC32" s="18">
        <f>AC22</f>
      </c>
      <c r="AD32" s="18">
        <f>AD22</f>
      </c>
      <c r="AE32" s="18">
        <f>AE22</f>
      </c>
      <c r="AF32" s="18">
        <f>AF22</f>
      </c>
      <c r="AG32" s="18">
        <f>AG22</f>
      </c>
      <c r="AH32" s="18">
        <f>AH22</f>
      </c>
      <c r="AI32" s="18">
        <f>AI22</f>
      </c>
      <c r="AJ32" s="18">
        <f>AJ22</f>
      </c>
      <c r="AK32" s="19"/>
    </row>
    <row r="33" ht="12.75" customHeight="1" spans="2:37" x14ac:dyDescent="0.25">
      <c r="B33" s="16" t="s">
        <v>44</v>
      </c>
      <c r="C33" s="17"/>
      <c r="D33" s="17"/>
      <c r="E33" s="18">
        <f>E26</f>
      </c>
      <c r="F33" s="18">
        <f>F26</f>
      </c>
      <c r="G33" s="18">
        <f>G26</f>
      </c>
      <c r="H33" s="18">
        <f>H26</f>
      </c>
      <c r="I33" s="18">
        <f>I26</f>
      </c>
      <c r="J33" s="18">
        <f>J26</f>
      </c>
      <c r="K33" s="18">
        <f>K26</f>
      </c>
      <c r="L33" s="18">
        <f>L26</f>
      </c>
      <c r="M33" s="18">
        <f>M26</f>
      </c>
      <c r="N33" s="18">
        <f>N26</f>
      </c>
      <c r="O33" s="18">
        <f>O26</f>
      </c>
      <c r="P33" s="18">
        <f>P26</f>
      </c>
      <c r="Q33" s="18">
        <f>Q26</f>
      </c>
      <c r="R33" s="18">
        <f>R26</f>
      </c>
      <c r="S33" s="18">
        <f>S26</f>
      </c>
      <c r="T33" s="18">
        <f>T26</f>
      </c>
      <c r="U33" s="18">
        <f>U26</f>
      </c>
      <c r="V33" s="18">
        <f>V26</f>
      </c>
      <c r="W33" s="18">
        <f>W26</f>
      </c>
      <c r="X33" s="18">
        <f>X26</f>
      </c>
      <c r="Y33" s="18">
        <f>Y26</f>
      </c>
      <c r="Z33" s="18">
        <f>Z26</f>
      </c>
      <c r="AA33" s="18">
        <f>AA26</f>
      </c>
      <c r="AB33" s="18">
        <f>AB26</f>
      </c>
      <c r="AC33" s="18">
        <f>AC26</f>
      </c>
      <c r="AD33" s="18">
        <f>AD26</f>
      </c>
      <c r="AE33" s="18">
        <f>AE26</f>
      </c>
      <c r="AF33" s="18">
        <f>AF26</f>
      </c>
      <c r="AG33" s="18">
        <f>AG26</f>
      </c>
      <c r="AH33" s="18">
        <f>AH26</f>
      </c>
      <c r="AI33" s="18">
        <f>AI26</f>
      </c>
      <c r="AJ33" s="18">
        <f>AJ26</f>
      </c>
      <c r="AK33" s="19"/>
    </row>
    <row r="34" ht="12.75" customHeight="1" spans="2:37" x14ac:dyDescent="0.25">
      <c r="B34" s="20" t="s">
        <v>45</v>
      </c>
      <c r="C34" s="21"/>
      <c r="D34" s="21"/>
      <c r="E34" s="22">
        <f>E30+E31+E32+E33</f>
      </c>
      <c r="F34" s="22">
        <f>F30+F31+F32+F33</f>
      </c>
      <c r="G34" s="22">
        <f>G30+G31+G32+G33</f>
      </c>
      <c r="H34" s="22">
        <f>H30+H31+H32+H33</f>
      </c>
      <c r="I34" s="22">
        <f>I30+I31+I32+I33</f>
      </c>
      <c r="J34" s="22">
        <f>J30+J31+J32+J33</f>
      </c>
      <c r="K34" s="22">
        <f>K30+K31+K32+K33</f>
      </c>
      <c r="L34" s="22">
        <f>L30+L31+L32+L33</f>
      </c>
      <c r="M34" s="22">
        <f>M30+M31+M32+M33</f>
      </c>
      <c r="N34" s="22">
        <f>N30+N31+N32+N33</f>
      </c>
      <c r="O34" s="22">
        <f>O30+O31+O32+O33</f>
      </c>
      <c r="P34" s="22">
        <f>P30+P31+P32+P33</f>
      </c>
      <c r="Q34" s="22">
        <f>Q30+Q31+Q32+Q33</f>
      </c>
      <c r="R34" s="22">
        <f>R30+R31+R32+R33</f>
      </c>
      <c r="S34" s="22">
        <f>S30+S31+S32+S33</f>
      </c>
      <c r="T34" s="22">
        <f>T30+T31+T32+T33</f>
      </c>
      <c r="U34" s="22">
        <f>U30+U31+U32+U33</f>
      </c>
      <c r="V34" s="22">
        <f>V30+V31+V32+V33</f>
      </c>
      <c r="W34" s="22">
        <f>W30+W31+W32+W33</f>
      </c>
      <c r="X34" s="22">
        <f>X30+X31+X32+X33</f>
      </c>
      <c r="Y34" s="22">
        <f>Y30+Y31+Y32+Y33</f>
      </c>
      <c r="Z34" s="22">
        <f>Z30+Z31+Z32+Z33</f>
      </c>
      <c r="AA34" s="22">
        <f>AA30+AA31+AA32+AA33</f>
      </c>
      <c r="AB34" s="22">
        <f>AB30+AB31+AB32+AB33</f>
      </c>
      <c r="AC34" s="22">
        <f>AC30+AC31+AC32+AC33</f>
      </c>
      <c r="AD34" s="22">
        <f>AD30+AD31+AD32+AD33</f>
      </c>
      <c r="AE34" s="22">
        <f>AE30+AE31+AE32+AE33</f>
      </c>
      <c r="AF34" s="22">
        <f>AF30+AF31+AF32+AF33</f>
      </c>
      <c r="AG34" s="22">
        <f>AG30+AG31+AG32+AG33</f>
      </c>
      <c r="AH34" s="22">
        <f>AH30+AH31+AH32+AH33</f>
      </c>
      <c r="AI34" s="22">
        <f>AI30+AI31+AI32+AI33</f>
      </c>
      <c r="AJ34" s="22">
        <f>AJ30+AJ31+AJ32+AJ33</f>
      </c>
      <c r="AK34" s="23"/>
    </row>
    <row r="36" ht="12.75" customHeight="1" spans="2:37" x14ac:dyDescent="0.25">
      <c r="B36" s="11" t="s">
        <v>46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ht="12.75" customHeight="1" spans="2:37" x14ac:dyDescent="0.25">
      <c r="B38" s="16" t="s">
        <v>42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44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47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24">
        <f>E37-E30</f>
      </c>
      <c r="F44" s="24">
        <f>F37-F30</f>
      </c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19"/>
    </row>
    <row r="45" ht="12.75" customHeight="1" spans="2:37" x14ac:dyDescent="0.25">
      <c r="B45" s="16" t="s">
        <v>42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43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44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20" t="s">
        <v>45</v>
      </c>
      <c r="C48" s="21"/>
      <c r="D48" s="21"/>
      <c r="E48" s="25">
        <f>E44+E45+E46+E47</f>
      </c>
      <c r="F48" s="25">
        <f>F44+F45+F46+F47</f>
      </c>
      <c r="G48" s="25">
        <f>G44+G45+G46+G47</f>
      </c>
      <c r="H48" s="25">
        <f>H44+H45+H46+H47</f>
      </c>
      <c r="I48" s="25">
        <f>I44+I45+I46+I47</f>
      </c>
      <c r="J48" s="25">
        <f>J44+J45+J46+J47</f>
      </c>
      <c r="K48" s="25">
        <f>K44+K45+K46+K47</f>
      </c>
      <c r="L48" s="25">
        <f>L44+L45+L46+L47</f>
      </c>
      <c r="M48" s="25">
        <f>M44+M45+M46+M47</f>
      </c>
      <c r="N48" s="25">
        <f>N44+N45+N46+N47</f>
      </c>
      <c r="O48" s="25">
        <f>O44+O45+O46+O47</f>
      </c>
      <c r="P48" s="25">
        <f>P44+P45+P46+P47</f>
      </c>
      <c r="Q48" s="25">
        <f>Q44+Q45+Q46+Q47</f>
      </c>
      <c r="R48" s="25">
        <f>R44+R45+R46+R47</f>
      </c>
      <c r="S48" s="25">
        <f>S44+S45+S46+S47</f>
      </c>
      <c r="T48" s="25">
        <f>T44+T45+T46+T47</f>
      </c>
      <c r="U48" s="25">
        <f>U44+U45+U46+U47</f>
      </c>
      <c r="V48" s="25">
        <f>V44+V45+V46+V47</f>
      </c>
      <c r="W48" s="25">
        <f>W44+W45+W46+W47</f>
      </c>
      <c r="X48" s="25">
        <f>X44+X45+X46+X47</f>
      </c>
      <c r="Y48" s="25">
        <f>Y44+Y45+Y46+Y47</f>
      </c>
      <c r="Z48" s="25">
        <f>Z44+Z45+Z46+Z47</f>
      </c>
      <c r="AA48" s="25">
        <f>AA44+AA45+AA46+AA47</f>
      </c>
      <c r="AB48" s="25">
        <f>AB44+AB45+AB46+AB47</f>
      </c>
      <c r="AC48" s="25">
        <f>AC44+AC45+AC46+AC47</f>
      </c>
      <c r="AD48" s="25">
        <f>AD44+AD45+AD46+AD47</f>
      </c>
      <c r="AE48" s="25">
        <f>AE44+AE45+AE46+AE47</f>
      </c>
      <c r="AF48" s="25">
        <f>AF44+AF45+AF46+AF47</f>
      </c>
      <c r="AG48" s="25">
        <f>AG44+AG45+AG46+AG47</f>
      </c>
      <c r="AH48" s="25">
        <f>AH44+AH45+AH46+AH47</f>
      </c>
      <c r="AI48" s="25">
        <f>AI44+AI45+AI46+AI47</f>
      </c>
      <c r="AJ48" s="25">
        <f>AJ44+AJ45+AJ46+AJ47</f>
      </c>
      <c r="AK4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2446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1455</v>
      </c>
      <c r="K8" s="44" t="s">
        <v>2451</v>
      </c>
      <c r="L8" s="44" t="s">
        <v>2452</v>
      </c>
      <c r="M8" s="44" t="s">
        <v>2453</v>
      </c>
      <c r="N8" s="44" t="s">
        <v>2454</v>
      </c>
      <c r="O8" s="44" t="s">
        <v>2455</v>
      </c>
      <c r="P8" s="44" t="s">
        <v>2456</v>
      </c>
      <c r="Q8" s="44" t="s">
        <v>2457</v>
      </c>
      <c r="R8" s="44" t="s">
        <v>2458</v>
      </c>
      <c r="S8" s="44" t="s">
        <v>2459</v>
      </c>
      <c r="T8" s="44" t="s">
        <v>2460</v>
      </c>
      <c r="U8" s="44" t="s">
        <v>2461</v>
      </c>
      <c r="V8" s="44" t="s">
        <v>2462</v>
      </c>
      <c r="W8" s="44" t="s">
        <v>2463</v>
      </c>
      <c r="X8" s="44" t="s">
        <v>2464</v>
      </c>
      <c r="Y8" s="44" t="s">
        <v>2465</v>
      </c>
      <c r="Z8" s="44" t="s">
        <v>2466</v>
      </c>
      <c r="AA8" s="44" t="s">
        <v>2467</v>
      </c>
      <c r="AB8" s="44" t="s">
        <v>2468</v>
      </c>
      <c r="AC8" s="44" t="s">
        <v>2469</v>
      </c>
      <c r="AD8" s="44" t="s">
        <v>2470</v>
      </c>
      <c r="AE8" s="44" t="s">
        <v>2471</v>
      </c>
      <c r="AF8" s="44" t="s">
        <v>2472</v>
      </c>
      <c r="AG8" s="44" t="s">
        <v>2473</v>
      </c>
      <c r="AH8" s="44" t="s">
        <v>2474</v>
      </c>
      <c r="AI8" s="44" t="s">
        <v>2475</v>
      </c>
      <c r="AJ8" s="44" t="s">
        <v>249</v>
      </c>
      <c r="AK8" s="44" t="s">
        <v>1780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2446</v>
      </c>
      <c r="D10" s="50" t="s">
        <v>41</v>
      </c>
      <c r="E10" s="32" t="s">
        <v>3</v>
      </c>
      <c r="F10" s="32" t="s">
        <v>2447</v>
      </c>
      <c r="G10" s="32"/>
      <c r="H10" s="32"/>
      <c r="I10" s="32"/>
      <c r="J10" s="32"/>
      <c r="K10" s="33">
        <v>160.57</v>
      </c>
      <c r="L10" s="33">
        <v>138.7</v>
      </c>
      <c r="M10" s="33">
        <v>110.98</v>
      </c>
      <c r="N10" s="33">
        <v>82.81</v>
      </c>
      <c r="O10" s="33">
        <v>34.17</v>
      </c>
      <c r="P10" s="33">
        <v>22.79</v>
      </c>
      <c r="Q10" s="33">
        <v>22.79</v>
      </c>
      <c r="R10" s="33">
        <v>23.6</v>
      </c>
      <c r="S10" s="33">
        <v>23.19</v>
      </c>
      <c r="T10" s="33">
        <f>22.79+57.40</f>
        <v>80.19</v>
      </c>
      <c r="U10" s="33">
        <v>106.26</v>
      </c>
      <c r="V10" s="33">
        <v>122.47</v>
      </c>
      <c r="W10" s="33">
        <v>138.15</v>
      </c>
      <c r="X10" s="32"/>
      <c r="Y10" s="33">
        <v>123.49</v>
      </c>
      <c r="Z10" s="33">
        <v>75.57</v>
      </c>
      <c r="AA10" s="33">
        <v>42.8</v>
      </c>
      <c r="AB10" s="33">
        <v>25.37</v>
      </c>
      <c r="AC10" s="33">
        <v>23.67</v>
      </c>
      <c r="AD10" s="33">
        <v>22.79</v>
      </c>
      <c r="AE10" s="33">
        <v>22.81</v>
      </c>
      <c r="AF10" s="33">
        <v>22.81</v>
      </c>
      <c r="AG10" s="33">
        <v>29.65</v>
      </c>
      <c r="AH10" s="33">
        <v>101.9</v>
      </c>
      <c r="AI10" s="33">
        <v>136.81</v>
      </c>
      <c r="AJ10" s="33">
        <v>107.15</v>
      </c>
      <c r="AK10" s="33">
        <v>105.25</v>
      </c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2446</v>
      </c>
      <c r="D15" s="50" t="s">
        <v>42</v>
      </c>
      <c r="E15" s="32" t="s">
        <v>3</v>
      </c>
      <c r="F15" s="32" t="s">
        <v>2448</v>
      </c>
      <c r="G15" s="32"/>
      <c r="H15" s="32"/>
      <c r="I15" s="32"/>
      <c r="J15" s="33">
        <v>154.46</v>
      </c>
      <c r="K15" s="33">
        <v>114.48</v>
      </c>
      <c r="L15" s="33">
        <v>115.39</v>
      </c>
      <c r="M15" s="33">
        <v>120.07</v>
      </c>
      <c r="N15" s="33">
        <v>107.28</v>
      </c>
      <c r="O15" s="33">
        <v>109.23</v>
      </c>
      <c r="P15" s="33">
        <v>224.26</v>
      </c>
      <c r="Q15" s="33">
        <v>260.83</v>
      </c>
      <c r="R15" s="33">
        <v>231</v>
      </c>
      <c r="S15" s="33">
        <v>161.67</v>
      </c>
      <c r="T15" s="33">
        <v>117.86</v>
      </c>
      <c r="U15" s="33">
        <v>128.86</v>
      </c>
      <c r="V15" s="33">
        <v>146.94</v>
      </c>
      <c r="W15" s="33">
        <v>143.11</v>
      </c>
      <c r="X15" s="33">
        <v>106.97</v>
      </c>
      <c r="Y15" s="33">
        <v>111.19</v>
      </c>
      <c r="Z15" s="33">
        <v>110.63</v>
      </c>
      <c r="AA15" s="33">
        <v>129.68</v>
      </c>
      <c r="AB15" s="33">
        <v>231.59</v>
      </c>
      <c r="AC15" s="33">
        <v>259.08</v>
      </c>
      <c r="AD15" s="33">
        <v>350.04</v>
      </c>
      <c r="AE15" s="33">
        <v>166.91</v>
      </c>
      <c r="AF15" s="33">
        <v>111.47</v>
      </c>
      <c r="AG15" s="33">
        <v>106.18</v>
      </c>
      <c r="AH15" s="33">
        <v>140.95</v>
      </c>
      <c r="AI15" s="33">
        <v>126.25</v>
      </c>
      <c r="AJ15" s="33">
        <v>103.72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2446</v>
      </c>
      <c r="D16" s="50" t="s">
        <v>42</v>
      </c>
      <c r="E16" s="32" t="s">
        <v>3</v>
      </c>
      <c r="F16" s="32" t="s">
        <v>2449</v>
      </c>
      <c r="G16" s="32"/>
      <c r="H16" s="32"/>
      <c r="I16" s="32"/>
      <c r="J16" s="33">
        <v>26.72</v>
      </c>
      <c r="K16" s="33">
        <v>24.69</v>
      </c>
      <c r="L16" s="33">
        <v>24.57</v>
      </c>
      <c r="M16" s="33">
        <v>27.43</v>
      </c>
      <c r="N16" s="33">
        <v>25.01</v>
      </c>
      <c r="O16" s="33">
        <v>26.54</v>
      </c>
      <c r="P16" s="33">
        <v>25.71</v>
      </c>
      <c r="Q16" s="33">
        <v>25.97</v>
      </c>
      <c r="R16" s="33">
        <v>30.11</v>
      </c>
      <c r="S16" s="33">
        <v>24.84</v>
      </c>
      <c r="T16" s="33">
        <v>26.31</v>
      </c>
      <c r="U16" s="33">
        <v>27.95</v>
      </c>
      <c r="V16" s="33">
        <v>27.61</v>
      </c>
      <c r="W16" s="33">
        <v>25.77</v>
      </c>
      <c r="X16" s="33">
        <v>24.35</v>
      </c>
      <c r="Y16" s="33">
        <v>27.62</v>
      </c>
      <c r="Z16" s="33">
        <v>24.97</v>
      </c>
      <c r="AA16" s="33">
        <v>27.67</v>
      </c>
      <c r="AB16" s="33">
        <v>23.92</v>
      </c>
      <c r="AC16" s="33">
        <v>26.59</v>
      </c>
      <c r="AD16" s="33">
        <v>31.9</v>
      </c>
      <c r="AE16" s="33">
        <v>24.81</v>
      </c>
      <c r="AF16" s="33">
        <v>27.43</v>
      </c>
      <c r="AG16" s="33">
        <v>29.39</v>
      </c>
      <c r="AH16" s="33">
        <v>29.61</v>
      </c>
      <c r="AI16" s="33">
        <v>29.36</v>
      </c>
      <c r="AJ16" s="33">
        <v>25.25</v>
      </c>
      <c r="AK16" s="32"/>
      <c r="AL16" s="34">
        <f>SUM(G16:AK16)</f>
      </c>
      <c r="AM16" s="35"/>
    </row>
    <row r="17" ht="13.5" customHeight="1" spans="2:39" x14ac:dyDescent="0.25">
      <c r="B17" s="5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0"/>
    </row>
    <row r="18" ht="13.5" customHeight="1" spans="2:39" x14ac:dyDescent="0.25">
      <c r="B18" s="20"/>
      <c r="C18" s="21"/>
      <c r="D18" s="21" t="s">
        <v>85</v>
      </c>
      <c r="E18" s="21"/>
      <c r="F18" s="21"/>
      <c r="G18" s="22">
        <f>SUM(G15:G16)</f>
      </c>
      <c r="H18" s="22">
        <f>SUM(H15:H16)</f>
      </c>
      <c r="I18" s="22">
        <f>SUM(I15:I16)</f>
      </c>
      <c r="J18" s="22">
        <f>SUM(J15:J16)</f>
      </c>
      <c r="K18" s="22">
        <f>SUM(K15:K16)</f>
      </c>
      <c r="L18" s="22">
        <f>SUM(L15:L16)</f>
      </c>
      <c r="M18" s="22">
        <f>SUM(M15:M16)</f>
      </c>
      <c r="N18" s="22">
        <f>SUM(N15:N16)</f>
      </c>
      <c r="O18" s="22">
        <f>SUM(O15:O16)</f>
      </c>
      <c r="P18" s="22">
        <f>SUM(P15:P16)</f>
      </c>
      <c r="Q18" s="22">
        <f>SUM(Q15:Q16)</f>
      </c>
      <c r="R18" s="22">
        <f>SUM(R15:R16)</f>
      </c>
      <c r="S18" s="22">
        <f>SUM(S15:S16)</f>
      </c>
      <c r="T18" s="22">
        <f>SUM(T15:T16)</f>
      </c>
      <c r="U18" s="22">
        <f>SUM(U15:U16)</f>
      </c>
      <c r="V18" s="22">
        <f>SUM(V15:V16)</f>
      </c>
      <c r="W18" s="22">
        <f>SUM(W15:W16)</f>
      </c>
      <c r="X18" s="22">
        <f>SUM(X15:X16)</f>
      </c>
      <c r="Y18" s="22">
        <f>SUM(Y15:Y16)</f>
      </c>
      <c r="Z18" s="22">
        <f>SUM(Z15:Z16)</f>
      </c>
      <c r="AA18" s="22">
        <f>SUM(AA15:AA16)</f>
      </c>
      <c r="AB18" s="22">
        <f>SUM(AB15:AB16)</f>
      </c>
      <c r="AC18" s="22">
        <f>SUM(AC15:AC16)</f>
      </c>
      <c r="AD18" s="22">
        <f>SUM(AD15:AD16)</f>
      </c>
      <c r="AE18" s="22">
        <f>SUM(AE15:AE16)</f>
      </c>
      <c r="AF18" s="22">
        <f>SUM(AF15:AF16)</f>
      </c>
      <c r="AG18" s="22">
        <f>SUM(AG15:AG16)</f>
      </c>
      <c r="AH18" s="22">
        <f>SUM(AH15:AH16)</f>
      </c>
      <c r="AI18" s="22">
        <f>SUM(AI15:AI16)</f>
      </c>
      <c r="AJ18" s="22">
        <f>SUM(AJ15:AJ16)</f>
      </c>
      <c r="AK18" s="22">
        <f>SUM(AK15:AK16)</f>
      </c>
      <c r="AL18" s="22">
        <f>SUM(AL15:AL16)</f>
      </c>
      <c r="AM18" s="23"/>
    </row>
    <row r="20" ht="13.5" customHeight="1" spans="2:39" x14ac:dyDescent="0.25">
      <c r="B20" s="46"/>
      <c r="C20" s="28"/>
      <c r="D20" s="47" t="s">
        <v>43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3.5" customHeight="1" spans="2:39" x14ac:dyDescent="0.25">
      <c r="B21" s="48" t="s">
        <v>3</v>
      </c>
      <c r="C21" s="49" t="s">
        <v>2446</v>
      </c>
      <c r="D21" s="50" t="s">
        <v>43</v>
      </c>
      <c r="E21" s="32" t="s">
        <v>3</v>
      </c>
      <c r="F21" s="32" t="s">
        <v>2450</v>
      </c>
      <c r="G21" s="32"/>
      <c r="H21" s="32"/>
      <c r="I21" s="32"/>
      <c r="J21" s="32"/>
      <c r="K21" s="33">
        <f>716.82+639.76</f>
        <v>1356.58</v>
      </c>
      <c r="L21" s="33">
        <f>774.36+809.22</f>
        <v>1583.58</v>
      </c>
      <c r="M21" s="33">
        <f>694.92+739.03</f>
        <v>1433.9499999999998</v>
      </c>
      <c r="N21" s="33">
        <f>675.50+711.93</f>
        <v>1387.4299999999998</v>
      </c>
      <c r="O21" s="33">
        <f>713.90+798.08</f>
        <v>1511.98</v>
      </c>
      <c r="P21" s="33">
        <f>980.84+1170.73</f>
        <v>2151.57</v>
      </c>
      <c r="Q21" s="33">
        <f>944.39+1044.37</f>
        <v>1988.7599999999998</v>
      </c>
      <c r="R21" s="33">
        <f>1201.63+1403.49</f>
        <v>2605.12</v>
      </c>
      <c r="S21" s="33">
        <f>782.88+31.50+860.40</f>
        <v>1674.78</v>
      </c>
      <c r="T21" s="33">
        <f>893.48+32.68+1016.10</f>
        <v>1942.26</v>
      </c>
      <c r="U21" s="33">
        <f>1006.44+31.50+1171.78</f>
        <v>2209.7200000000003</v>
      </c>
      <c r="V21" s="33">
        <f>815.82+31.50+908.86</f>
        <v>1756.18</v>
      </c>
      <c r="W21" s="33">
        <f>869.21+31.50+983.39</f>
        <v>1884.1</v>
      </c>
      <c r="X21" s="33">
        <f>1145.95+73.54+1448.57</f>
        <v>2668.06</v>
      </c>
      <c r="Y21" s="33">
        <f>853.27+73.50+1062.29</f>
        <v>1989.06</v>
      </c>
      <c r="Z21" s="33">
        <f>828.74+73.54+1022.45</f>
        <v>1924.73</v>
      </c>
      <c r="AA21" s="33">
        <f>948.74+73.54+1211.22</f>
        <v>2233.5</v>
      </c>
      <c r="AB21" s="33">
        <f>858.74+73.54+1069.64</f>
        <v>2001.92</v>
      </c>
      <c r="AC21" s="33">
        <f>932.01+77.99+1107.70</f>
        <v>2117.7</v>
      </c>
      <c r="AD21" s="33">
        <f>1093.74+73.54+1439.30</f>
        <v>2606.58</v>
      </c>
      <c r="AE21" s="33">
        <f>807.52+77.91+923.51</f>
        <v>1808.94</v>
      </c>
      <c r="AF21" s="33">
        <f>728.73+73.54+865.15</f>
        <v>1667.42</v>
      </c>
      <c r="AG21" s="33">
        <f>890.91+76.29+1109.72</f>
        <v>2076.92</v>
      </c>
      <c r="AH21" s="33">
        <f>658.74+73.54+755.04</f>
        <v>1487.32</v>
      </c>
      <c r="AI21" s="33">
        <f>928.74+73.54+1179.75</f>
        <v>2182.0299999999997</v>
      </c>
      <c r="AJ21" s="33">
        <f>650.05+140.07+753.30</f>
        <v>1543.4199999999998</v>
      </c>
      <c r="AK21" s="32"/>
      <c r="AL21" s="34">
        <f>SUM(G21:AK21)</f>
      </c>
      <c r="AM21" s="35"/>
    </row>
    <row r="22" ht="13.5" customHeight="1" spans="2:39" x14ac:dyDescent="0.25">
      <c r="B22" s="51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0"/>
    </row>
    <row r="23" ht="13.5" customHeight="1" spans="2:39" x14ac:dyDescent="0.25">
      <c r="B23" s="20"/>
      <c r="C23" s="21"/>
      <c r="D23" s="21" t="s">
        <v>89</v>
      </c>
      <c r="E23" s="21"/>
      <c r="F23" s="21"/>
      <c r="G23" s="22">
        <f>SUM(G21:G21)</f>
      </c>
      <c r="H23" s="22">
        <f>SUM(H21:H21)</f>
      </c>
      <c r="I23" s="22">
        <f>SUM(I21:I21)</f>
      </c>
      <c r="J23" s="22">
        <f>SUM(J21:J21)</f>
      </c>
      <c r="K23" s="22">
        <f>SUM(K21:K21)</f>
      </c>
      <c r="L23" s="22">
        <f>SUM(L21:L21)</f>
      </c>
      <c r="M23" s="22">
        <f>SUM(M21:M21)</f>
      </c>
      <c r="N23" s="22">
        <f>SUM(N21:N21)</f>
      </c>
      <c r="O23" s="22">
        <f>SUM(O21:O21)</f>
      </c>
      <c r="P23" s="22">
        <f>SUM(P21:P21)</f>
      </c>
      <c r="Q23" s="22">
        <f>SUM(Q21:Q21)</f>
      </c>
      <c r="R23" s="22">
        <f>SUM(R21:R21)</f>
      </c>
      <c r="S23" s="22">
        <f>SUM(S21:S21)</f>
      </c>
      <c r="T23" s="22">
        <f>SUM(T21:T21)</f>
      </c>
      <c r="U23" s="22">
        <f>SUM(U21:U21)</f>
      </c>
      <c r="V23" s="22">
        <f>SUM(V21:V21)</f>
      </c>
      <c r="W23" s="22">
        <f>SUM(W21:W21)</f>
      </c>
      <c r="X23" s="22">
        <f>SUM(X21:X21)</f>
      </c>
      <c r="Y23" s="22">
        <f>SUM(Y21:Y21)</f>
      </c>
      <c r="Z23" s="22">
        <f>SUM(Z21:Z21)</f>
      </c>
      <c r="AA23" s="22">
        <f>SUM(AA21:AA21)</f>
      </c>
      <c r="AB23" s="22">
        <f>SUM(AB21:AB21)</f>
      </c>
      <c r="AC23" s="22">
        <f>SUM(AC21:AC21)</f>
      </c>
      <c r="AD23" s="22">
        <f>SUM(AD21:AD21)</f>
      </c>
      <c r="AE23" s="22">
        <f>SUM(AE21:AE21)</f>
      </c>
      <c r="AF23" s="22">
        <f>SUM(AF21:AF21)</f>
      </c>
      <c r="AG23" s="22">
        <f>SUM(AG21:AG21)</f>
      </c>
      <c r="AH23" s="22">
        <f>SUM(AH21:AH21)</f>
      </c>
      <c r="AI23" s="22">
        <f>SUM(AI21:AI21)</f>
      </c>
      <c r="AJ23" s="22">
        <f>SUM(AJ21:AJ21)</f>
      </c>
      <c r="AK23" s="22">
        <f>SUM(AK21:AK21)</f>
      </c>
      <c r="AL23" s="22">
        <f>SUM(AL21:AL21)</f>
      </c>
      <c r="AM23" s="23"/>
    </row>
    <row r="25" ht="13.5" customHeight="1" spans="2:39" x14ac:dyDescent="0.25">
      <c r="B25" s="46"/>
      <c r="C25" s="28"/>
      <c r="D25" s="47" t="s">
        <v>44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</row>
    <row r="26" ht="13.5" customHeight="1" spans="2:39" x14ac:dyDescent="0.25">
      <c r="B26" s="5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/>
    </row>
    <row r="27" ht="13.5" customHeight="1" spans="2:39" x14ac:dyDescent="0.25">
      <c r="B27" s="20"/>
      <c r="C27" s="21"/>
      <c r="D27" s="21" t="s">
        <v>90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3"/>
    </row>
    <row r="30" ht="12.75" customHeight="1" spans="2:39" x14ac:dyDescent="0.25">
      <c r="B30" s="11" t="s">
        <v>40</v>
      </c>
      <c r="C30" s="12"/>
      <c r="D30" s="12"/>
      <c r="E30" s="12"/>
      <c r="F30" s="12"/>
      <c r="G30" s="52" t="s">
        <v>7</v>
      </c>
      <c r="H30" s="52" t="s">
        <v>8</v>
      </c>
      <c r="I30" s="52" t="s">
        <v>9</v>
      </c>
      <c r="J30" s="52" t="s">
        <v>10</v>
      </c>
      <c r="K30" s="52" t="s">
        <v>11</v>
      </c>
      <c r="L30" s="52" t="s">
        <v>12</v>
      </c>
      <c r="M30" s="52" t="s">
        <v>13</v>
      </c>
      <c r="N30" s="52" t="s">
        <v>14</v>
      </c>
      <c r="O30" s="52" t="s">
        <v>15</v>
      </c>
      <c r="P30" s="52" t="s">
        <v>16</v>
      </c>
      <c r="Q30" s="52" t="s">
        <v>17</v>
      </c>
      <c r="R30" s="52" t="s">
        <v>18</v>
      </c>
      <c r="S30" s="52" t="s">
        <v>19</v>
      </c>
      <c r="T30" s="52" t="s">
        <v>20</v>
      </c>
      <c r="U30" s="52" t="s">
        <v>21</v>
      </c>
      <c r="V30" s="52" t="s">
        <v>22</v>
      </c>
      <c r="W30" s="52" t="s">
        <v>23</v>
      </c>
      <c r="X30" s="52" t="s">
        <v>24</v>
      </c>
      <c r="Y30" s="52" t="s">
        <v>25</v>
      </c>
      <c r="Z30" s="52" t="s">
        <v>26</v>
      </c>
      <c r="AA30" s="52" t="s">
        <v>27</v>
      </c>
      <c r="AB30" s="52" t="s">
        <v>28</v>
      </c>
      <c r="AC30" s="52" t="s">
        <v>29</v>
      </c>
      <c r="AD30" s="52" t="s">
        <v>30</v>
      </c>
      <c r="AE30" s="52" t="s">
        <v>31</v>
      </c>
      <c r="AF30" s="52" t="s">
        <v>32</v>
      </c>
      <c r="AG30" s="52" t="s">
        <v>33</v>
      </c>
      <c r="AH30" s="52" t="s">
        <v>34</v>
      </c>
      <c r="AI30" s="52" t="s">
        <v>35</v>
      </c>
      <c r="AJ30" s="52" t="s">
        <v>36</v>
      </c>
      <c r="AK30" s="52" t="s">
        <v>37</v>
      </c>
      <c r="AL30" s="52" t="s">
        <v>38</v>
      </c>
      <c r="AM30" s="15"/>
    </row>
    <row r="31" ht="12.75" customHeight="1" spans="2:39" x14ac:dyDescent="0.25">
      <c r="B31" s="16"/>
      <c r="C31" s="17"/>
      <c r="D31" s="17" t="s">
        <v>41</v>
      </c>
      <c r="E31" s="17"/>
      <c r="F31" s="17"/>
      <c r="G31" s="18">
        <f>G12</f>
      </c>
      <c r="H31" s="18">
        <f>H12</f>
      </c>
      <c r="I31" s="18">
        <f>I12</f>
      </c>
      <c r="J31" s="18">
        <f>J12</f>
      </c>
      <c r="K31" s="18">
        <f>K12</f>
      </c>
      <c r="L31" s="18">
        <f>L12</f>
      </c>
      <c r="M31" s="18">
        <f>M12</f>
      </c>
      <c r="N31" s="18">
        <f>N12</f>
      </c>
      <c r="O31" s="18">
        <f>O12</f>
      </c>
      <c r="P31" s="18">
        <f>P12</f>
      </c>
      <c r="Q31" s="18">
        <f>Q12</f>
      </c>
      <c r="R31" s="18">
        <f>R12</f>
      </c>
      <c r="S31" s="18">
        <f>S12</f>
      </c>
      <c r="T31" s="18">
        <f>T12</f>
      </c>
      <c r="U31" s="18">
        <f>U12</f>
      </c>
      <c r="V31" s="18">
        <f>V12</f>
      </c>
      <c r="W31" s="18">
        <f>W12</f>
      </c>
      <c r="X31" s="18">
        <f>X12</f>
      </c>
      <c r="Y31" s="18">
        <f>Y12</f>
      </c>
      <c r="Z31" s="18">
        <f>Z12</f>
      </c>
      <c r="AA31" s="18">
        <f>AA12</f>
      </c>
      <c r="AB31" s="18">
        <f>AB12</f>
      </c>
      <c r="AC31" s="18">
        <f>AC12</f>
      </c>
      <c r="AD31" s="18">
        <f>AD12</f>
      </c>
      <c r="AE31" s="18">
        <f>AE12</f>
      </c>
      <c r="AF31" s="18">
        <f>AF12</f>
      </c>
      <c r="AG31" s="18">
        <f>AG12</f>
      </c>
      <c r="AH31" s="18">
        <f>AH12</f>
      </c>
      <c r="AI31" s="18">
        <f>AI12</f>
      </c>
      <c r="AJ31" s="18">
        <f>AJ12</f>
      </c>
      <c r="AK31" s="18">
        <f>AK12</f>
      </c>
      <c r="AL31" s="18">
        <f>AL12</f>
      </c>
      <c r="AM31" s="19"/>
    </row>
    <row r="32" ht="12.75" customHeight="1" spans="2:39" x14ac:dyDescent="0.25">
      <c r="B32" s="16"/>
      <c r="C32" s="17"/>
      <c r="D32" s="17" t="s">
        <v>42</v>
      </c>
      <c r="E32" s="17"/>
      <c r="F32" s="17"/>
      <c r="G32" s="18">
        <f>G18</f>
      </c>
      <c r="H32" s="18">
        <f>H18</f>
      </c>
      <c r="I32" s="18">
        <f>I18</f>
      </c>
      <c r="J32" s="18">
        <f>J18</f>
      </c>
      <c r="K32" s="18">
        <f>K18</f>
      </c>
      <c r="L32" s="18">
        <f>L18</f>
      </c>
      <c r="M32" s="18">
        <f>M18</f>
      </c>
      <c r="N32" s="18">
        <f>N18</f>
      </c>
      <c r="O32" s="18">
        <f>O18</f>
      </c>
      <c r="P32" s="18">
        <f>P18</f>
      </c>
      <c r="Q32" s="18">
        <f>Q18</f>
      </c>
      <c r="R32" s="18">
        <f>R18</f>
      </c>
      <c r="S32" s="18">
        <f>S18</f>
      </c>
      <c r="T32" s="18">
        <f>T18</f>
      </c>
      <c r="U32" s="18">
        <f>U18</f>
      </c>
      <c r="V32" s="18">
        <f>V18</f>
      </c>
      <c r="W32" s="18">
        <f>W18</f>
      </c>
      <c r="X32" s="18">
        <f>X18</f>
      </c>
      <c r="Y32" s="18">
        <f>Y18</f>
      </c>
      <c r="Z32" s="18">
        <f>Z18</f>
      </c>
      <c r="AA32" s="18">
        <f>AA18</f>
      </c>
      <c r="AB32" s="18">
        <f>AB18</f>
      </c>
      <c r="AC32" s="18">
        <f>AC18</f>
      </c>
      <c r="AD32" s="18">
        <f>AD18</f>
      </c>
      <c r="AE32" s="18">
        <f>AE18</f>
      </c>
      <c r="AF32" s="18">
        <f>AF18</f>
      </c>
      <c r="AG32" s="18">
        <f>AG18</f>
      </c>
      <c r="AH32" s="18">
        <f>AH18</f>
      </c>
      <c r="AI32" s="18">
        <f>AI18</f>
      </c>
      <c r="AJ32" s="18">
        <f>AJ18</f>
      </c>
      <c r="AK32" s="18">
        <f>AK18</f>
      </c>
      <c r="AL32" s="18">
        <f>AL18</f>
      </c>
      <c r="AM32" s="19"/>
    </row>
    <row r="33" ht="12.75" customHeight="1" spans="2:39" x14ac:dyDescent="0.25">
      <c r="B33" s="16"/>
      <c r="C33" s="17"/>
      <c r="D33" s="17" t="s">
        <v>43</v>
      </c>
      <c r="E33" s="17"/>
      <c r="F33" s="17"/>
      <c r="G33" s="18">
        <f>G23</f>
      </c>
      <c r="H33" s="18">
        <f>H23</f>
      </c>
      <c r="I33" s="18">
        <f>I23</f>
      </c>
      <c r="J33" s="18">
        <f>J23</f>
      </c>
      <c r="K33" s="18">
        <f>K23</f>
      </c>
      <c r="L33" s="18">
        <f>L23</f>
      </c>
      <c r="M33" s="18">
        <f>M23</f>
      </c>
      <c r="N33" s="18">
        <f>N23</f>
      </c>
      <c r="O33" s="18">
        <f>O23</f>
      </c>
      <c r="P33" s="18">
        <f>P23</f>
      </c>
      <c r="Q33" s="18">
        <f>Q23</f>
      </c>
      <c r="R33" s="18">
        <f>R23</f>
      </c>
      <c r="S33" s="18">
        <f>S23</f>
      </c>
      <c r="T33" s="18">
        <f>T23</f>
      </c>
      <c r="U33" s="18">
        <f>U23</f>
      </c>
      <c r="V33" s="18">
        <f>V23</f>
      </c>
      <c r="W33" s="18">
        <f>W23</f>
      </c>
      <c r="X33" s="18">
        <f>X23</f>
      </c>
      <c r="Y33" s="18">
        <f>Y23</f>
      </c>
      <c r="Z33" s="18">
        <f>Z23</f>
      </c>
      <c r="AA33" s="18">
        <f>AA23</f>
      </c>
      <c r="AB33" s="18">
        <f>AB23</f>
      </c>
      <c r="AC33" s="18">
        <f>AC23</f>
      </c>
      <c r="AD33" s="18">
        <f>AD23</f>
      </c>
      <c r="AE33" s="18">
        <f>AE23</f>
      </c>
      <c r="AF33" s="18">
        <f>AF23</f>
      </c>
      <c r="AG33" s="18">
        <f>AG23</f>
      </c>
      <c r="AH33" s="18">
        <f>AH23</f>
      </c>
      <c r="AI33" s="18">
        <f>AI23</f>
      </c>
      <c r="AJ33" s="18">
        <f>AJ23</f>
      </c>
      <c r="AK33" s="18">
        <f>AK23</f>
      </c>
      <c r="AL33" s="18">
        <f>AL23</f>
      </c>
      <c r="AM33" s="19"/>
    </row>
    <row r="34" ht="12.75" customHeight="1" spans="2:39" x14ac:dyDescent="0.25">
      <c r="B34" s="16"/>
      <c r="C34" s="17"/>
      <c r="D34" s="17" t="s">
        <v>44</v>
      </c>
      <c r="E34" s="17"/>
      <c r="F34" s="17"/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8">
        <f>AK27</f>
      </c>
      <c r="AL34" s="18">
        <f>AL27</f>
      </c>
      <c r="AM34" s="19"/>
    </row>
    <row r="35" ht="12.75" customHeight="1" spans="2:39" x14ac:dyDescent="0.25">
      <c r="B35" s="20"/>
      <c r="C35" s="21"/>
      <c r="D35" s="21" t="s">
        <v>45</v>
      </c>
      <c r="E35" s="21"/>
      <c r="F35" s="21"/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2">
        <f>AK31+AK32+AK33+AK34</f>
      </c>
      <c r="AL35" s="22">
        <f>AL31+AL32+AL33+AL34</f>
      </c>
      <c r="AM35" s="23"/>
    </row>
    <row r="37" ht="12.75" customHeight="1" spans="2:39" x14ac:dyDescent="0.25">
      <c r="B37" s="11" t="s">
        <v>46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47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24">
        <f>AK38-AK31</f>
      </c>
      <c r="AL45" s="24">
        <f>AL38-AL31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5">
        <f>AK45+AK46+AK47+AK48</f>
      </c>
      <c r="AL49" s="25">
        <f>AL45+AL46+AL47+AL48</f>
      </c>
      <c r="AM4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2476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2477</v>
      </c>
      <c r="E9" s="32"/>
      <c r="F9" s="32"/>
      <c r="G9" s="32"/>
      <c r="H9" s="32"/>
      <c r="I9" s="36">
        <f>2163.34+155.95</f>
        <v>2319.29</v>
      </c>
      <c r="J9" s="36">
        <f>1589.15+153.93</f>
        <v>1743.0800000000002</v>
      </c>
      <c r="K9" s="36">
        <f>1145.04+140.17</f>
        <v>1285.21</v>
      </c>
      <c r="L9" s="36">
        <f>120.96+647.78</f>
        <v>768.74</v>
      </c>
      <c r="M9" s="36">
        <f>105.81+258.11</f>
        <v>363.92</v>
      </c>
      <c r="N9" s="36">
        <f>257.35+75.71</f>
        <v>333.06</v>
      </c>
      <c r="O9" s="36">
        <f>138.62+69.26</f>
        <v>207.88</v>
      </c>
      <c r="P9" s="36">
        <f>150.49+64.76</f>
        <v>215.25</v>
      </c>
      <c r="Q9" s="36">
        <f>67.16+192.02</f>
        <v>259.18</v>
      </c>
      <c r="R9" s="36">
        <f>502.39+69.31</f>
        <v>571.7</v>
      </c>
      <c r="S9" s="36">
        <f>101.60+1512.22</f>
        <v>1613.82</v>
      </c>
      <c r="T9" s="36">
        <f>118.66+1692.41</f>
        <v>1811.0700000000002</v>
      </c>
      <c r="U9" s="36">
        <f>2144.65+139.64</f>
        <v>2284.29</v>
      </c>
      <c r="V9" s="36">
        <f>135.39+1503.06</f>
        <v>1638.4499999999998</v>
      </c>
      <c r="W9" s="36">
        <f>121.05+1216.51</f>
        <v>1337.56</v>
      </c>
      <c r="X9" s="36">
        <f>102.36+690.68</f>
        <v>793.04</v>
      </c>
      <c r="Y9" s="36">
        <f>322.65+78.84</f>
        <v>401.49</v>
      </c>
      <c r="Z9" s="36">
        <f>222.15+77.88</f>
        <v>300.03</v>
      </c>
      <c r="AA9" s="36">
        <f>141.87+72.59</f>
        <v>214.46</v>
      </c>
      <c r="AB9" s="36">
        <f>74.54+152.09</f>
        <v>226.63</v>
      </c>
      <c r="AC9" s="36">
        <f>68.23+183.53</f>
        <v>251.76</v>
      </c>
      <c r="AD9" s="36">
        <f>509.68+83.04</f>
        <v>592.72</v>
      </c>
      <c r="AE9" s="36">
        <f>113.00+994.35</f>
        <v>1107.35</v>
      </c>
      <c r="AF9" s="36">
        <f>1865.61+161.11</f>
        <v>2026.7199999999998</v>
      </c>
      <c r="AG9" s="36">
        <f>135.67+1507.73</f>
        <v>1643.4</v>
      </c>
      <c r="AH9" s="36">
        <f>1418.62+146.33</f>
        <v>1564.9499999999998</v>
      </c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2478</v>
      </c>
      <c r="E14" s="32"/>
      <c r="F14" s="32"/>
      <c r="G14" s="32"/>
      <c r="H14" s="33">
        <v>16397.37</v>
      </c>
      <c r="I14" s="33">
        <v>23262.81</v>
      </c>
      <c r="J14" s="33">
        <v>18864.96</v>
      </c>
      <c r="K14" s="33">
        <v>14386.44</v>
      </c>
      <c r="L14" s="33">
        <v>11994.47</v>
      </c>
      <c r="M14" s="33">
        <v>13585.53</v>
      </c>
      <c r="N14" s="33">
        <v>22663.22</v>
      </c>
      <c r="O14" s="33">
        <v>26170.07</v>
      </c>
      <c r="P14" s="33">
        <v>20726.13</v>
      </c>
      <c r="Q14" s="33">
        <v>18546.34</v>
      </c>
      <c r="R14" s="33">
        <v>13405.12</v>
      </c>
      <c r="S14" s="33">
        <v>11855.17</v>
      </c>
      <c r="T14" s="33">
        <v>15785.98</v>
      </c>
      <c r="U14" s="33">
        <v>23905.95</v>
      </c>
      <c r="V14" s="33">
        <v>14338.81</v>
      </c>
      <c r="W14" s="33">
        <v>15091.97</v>
      </c>
      <c r="X14" s="33">
        <v>11695.75</v>
      </c>
      <c r="Y14" s="33">
        <v>13224.08</v>
      </c>
      <c r="Z14" s="33">
        <v>23272.34</v>
      </c>
      <c r="AA14" s="33">
        <v>25066.82</v>
      </c>
      <c r="AB14" s="33">
        <v>22369.55</v>
      </c>
      <c r="AC14" s="33">
        <v>16172.08</v>
      </c>
      <c r="AD14" s="33">
        <v>10070.56</v>
      </c>
      <c r="AE14" s="33">
        <v>10730.96</v>
      </c>
      <c r="AF14" s="33">
        <v>13550.23</v>
      </c>
      <c r="AG14" s="33">
        <v>16827.97</v>
      </c>
      <c r="AH14" s="33">
        <v>12718.19</v>
      </c>
      <c r="AI14" s="32"/>
      <c r="AJ14" s="34">
        <f>SUM(E14:AI14)</f>
      </c>
      <c r="AK14" s="35"/>
    </row>
    <row r="15" ht="12.75" customHeight="1" spans="2:37" x14ac:dyDescent="0.25">
      <c r="B15" s="37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40"/>
    </row>
    <row r="16" ht="12.75" customHeight="1" spans="2:37" x14ac:dyDescent="0.25">
      <c r="B16" s="20" t="s">
        <v>85</v>
      </c>
      <c r="C16" s="21"/>
      <c r="D16" s="21"/>
      <c r="E16" s="22">
        <f>SUM(E14:E14)</f>
      </c>
      <c r="F16" s="22">
        <f>SUM(F14:F14)</f>
      </c>
      <c r="G16" s="22">
        <f>SUM(G14:G14)</f>
      </c>
      <c r="H16" s="22">
        <f>SUM(H14:H14)</f>
      </c>
      <c r="I16" s="22">
        <f>SUM(I14:I14)</f>
      </c>
      <c r="J16" s="22">
        <f>SUM(J14:J14)</f>
      </c>
      <c r="K16" s="22">
        <f>SUM(K14:K14)</f>
      </c>
      <c r="L16" s="22">
        <f>SUM(L14:L14)</f>
      </c>
      <c r="M16" s="22">
        <f>SUM(M14:M14)</f>
      </c>
      <c r="N16" s="22">
        <f>SUM(N14:N14)</f>
      </c>
      <c r="O16" s="22">
        <f>SUM(O14:O14)</f>
      </c>
      <c r="P16" s="22">
        <f>SUM(P14:P14)</f>
      </c>
      <c r="Q16" s="22">
        <f>SUM(Q14:Q14)</f>
      </c>
      <c r="R16" s="22">
        <f>SUM(R14:R14)</f>
      </c>
      <c r="S16" s="22">
        <f>SUM(S14:S14)</f>
      </c>
      <c r="T16" s="22">
        <f>SUM(T14:T14)</f>
      </c>
      <c r="U16" s="22">
        <f>SUM(U14:U14)</f>
      </c>
      <c r="V16" s="22">
        <f>SUM(V14:V14)</f>
      </c>
      <c r="W16" s="22">
        <f>SUM(W14:W14)</f>
      </c>
      <c r="X16" s="22">
        <f>SUM(X14:X14)</f>
      </c>
      <c r="Y16" s="22">
        <f>SUM(Y14:Y14)</f>
      </c>
      <c r="Z16" s="22">
        <f>SUM(Z14:Z14)</f>
      </c>
      <c r="AA16" s="22">
        <f>SUM(AA14:AA14)</f>
      </c>
      <c r="AB16" s="22">
        <f>SUM(AB14:AB14)</f>
      </c>
      <c r="AC16" s="22">
        <f>SUM(AC14:AC14)</f>
      </c>
      <c r="AD16" s="22">
        <f>SUM(AD14:AD14)</f>
      </c>
      <c r="AE16" s="22">
        <f>SUM(AE14:AE14)</f>
      </c>
      <c r="AF16" s="22">
        <f>SUM(AF14:AF14)</f>
      </c>
      <c r="AG16" s="22">
        <f>SUM(AG14:AG14)</f>
      </c>
      <c r="AH16" s="22">
        <f>SUM(AH14:AH14)</f>
      </c>
      <c r="AI16" s="22">
        <f>SUM(AI14:AI14)</f>
      </c>
      <c r="AJ16" s="22">
        <f>SUM(AJ14:AJ14)</f>
      </c>
      <c r="AK16" s="23"/>
    </row>
    <row r="18" ht="12.75" customHeight="1" spans="2:37" x14ac:dyDescent="0.25">
      <c r="B18" s="26" t="s">
        <v>43</v>
      </c>
      <c r="C18" s="27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9"/>
    </row>
    <row r="19" ht="12.75" customHeight="1" spans="2:37" x14ac:dyDescent="0.25">
      <c r="B19" s="30" t="s">
        <v>43</v>
      </c>
      <c r="C19" s="31" t="s">
        <v>3</v>
      </c>
      <c r="D19" s="32" t="s">
        <v>2477</v>
      </c>
      <c r="E19" s="32"/>
      <c r="F19" s="32"/>
      <c r="G19" s="32"/>
      <c r="H19" s="32"/>
      <c r="I19" s="36">
        <f>2994.99+389.10+2525.49</f>
        <v>5909.58</v>
      </c>
      <c r="J19" s="36">
        <f>3221.47+2798.10+388.22</f>
        <v>6407.79</v>
      </c>
      <c r="K19" s="36">
        <f>3051.41+2431.15+404.04</f>
        <v>5886.599999999999</v>
      </c>
      <c r="L19" s="36">
        <f>2519.05+2198.76+392.60</f>
        <v>5110.410000000001</v>
      </c>
      <c r="M19" s="36">
        <f>1960.73+1718.06+382.19</f>
        <v>4060.98</v>
      </c>
      <c r="N19" s="36">
        <f>2672.33+396.20+2127.45</f>
        <v>5195.98</v>
      </c>
      <c r="O19" s="36">
        <f>2331.17+396.33+1853.82</f>
        <v>4581.32</v>
      </c>
      <c r="P19" s="36">
        <f>2439.51+2133.88+382.19</f>
        <v>4955.58</v>
      </c>
      <c r="Q19" s="36">
        <f>2582.72+395.99+2055.58</f>
        <v>5034.29</v>
      </c>
      <c r="R19" s="36">
        <f>2865.09+384.35+2499.05</f>
        <v>5748.49</v>
      </c>
      <c r="S19" s="36">
        <f>2615.06+382.19+2286.34</f>
        <v>5283.59</v>
      </c>
      <c r="T19" s="36">
        <f>3023.03+429.44+2430.01</f>
        <v>5882.4800000000005</v>
      </c>
      <c r="U19" s="36">
        <f>3402.94+401.83+2912.43</f>
        <v>6717.2</v>
      </c>
      <c r="V19" s="36">
        <f>3975.45+3461.23+421.45</f>
        <v>7858.13</v>
      </c>
      <c r="W19" s="36">
        <f>3429.60+464.62+2726.57</f>
        <v>6620.79</v>
      </c>
      <c r="X19" s="36">
        <f>2600.50+416.83+2093.00</f>
        <v>5110.33</v>
      </c>
      <c r="Y19" s="36">
        <f>1880.36+1508.53+418.67</f>
        <v>3807.56</v>
      </c>
      <c r="Z19" s="36">
        <f>2178.29+418.30+1750.31</f>
        <v>4346.9</v>
      </c>
      <c r="AA19" s="36">
        <f>2224.72+418.02+1788.00</f>
        <v>4430.74</v>
      </c>
      <c r="AB19" s="36">
        <f>2620.22+418.08+2108.95</f>
        <v>5147.25</v>
      </c>
      <c r="AC19" s="36">
        <f>2137.09+0.00+1717.50+579.60</f>
        <v>4434.1900000000005</v>
      </c>
      <c r="AD19" s="36">
        <f>0.00+1931.17+419.28+1549.73</f>
        <v>3900.18</v>
      </c>
      <c r="AE19" s="36">
        <f>2670.25+0.00+2149.44+420.29</f>
        <v>5239.9800000000005</v>
      </c>
      <c r="AF19" s="36">
        <f>0.00+2922.18+2353.81+421.90</f>
        <v>5697.889999999999</v>
      </c>
      <c r="AG19" s="36">
        <f>424.11+2356.31</f>
        <v>2780.42</v>
      </c>
      <c r="AH19" s="36">
        <f>2574.67+434.09</f>
        <v>3008.76</v>
      </c>
      <c r="AI19" s="32"/>
      <c r="AJ19" s="34">
        <f>SUM(E19:AI19)</f>
      </c>
      <c r="AK19" s="35"/>
    </row>
    <row r="20" ht="12.75" customHeight="1" spans="2:37" x14ac:dyDescent="0.25">
      <c r="B20" s="37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40"/>
    </row>
    <row r="21" ht="12.75" customHeight="1" spans="2:37" x14ac:dyDescent="0.25">
      <c r="B21" s="20" t="s">
        <v>89</v>
      </c>
      <c r="C21" s="21"/>
      <c r="D21" s="21"/>
      <c r="E21" s="22">
        <f>SUM(E19:E19)</f>
      </c>
      <c r="F21" s="22">
        <f>SUM(F19:F19)</f>
      </c>
      <c r="G21" s="22">
        <f>SUM(G19:G19)</f>
      </c>
      <c r="H21" s="22">
        <f>SUM(H19:H19)</f>
      </c>
      <c r="I21" s="22">
        <f>SUM(I19:I19)</f>
      </c>
      <c r="J21" s="22">
        <f>SUM(J19:J19)</f>
      </c>
      <c r="K21" s="22">
        <f>SUM(K19:K19)</f>
      </c>
      <c r="L21" s="22">
        <f>SUM(L19:L19)</f>
      </c>
      <c r="M21" s="22">
        <f>SUM(M19:M19)</f>
      </c>
      <c r="N21" s="22">
        <f>SUM(N19:N19)</f>
      </c>
      <c r="O21" s="22">
        <f>SUM(O19:O19)</f>
      </c>
      <c r="P21" s="22">
        <f>SUM(P19:P19)</f>
      </c>
      <c r="Q21" s="22">
        <f>SUM(Q19:Q19)</f>
      </c>
      <c r="R21" s="22">
        <f>SUM(R19:R19)</f>
      </c>
      <c r="S21" s="22">
        <f>SUM(S19:S19)</f>
      </c>
      <c r="T21" s="22">
        <f>SUM(T19:T19)</f>
      </c>
      <c r="U21" s="22">
        <f>SUM(U19:U19)</f>
      </c>
      <c r="V21" s="22">
        <f>SUM(V19:V19)</f>
      </c>
      <c r="W21" s="22">
        <f>SUM(W19:W19)</f>
      </c>
      <c r="X21" s="22">
        <f>SUM(X19:X19)</f>
      </c>
      <c r="Y21" s="22">
        <f>SUM(Y19:Y19)</f>
      </c>
      <c r="Z21" s="22">
        <f>SUM(Z19:Z19)</f>
      </c>
      <c r="AA21" s="22">
        <f>SUM(AA19:AA19)</f>
      </c>
      <c r="AB21" s="22">
        <f>SUM(AB19:AB19)</f>
      </c>
      <c r="AC21" s="22">
        <f>SUM(AC19:AC19)</f>
      </c>
      <c r="AD21" s="22">
        <f>SUM(AD19:AD19)</f>
      </c>
      <c r="AE21" s="22">
        <f>SUM(AE19:AE19)</f>
      </c>
      <c r="AF21" s="22">
        <f>SUM(AF19:AF19)</f>
      </c>
      <c r="AG21" s="22">
        <f>SUM(AG19:AG19)</f>
      </c>
      <c r="AH21" s="22">
        <f>SUM(AH19:AH19)</f>
      </c>
      <c r="AI21" s="22">
        <f>SUM(AI19:AI19)</f>
      </c>
      <c r="AJ21" s="22">
        <f>SUM(AJ19:AJ19)</f>
      </c>
      <c r="AK21" s="23"/>
    </row>
    <row r="23" ht="12.75" customHeight="1" spans="2:37" x14ac:dyDescent="0.25">
      <c r="B23" s="26" t="s">
        <v>44</v>
      </c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9"/>
    </row>
    <row r="24" ht="12.75" customHeight="1" spans="2:37" x14ac:dyDescent="0.25">
      <c r="B24" s="30" t="s">
        <v>44</v>
      </c>
      <c r="C24" s="31" t="s">
        <v>3</v>
      </c>
      <c r="D24" s="32" t="s">
        <v>2477</v>
      </c>
      <c r="E24" s="32"/>
      <c r="F24" s="32"/>
      <c r="G24" s="32"/>
      <c r="H24" s="32"/>
      <c r="I24" s="33">
        <v>856.83</v>
      </c>
      <c r="J24" s="33">
        <v>854.89</v>
      </c>
      <c r="K24" s="33">
        <v>941.49</v>
      </c>
      <c r="L24" s="33">
        <v>909.68</v>
      </c>
      <c r="M24" s="33">
        <v>897.88</v>
      </c>
      <c r="N24" s="33">
        <v>930.8</v>
      </c>
      <c r="O24" s="33">
        <v>923.51</v>
      </c>
      <c r="P24" s="33">
        <v>897.88</v>
      </c>
      <c r="Q24" s="33">
        <v>930.3</v>
      </c>
      <c r="R24" s="33">
        <v>897.88</v>
      </c>
      <c r="S24" s="33">
        <v>897.88</v>
      </c>
      <c r="T24" s="33">
        <v>937.56</v>
      </c>
      <c r="U24" s="33">
        <v>936.33</v>
      </c>
      <c r="V24" s="33">
        <v>1033.16</v>
      </c>
      <c r="W24" s="33">
        <v>1030.58</v>
      </c>
      <c r="X24" s="33">
        <v>1021.84</v>
      </c>
      <c r="Y24" s="33">
        <v>1026.34</v>
      </c>
      <c r="Z24" s="33">
        <v>1025.43</v>
      </c>
      <c r="AA24" s="33">
        <v>1024.75</v>
      </c>
      <c r="AB24" s="33">
        <v>1024.88</v>
      </c>
      <c r="AC24" s="33">
        <v>989.72</v>
      </c>
      <c r="AD24" s="33">
        <v>1027.84</v>
      </c>
      <c r="AE24" s="33">
        <v>1030.32</v>
      </c>
      <c r="AF24" s="33">
        <v>1034.26</v>
      </c>
      <c r="AG24" s="33">
        <v>1039.69</v>
      </c>
      <c r="AH24" s="33">
        <v>1120.18</v>
      </c>
      <c r="AI24" s="32"/>
      <c r="AJ24" s="34">
        <f>SUM(E24:AI24)</f>
      </c>
      <c r="AK24" s="35"/>
    </row>
    <row r="25" ht="12.75" customHeight="1" spans="2:37" x14ac:dyDescent="0.25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ht="12.75" customHeight="1" spans="2:37" x14ac:dyDescent="0.25">
      <c r="B26" s="20" t="s">
        <v>90</v>
      </c>
      <c r="C26" s="21"/>
      <c r="D26" s="21"/>
      <c r="E26" s="22">
        <f>SUM(E24:E24)</f>
      </c>
      <c r="F26" s="22">
        <f>SUM(F24:F24)</f>
      </c>
      <c r="G26" s="22">
        <f>SUM(G24:G24)</f>
      </c>
      <c r="H26" s="22">
        <f>SUM(H24:H24)</f>
      </c>
      <c r="I26" s="22">
        <f>SUM(I24:I24)</f>
      </c>
      <c r="J26" s="22">
        <f>SUM(J24:J24)</f>
      </c>
      <c r="K26" s="22">
        <f>SUM(K24:K24)</f>
      </c>
      <c r="L26" s="22">
        <f>SUM(L24:L24)</f>
      </c>
      <c r="M26" s="22">
        <f>SUM(M24:M24)</f>
      </c>
      <c r="N26" s="22">
        <f>SUM(N24:N24)</f>
      </c>
      <c r="O26" s="22">
        <f>SUM(O24:O24)</f>
      </c>
      <c r="P26" s="22">
        <f>SUM(P24:P24)</f>
      </c>
      <c r="Q26" s="22">
        <f>SUM(Q24:Q24)</f>
      </c>
      <c r="R26" s="22">
        <f>SUM(R24:R24)</f>
      </c>
      <c r="S26" s="22">
        <f>SUM(S24:S24)</f>
      </c>
      <c r="T26" s="22">
        <f>SUM(T24:T24)</f>
      </c>
      <c r="U26" s="22">
        <f>SUM(U24:U24)</f>
      </c>
      <c r="V26" s="22">
        <f>SUM(V24:V24)</f>
      </c>
      <c r="W26" s="22">
        <f>SUM(W24:W24)</f>
      </c>
      <c r="X26" s="22">
        <f>SUM(X24:X24)</f>
      </c>
      <c r="Y26" s="22">
        <f>SUM(Y24:Y24)</f>
      </c>
      <c r="Z26" s="22">
        <f>SUM(Z24:Z24)</f>
      </c>
      <c r="AA26" s="22">
        <f>SUM(AA24:AA24)</f>
      </c>
      <c r="AB26" s="22">
        <f>SUM(AB24:AB24)</f>
      </c>
      <c r="AC26" s="22">
        <f>SUM(AC24:AC24)</f>
      </c>
      <c r="AD26" s="22">
        <f>SUM(AD24:AD24)</f>
      </c>
      <c r="AE26" s="22">
        <f>SUM(AE24:AE24)</f>
      </c>
      <c r="AF26" s="22">
        <f>SUM(AF24:AF24)</f>
      </c>
      <c r="AG26" s="22">
        <f>SUM(AG24:AG24)</f>
      </c>
      <c r="AH26" s="22">
        <f>SUM(AH24:AH24)</f>
      </c>
      <c r="AI26" s="22">
        <f>SUM(AI24:AI24)</f>
      </c>
      <c r="AJ26" s="22">
        <f>SUM(AJ24:AJ24)</f>
      </c>
      <c r="AK26" s="23"/>
    </row>
    <row r="29" ht="12.75" customHeight="1" spans="2:37" x14ac:dyDescent="0.25">
      <c r="B29" s="11" t="s">
        <v>40</v>
      </c>
      <c r="C29" s="12"/>
      <c r="D29" s="13"/>
      <c r="E29" s="14" t="s">
        <v>7</v>
      </c>
      <c r="F29" s="14" t="s">
        <v>8</v>
      </c>
      <c r="G29" s="14" t="s">
        <v>9</v>
      </c>
      <c r="H29" s="14" t="s">
        <v>10</v>
      </c>
      <c r="I29" s="14" t="s">
        <v>11</v>
      </c>
      <c r="J29" s="14" t="s">
        <v>12</v>
      </c>
      <c r="K29" s="14" t="s">
        <v>13</v>
      </c>
      <c r="L29" s="14" t="s">
        <v>14</v>
      </c>
      <c r="M29" s="14" t="s">
        <v>15</v>
      </c>
      <c r="N29" s="14" t="s">
        <v>16</v>
      </c>
      <c r="O29" s="14" t="s">
        <v>17</v>
      </c>
      <c r="P29" s="14" t="s">
        <v>18</v>
      </c>
      <c r="Q29" s="14" t="s">
        <v>19</v>
      </c>
      <c r="R29" s="14" t="s">
        <v>20</v>
      </c>
      <c r="S29" s="14" t="s">
        <v>21</v>
      </c>
      <c r="T29" s="14" t="s">
        <v>22</v>
      </c>
      <c r="U29" s="14" t="s">
        <v>23</v>
      </c>
      <c r="V29" s="14" t="s">
        <v>24</v>
      </c>
      <c r="W29" s="14" t="s">
        <v>25</v>
      </c>
      <c r="X29" s="14" t="s">
        <v>26</v>
      </c>
      <c r="Y29" s="14" t="s">
        <v>27</v>
      </c>
      <c r="Z29" s="14" t="s">
        <v>28</v>
      </c>
      <c r="AA29" s="14" t="s">
        <v>29</v>
      </c>
      <c r="AB29" s="14" t="s">
        <v>30</v>
      </c>
      <c r="AC29" s="14" t="s">
        <v>31</v>
      </c>
      <c r="AD29" s="14" t="s">
        <v>32</v>
      </c>
      <c r="AE29" s="14" t="s">
        <v>33</v>
      </c>
      <c r="AF29" s="14" t="s">
        <v>34</v>
      </c>
      <c r="AG29" s="14" t="s">
        <v>35</v>
      </c>
      <c r="AH29" s="14" t="s">
        <v>36</v>
      </c>
      <c r="AI29" s="14" t="s">
        <v>37</v>
      </c>
      <c r="AJ29" s="14" t="s">
        <v>38</v>
      </c>
      <c r="AK29" s="15"/>
    </row>
    <row r="30" ht="12.75" customHeight="1" spans="2:37" x14ac:dyDescent="0.25">
      <c r="B30" s="16" t="s">
        <v>41</v>
      </c>
      <c r="C30" s="17"/>
      <c r="D30" s="17"/>
      <c r="E30" s="18">
        <f>E11</f>
      </c>
      <c r="F30" s="18">
        <f>F11</f>
      </c>
      <c r="G30" s="18">
        <f>G11</f>
      </c>
      <c r="H30" s="18">
        <f>H11</f>
      </c>
      <c r="I30" s="18">
        <f>I11</f>
      </c>
      <c r="J30" s="18">
        <f>J11</f>
      </c>
      <c r="K30" s="18">
        <f>K11</f>
      </c>
      <c r="L30" s="18">
        <f>L11</f>
      </c>
      <c r="M30" s="18">
        <f>M11</f>
      </c>
      <c r="N30" s="18">
        <f>N11</f>
      </c>
      <c r="O30" s="18">
        <f>O11</f>
      </c>
      <c r="P30" s="18">
        <f>P11</f>
      </c>
      <c r="Q30" s="18">
        <f>Q11</f>
      </c>
      <c r="R30" s="18">
        <f>R11</f>
      </c>
      <c r="S30" s="18">
        <f>S11</f>
      </c>
      <c r="T30" s="18">
        <f>T11</f>
      </c>
      <c r="U30" s="18">
        <f>U11</f>
      </c>
      <c r="V30" s="18">
        <f>V11</f>
      </c>
      <c r="W30" s="18">
        <f>W11</f>
      </c>
      <c r="X30" s="18">
        <f>X11</f>
      </c>
      <c r="Y30" s="18">
        <f>Y11</f>
      </c>
      <c r="Z30" s="18">
        <f>Z11</f>
      </c>
      <c r="AA30" s="18">
        <f>AA11</f>
      </c>
      <c r="AB30" s="18">
        <f>AB11</f>
      </c>
      <c r="AC30" s="18">
        <f>AC11</f>
      </c>
      <c r="AD30" s="18">
        <f>AD11</f>
      </c>
      <c r="AE30" s="18">
        <f>AE11</f>
      </c>
      <c r="AF30" s="18">
        <f>AF11</f>
      </c>
      <c r="AG30" s="18">
        <f>AG11</f>
      </c>
      <c r="AH30" s="18">
        <f>AH11</f>
      </c>
      <c r="AI30" s="18">
        <f>AI11</f>
      </c>
      <c r="AJ30" s="18">
        <f>AJ11</f>
      </c>
      <c r="AK30" s="19"/>
    </row>
    <row r="31" ht="12.75" customHeight="1" spans="2:37" x14ac:dyDescent="0.25">
      <c r="B31" s="16" t="s">
        <v>42</v>
      </c>
      <c r="C31" s="17"/>
      <c r="D31" s="17"/>
      <c r="E31" s="18">
        <f>E16</f>
      </c>
      <c r="F31" s="18">
        <f>F16</f>
      </c>
      <c r="G31" s="18">
        <f>G16</f>
      </c>
      <c r="H31" s="18">
        <f>H16</f>
      </c>
      <c r="I31" s="18">
        <f>I16</f>
      </c>
      <c r="J31" s="18">
        <f>J16</f>
      </c>
      <c r="K31" s="18">
        <f>K16</f>
      </c>
      <c r="L31" s="18">
        <f>L16</f>
      </c>
      <c r="M31" s="18">
        <f>M16</f>
      </c>
      <c r="N31" s="18">
        <f>N16</f>
      </c>
      <c r="O31" s="18">
        <f>O16</f>
      </c>
      <c r="P31" s="18">
        <f>P16</f>
      </c>
      <c r="Q31" s="18">
        <f>Q16</f>
      </c>
      <c r="R31" s="18">
        <f>R16</f>
      </c>
      <c r="S31" s="18">
        <f>S16</f>
      </c>
      <c r="T31" s="18">
        <f>T16</f>
      </c>
      <c r="U31" s="18">
        <f>U16</f>
      </c>
      <c r="V31" s="18">
        <f>V16</f>
      </c>
      <c r="W31" s="18">
        <f>W16</f>
      </c>
      <c r="X31" s="18">
        <f>X16</f>
      </c>
      <c r="Y31" s="18">
        <f>Y16</f>
      </c>
      <c r="Z31" s="18">
        <f>Z16</f>
      </c>
      <c r="AA31" s="18">
        <f>AA16</f>
      </c>
      <c r="AB31" s="18">
        <f>AB16</f>
      </c>
      <c r="AC31" s="18">
        <f>AC16</f>
      </c>
      <c r="AD31" s="18">
        <f>AD16</f>
      </c>
      <c r="AE31" s="18">
        <f>AE16</f>
      </c>
      <c r="AF31" s="18">
        <f>AF16</f>
      </c>
      <c r="AG31" s="18">
        <f>AG16</f>
      </c>
      <c r="AH31" s="18">
        <f>AH16</f>
      </c>
      <c r="AI31" s="18">
        <f>AI16</f>
      </c>
      <c r="AJ31" s="18">
        <f>AJ16</f>
      </c>
      <c r="AK31" s="19"/>
    </row>
    <row r="32" ht="12.75" customHeight="1" spans="2:37" x14ac:dyDescent="0.25">
      <c r="B32" s="16" t="s">
        <v>43</v>
      </c>
      <c r="C32" s="17"/>
      <c r="D32" s="17"/>
      <c r="E32" s="18">
        <f>E21</f>
      </c>
      <c r="F32" s="18">
        <f>F21</f>
      </c>
      <c r="G32" s="18">
        <f>G21</f>
      </c>
      <c r="H32" s="18">
        <f>H21</f>
      </c>
      <c r="I32" s="18">
        <f>I21</f>
      </c>
      <c r="J32" s="18">
        <f>J21</f>
      </c>
      <c r="K32" s="18">
        <f>K21</f>
      </c>
      <c r="L32" s="18">
        <f>L21</f>
      </c>
      <c r="M32" s="18">
        <f>M21</f>
      </c>
      <c r="N32" s="18">
        <f>N21</f>
      </c>
      <c r="O32" s="18">
        <f>O21</f>
      </c>
      <c r="P32" s="18">
        <f>P21</f>
      </c>
      <c r="Q32" s="18">
        <f>Q21</f>
      </c>
      <c r="R32" s="18">
        <f>R21</f>
      </c>
      <c r="S32" s="18">
        <f>S21</f>
      </c>
      <c r="T32" s="18">
        <f>T21</f>
      </c>
      <c r="U32" s="18">
        <f>U21</f>
      </c>
      <c r="V32" s="18">
        <f>V21</f>
      </c>
      <c r="W32" s="18">
        <f>W21</f>
      </c>
      <c r="X32" s="18">
        <f>X21</f>
      </c>
      <c r="Y32" s="18">
        <f>Y21</f>
      </c>
      <c r="Z32" s="18">
        <f>Z21</f>
      </c>
      <c r="AA32" s="18">
        <f>AA21</f>
      </c>
      <c r="AB32" s="18">
        <f>AB21</f>
      </c>
      <c r="AC32" s="18">
        <f>AC21</f>
      </c>
      <c r="AD32" s="18">
        <f>AD21</f>
      </c>
      <c r="AE32" s="18">
        <f>AE21</f>
      </c>
      <c r="AF32" s="18">
        <f>AF21</f>
      </c>
      <c r="AG32" s="18">
        <f>AG21</f>
      </c>
      <c r="AH32" s="18">
        <f>AH21</f>
      </c>
      <c r="AI32" s="18">
        <f>AI21</f>
      </c>
      <c r="AJ32" s="18">
        <f>AJ21</f>
      </c>
      <c r="AK32" s="19"/>
    </row>
    <row r="33" ht="12.75" customHeight="1" spans="2:37" x14ac:dyDescent="0.25">
      <c r="B33" s="16" t="s">
        <v>44</v>
      </c>
      <c r="C33" s="17"/>
      <c r="D33" s="17"/>
      <c r="E33" s="18">
        <f>E26</f>
      </c>
      <c r="F33" s="18">
        <f>F26</f>
      </c>
      <c r="G33" s="18">
        <f>G26</f>
      </c>
      <c r="H33" s="18">
        <f>H26</f>
      </c>
      <c r="I33" s="18">
        <f>I26</f>
      </c>
      <c r="J33" s="18">
        <f>J26</f>
      </c>
      <c r="K33" s="18">
        <f>K26</f>
      </c>
      <c r="L33" s="18">
        <f>L26</f>
      </c>
      <c r="M33" s="18">
        <f>M26</f>
      </c>
      <c r="N33" s="18">
        <f>N26</f>
      </c>
      <c r="O33" s="18">
        <f>O26</f>
      </c>
      <c r="P33" s="18">
        <f>P26</f>
      </c>
      <c r="Q33" s="18">
        <f>Q26</f>
      </c>
      <c r="R33" s="18">
        <f>R26</f>
      </c>
      <c r="S33" s="18">
        <f>S26</f>
      </c>
      <c r="T33" s="18">
        <f>T26</f>
      </c>
      <c r="U33" s="18">
        <f>U26</f>
      </c>
      <c r="V33" s="18">
        <f>V26</f>
      </c>
      <c r="W33" s="18">
        <f>W26</f>
      </c>
      <c r="X33" s="18">
        <f>X26</f>
      </c>
      <c r="Y33" s="18">
        <f>Y26</f>
      </c>
      <c r="Z33" s="18">
        <f>Z26</f>
      </c>
      <c r="AA33" s="18">
        <f>AA26</f>
      </c>
      <c r="AB33" s="18">
        <f>AB26</f>
      </c>
      <c r="AC33" s="18">
        <f>AC26</f>
      </c>
      <c r="AD33" s="18">
        <f>AD26</f>
      </c>
      <c r="AE33" s="18">
        <f>AE26</f>
      </c>
      <c r="AF33" s="18">
        <f>AF26</f>
      </c>
      <c r="AG33" s="18">
        <f>AG26</f>
      </c>
      <c r="AH33" s="18">
        <f>AH26</f>
      </c>
      <c r="AI33" s="18">
        <f>AI26</f>
      </c>
      <c r="AJ33" s="18">
        <f>AJ26</f>
      </c>
      <c r="AK33" s="19"/>
    </row>
    <row r="34" ht="12.75" customHeight="1" spans="2:37" x14ac:dyDescent="0.25">
      <c r="B34" s="20" t="s">
        <v>45</v>
      </c>
      <c r="C34" s="21"/>
      <c r="D34" s="21"/>
      <c r="E34" s="22">
        <f>E30+E31+E32+E33</f>
      </c>
      <c r="F34" s="22">
        <f>F30+F31+F32+F33</f>
      </c>
      <c r="G34" s="22">
        <f>G30+G31+G32+G33</f>
      </c>
      <c r="H34" s="22">
        <f>H30+H31+H32+H33</f>
      </c>
      <c r="I34" s="22">
        <f>I30+I31+I32+I33</f>
      </c>
      <c r="J34" s="22">
        <f>J30+J31+J32+J33</f>
      </c>
      <c r="K34" s="22">
        <f>K30+K31+K32+K33</f>
      </c>
      <c r="L34" s="22">
        <f>L30+L31+L32+L33</f>
      </c>
      <c r="M34" s="22">
        <f>M30+M31+M32+M33</f>
      </c>
      <c r="N34" s="22">
        <f>N30+N31+N32+N33</f>
      </c>
      <c r="O34" s="22">
        <f>O30+O31+O32+O33</f>
      </c>
      <c r="P34" s="22">
        <f>P30+P31+P32+P33</f>
      </c>
      <c r="Q34" s="22">
        <f>Q30+Q31+Q32+Q33</f>
      </c>
      <c r="R34" s="22">
        <f>R30+R31+R32+R33</f>
      </c>
      <c r="S34" s="22">
        <f>S30+S31+S32+S33</f>
      </c>
      <c r="T34" s="22">
        <f>T30+T31+T32+T33</f>
      </c>
      <c r="U34" s="22">
        <f>U30+U31+U32+U33</f>
      </c>
      <c r="V34" s="22">
        <f>V30+V31+V32+V33</f>
      </c>
      <c r="W34" s="22">
        <f>W30+W31+W32+W33</f>
      </c>
      <c r="X34" s="22">
        <f>X30+X31+X32+X33</f>
      </c>
      <c r="Y34" s="22">
        <f>Y30+Y31+Y32+Y33</f>
      </c>
      <c r="Z34" s="22">
        <f>Z30+Z31+Z32+Z33</f>
      </c>
      <c r="AA34" s="22">
        <f>AA30+AA31+AA32+AA33</f>
      </c>
      <c r="AB34" s="22">
        <f>AB30+AB31+AB32+AB33</f>
      </c>
      <c r="AC34" s="22">
        <f>AC30+AC31+AC32+AC33</f>
      </c>
      <c r="AD34" s="22">
        <f>AD30+AD31+AD32+AD33</f>
      </c>
      <c r="AE34" s="22">
        <f>AE30+AE31+AE32+AE33</f>
      </c>
      <c r="AF34" s="22">
        <f>AF30+AF31+AF32+AF33</f>
      </c>
      <c r="AG34" s="22">
        <f>AG30+AG31+AG32+AG33</f>
      </c>
      <c r="AH34" s="22">
        <f>AH30+AH31+AH32+AH33</f>
      </c>
      <c r="AI34" s="22">
        <f>AI30+AI31+AI32+AI33</f>
      </c>
      <c r="AJ34" s="22">
        <f>AJ30+AJ31+AJ32+AJ33</f>
      </c>
      <c r="AK34" s="23"/>
    </row>
    <row r="36" ht="12.75" customHeight="1" spans="2:37" x14ac:dyDescent="0.25">
      <c r="B36" s="11" t="s">
        <v>46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ht="12.75" customHeight="1" spans="2:37" x14ac:dyDescent="0.25">
      <c r="B38" s="16" t="s">
        <v>42</v>
      </c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ht="12.75" customHeight="1" spans="2:37" x14ac:dyDescent="0.25">
      <c r="B39" s="16" t="s">
        <v>43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ht="12.75" customHeight="1" spans="2:37" x14ac:dyDescent="0.25">
      <c r="B40" s="16" t="s">
        <v>44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47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24">
        <f>E37-E30</f>
      </c>
      <c r="F44" s="24">
        <f>F37-F30</f>
      </c>
      <c r="G44" s="24">
        <f>G37-G30</f>
      </c>
      <c r="H44" s="24">
        <f>H37-H30</f>
      </c>
      <c r="I44" s="24">
        <f>I37-I30</f>
      </c>
      <c r="J44" s="24">
        <f>J37-J30</f>
      </c>
      <c r="K44" s="24">
        <f>K37-K30</f>
      </c>
      <c r="L44" s="24">
        <f>L37-L30</f>
      </c>
      <c r="M44" s="24">
        <f>M37-M30</f>
      </c>
      <c r="N44" s="24">
        <f>N37-N30</f>
      </c>
      <c r="O44" s="24">
        <f>O37-O30</f>
      </c>
      <c r="P44" s="24">
        <f>P37-P30</f>
      </c>
      <c r="Q44" s="24">
        <f>Q37-Q30</f>
      </c>
      <c r="R44" s="24">
        <f>R37-R30</f>
      </c>
      <c r="S44" s="24">
        <f>S37-S30</f>
      </c>
      <c r="T44" s="24">
        <f>T37-T30</f>
      </c>
      <c r="U44" s="24">
        <f>U37-U30</f>
      </c>
      <c r="V44" s="24">
        <f>V37-V30</f>
      </c>
      <c r="W44" s="24">
        <f>W37-W30</f>
      </c>
      <c r="X44" s="24">
        <f>X37-X30</f>
      </c>
      <c r="Y44" s="24">
        <f>Y37-Y30</f>
      </c>
      <c r="Z44" s="24">
        <f>Z37-Z30</f>
      </c>
      <c r="AA44" s="24">
        <f>AA37-AA30</f>
      </c>
      <c r="AB44" s="24">
        <f>AB37-AB30</f>
      </c>
      <c r="AC44" s="24">
        <f>AC37-AC30</f>
      </c>
      <c r="AD44" s="24">
        <f>AD37-AD30</f>
      </c>
      <c r="AE44" s="24">
        <f>AE37-AE30</f>
      </c>
      <c r="AF44" s="24">
        <f>AF37-AF30</f>
      </c>
      <c r="AG44" s="24">
        <f>AG37-AG30</f>
      </c>
      <c r="AH44" s="24">
        <f>AH37-AH30</f>
      </c>
      <c r="AI44" s="24">
        <f>AI37-AI30</f>
      </c>
      <c r="AJ44" s="24">
        <f>AJ37-AJ30</f>
      </c>
      <c r="AK44" s="19"/>
    </row>
    <row r="45" ht="12.75" customHeight="1" spans="2:37" x14ac:dyDescent="0.25">
      <c r="B45" s="16" t="s">
        <v>42</v>
      </c>
      <c r="C45" s="17"/>
      <c r="D45" s="17"/>
      <c r="E45" s="24">
        <f>E38-E31</f>
      </c>
      <c r="F45" s="24">
        <f>F38-F31</f>
      </c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19"/>
    </row>
    <row r="46" ht="12.75" customHeight="1" spans="2:37" x14ac:dyDescent="0.25">
      <c r="B46" s="16" t="s">
        <v>43</v>
      </c>
      <c r="C46" s="17"/>
      <c r="D46" s="17"/>
      <c r="E46" s="24">
        <f>E39-E32</f>
      </c>
      <c r="F46" s="24">
        <f>F39-F32</f>
      </c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19"/>
    </row>
    <row r="47" ht="12.75" customHeight="1" spans="2:37" x14ac:dyDescent="0.25">
      <c r="B47" s="16" t="s">
        <v>44</v>
      </c>
      <c r="C47" s="17"/>
      <c r="D47" s="17"/>
      <c r="E47" s="24">
        <f>E40-E33</f>
      </c>
      <c r="F47" s="24">
        <f>F40-F33</f>
      </c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19"/>
    </row>
    <row r="48" ht="12.75" customHeight="1" spans="2:37" x14ac:dyDescent="0.25">
      <c r="B48" s="20" t="s">
        <v>45</v>
      </c>
      <c r="C48" s="21"/>
      <c r="D48" s="21"/>
      <c r="E48" s="25">
        <f>E44+E45+E46+E47</f>
      </c>
      <c r="F48" s="25">
        <f>F44+F45+F46+F47</f>
      </c>
      <c r="G48" s="25">
        <f>G44+G45+G46+G47</f>
      </c>
      <c r="H48" s="25">
        <f>H44+H45+H46+H47</f>
      </c>
      <c r="I48" s="25">
        <f>I44+I45+I46+I47</f>
      </c>
      <c r="J48" s="25">
        <f>J44+J45+J46+J47</f>
      </c>
      <c r="K48" s="25">
        <f>K44+K45+K46+K47</f>
      </c>
      <c r="L48" s="25">
        <f>L44+L45+L46+L47</f>
      </c>
      <c r="M48" s="25">
        <f>M44+M45+M46+M47</f>
      </c>
      <c r="N48" s="25">
        <f>N44+N45+N46+N47</f>
      </c>
      <c r="O48" s="25">
        <f>O44+O45+O46+O47</f>
      </c>
      <c r="P48" s="25">
        <f>P44+P45+P46+P47</f>
      </c>
      <c r="Q48" s="25">
        <f>Q44+Q45+Q46+Q47</f>
      </c>
      <c r="R48" s="25">
        <f>R44+R45+R46+R47</f>
      </c>
      <c r="S48" s="25">
        <f>S44+S45+S46+S47</f>
      </c>
      <c r="T48" s="25">
        <f>T44+T45+T46+T47</f>
      </c>
      <c r="U48" s="25">
        <f>U44+U45+U46+U47</f>
      </c>
      <c r="V48" s="25">
        <f>V44+V45+V46+V47</f>
      </c>
      <c r="W48" s="25">
        <f>W44+W45+W46+W47</f>
      </c>
      <c r="X48" s="25">
        <f>X44+X45+X46+X47</f>
      </c>
      <c r="Y48" s="25">
        <f>Y44+Y45+Y46+Y47</f>
      </c>
      <c r="Z48" s="25">
        <f>Z44+Z45+Z46+Z47</f>
      </c>
      <c r="AA48" s="25">
        <f>AA44+AA45+AA46+AA47</f>
      </c>
      <c r="AB48" s="25">
        <f>AB44+AB45+AB46+AB47</f>
      </c>
      <c r="AC48" s="25">
        <f>AC44+AC45+AC46+AC47</f>
      </c>
      <c r="AD48" s="25">
        <f>AD44+AD45+AD46+AD47</f>
      </c>
      <c r="AE48" s="25">
        <f>AE44+AE45+AE46+AE47</f>
      </c>
      <c r="AF48" s="25">
        <f>AF44+AF45+AF46+AF47</f>
      </c>
      <c r="AG48" s="25">
        <f>AG44+AG45+AG46+AG47</f>
      </c>
      <c r="AH48" s="25">
        <f>AH44+AH45+AH46+AH47</f>
      </c>
      <c r="AI48" s="25">
        <f>AI44+AI45+AI46+AI47</f>
      </c>
      <c r="AJ48" s="25">
        <f>AJ44+AJ45+AJ46+AJ47</f>
      </c>
      <c r="AK4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2476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194</v>
      </c>
      <c r="K8" s="44" t="s">
        <v>2479</v>
      </c>
      <c r="L8" s="44" t="s">
        <v>2480</v>
      </c>
      <c r="M8" s="44" t="s">
        <v>2481</v>
      </c>
      <c r="N8" s="44" t="s">
        <v>2482</v>
      </c>
      <c r="O8" s="44" t="s">
        <v>2483</v>
      </c>
      <c r="P8" s="44" t="s">
        <v>2484</v>
      </c>
      <c r="Q8" s="44" t="s">
        <v>2485</v>
      </c>
      <c r="R8" s="44" t="s">
        <v>2486</v>
      </c>
      <c r="S8" s="44" t="s">
        <v>2487</v>
      </c>
      <c r="T8" s="44" t="s">
        <v>2488</v>
      </c>
      <c r="U8" s="44" t="s">
        <v>2489</v>
      </c>
      <c r="V8" s="44" t="s">
        <v>2490</v>
      </c>
      <c r="W8" s="44" t="s">
        <v>2491</v>
      </c>
      <c r="X8" s="44" t="s">
        <v>2492</v>
      </c>
      <c r="Y8" s="44" t="s">
        <v>2493</v>
      </c>
      <c r="Z8" s="44" t="s">
        <v>2494</v>
      </c>
      <c r="AA8" s="44" t="s">
        <v>2495</v>
      </c>
      <c r="AB8" s="44" t="s">
        <v>2496</v>
      </c>
      <c r="AC8" s="44" t="s">
        <v>2497</v>
      </c>
      <c r="AD8" s="44" t="s">
        <v>2498</v>
      </c>
      <c r="AE8" s="44" t="s">
        <v>2499</v>
      </c>
      <c r="AF8" s="44" t="s">
        <v>2500</v>
      </c>
      <c r="AG8" s="44" t="s">
        <v>2501</v>
      </c>
      <c r="AH8" s="44" t="s">
        <v>2502</v>
      </c>
      <c r="AI8" s="44" t="s">
        <v>2503</v>
      </c>
      <c r="AJ8" s="44" t="s">
        <v>2504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2476</v>
      </c>
      <c r="D10" s="50" t="s">
        <v>41</v>
      </c>
      <c r="E10" s="32" t="s">
        <v>3</v>
      </c>
      <c r="F10" s="32" t="s">
        <v>2477</v>
      </c>
      <c r="G10" s="32"/>
      <c r="H10" s="32"/>
      <c r="I10" s="32"/>
      <c r="J10" s="32"/>
      <c r="K10" s="33">
        <f>2163.34+155.95</f>
        <v>2319.29</v>
      </c>
      <c r="L10" s="33">
        <f>1589.15+153.93</f>
        <v>1743.0800000000002</v>
      </c>
      <c r="M10" s="33">
        <f>1145.04+140.17</f>
        <v>1285.21</v>
      </c>
      <c r="N10" s="33">
        <f>120.96+647.78</f>
        <v>768.74</v>
      </c>
      <c r="O10" s="33">
        <f>105.81+258.11</f>
        <v>363.92</v>
      </c>
      <c r="P10" s="33">
        <f>257.35+75.71</f>
        <v>333.06</v>
      </c>
      <c r="Q10" s="33">
        <f>138.62+69.26</f>
        <v>207.88</v>
      </c>
      <c r="R10" s="33">
        <f>150.49+64.76</f>
        <v>215.25</v>
      </c>
      <c r="S10" s="33">
        <f>67.16+192.02</f>
        <v>259.18</v>
      </c>
      <c r="T10" s="33">
        <f>502.39+69.31</f>
        <v>571.7</v>
      </c>
      <c r="U10" s="33">
        <f>101.60+1512.22</f>
        <v>1613.82</v>
      </c>
      <c r="V10" s="33">
        <f>118.66+1692.41</f>
        <v>1811.0700000000002</v>
      </c>
      <c r="W10" s="33">
        <f>2144.65+139.64</f>
        <v>2284.29</v>
      </c>
      <c r="X10" s="33">
        <f>135.39+1503.06</f>
        <v>1638.4499999999998</v>
      </c>
      <c r="Y10" s="33">
        <f>121.05+1216.51</f>
        <v>1337.56</v>
      </c>
      <c r="Z10" s="33">
        <f>102.36+690.68</f>
        <v>793.04</v>
      </c>
      <c r="AA10" s="33">
        <f>322.65+78.84</f>
        <v>401.49</v>
      </c>
      <c r="AB10" s="33">
        <f>222.15+77.88</f>
        <v>300.03</v>
      </c>
      <c r="AC10" s="33">
        <f>141.87+72.59</f>
        <v>214.46</v>
      </c>
      <c r="AD10" s="33">
        <f>74.54+152.09</f>
        <v>226.63</v>
      </c>
      <c r="AE10" s="33">
        <f>68.23+183.53</f>
        <v>251.76</v>
      </c>
      <c r="AF10" s="33">
        <f>509.68+83.04</f>
        <v>592.72</v>
      </c>
      <c r="AG10" s="33">
        <f>113.00+994.35</f>
        <v>1107.35</v>
      </c>
      <c r="AH10" s="33">
        <f>1865.61+161.11</f>
        <v>2026.7199999999998</v>
      </c>
      <c r="AI10" s="33">
        <f>135.67+1507.73</f>
        <v>1643.4</v>
      </c>
      <c r="AJ10" s="33">
        <f>1418.62+146.33</f>
        <v>1564.9499999999998</v>
      </c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2476</v>
      </c>
      <c r="D15" s="50" t="s">
        <v>42</v>
      </c>
      <c r="E15" s="32" t="s">
        <v>3</v>
      </c>
      <c r="F15" s="32" t="s">
        <v>2478</v>
      </c>
      <c r="G15" s="32"/>
      <c r="H15" s="32"/>
      <c r="I15" s="32"/>
      <c r="J15" s="33">
        <v>16397.37</v>
      </c>
      <c r="K15" s="33">
        <v>23262.81</v>
      </c>
      <c r="L15" s="33">
        <v>18864.96</v>
      </c>
      <c r="M15" s="33">
        <v>14386.44</v>
      </c>
      <c r="N15" s="33">
        <v>11994.47</v>
      </c>
      <c r="O15" s="33">
        <v>13585.53</v>
      </c>
      <c r="P15" s="33">
        <v>22663.22</v>
      </c>
      <c r="Q15" s="33">
        <v>26170.07</v>
      </c>
      <c r="R15" s="33">
        <v>20726.13</v>
      </c>
      <c r="S15" s="33">
        <v>18546.34</v>
      </c>
      <c r="T15" s="33">
        <v>13405.12</v>
      </c>
      <c r="U15" s="33">
        <v>11855.17</v>
      </c>
      <c r="V15" s="33">
        <v>15785.98</v>
      </c>
      <c r="W15" s="33">
        <v>23905.95</v>
      </c>
      <c r="X15" s="33">
        <v>14338.81</v>
      </c>
      <c r="Y15" s="33">
        <v>15091.97</v>
      </c>
      <c r="Z15" s="33">
        <v>11695.75</v>
      </c>
      <c r="AA15" s="33">
        <v>13224.08</v>
      </c>
      <c r="AB15" s="33">
        <v>23272.34</v>
      </c>
      <c r="AC15" s="33">
        <v>25066.82</v>
      </c>
      <c r="AD15" s="33">
        <v>22369.55</v>
      </c>
      <c r="AE15" s="33">
        <v>16172.08</v>
      </c>
      <c r="AF15" s="33">
        <v>10070.56</v>
      </c>
      <c r="AG15" s="33">
        <v>10730.96</v>
      </c>
      <c r="AH15" s="33">
        <v>13550.23</v>
      </c>
      <c r="AI15" s="33">
        <v>16827.97</v>
      </c>
      <c r="AJ15" s="33">
        <v>12718.19</v>
      </c>
      <c r="AK15" s="32"/>
      <c r="AL15" s="34">
        <f>SUM(G15:AK15)</f>
      </c>
      <c r="AM15" s="35"/>
    </row>
    <row r="16" ht="13.5" customHeight="1" spans="2:39" x14ac:dyDescent="0.25">
      <c r="B16" s="51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40"/>
    </row>
    <row r="17" ht="13.5" customHeight="1" spans="2:39" x14ac:dyDescent="0.25">
      <c r="B17" s="20"/>
      <c r="C17" s="21"/>
      <c r="D17" s="21" t="s">
        <v>85</v>
      </c>
      <c r="E17" s="21"/>
      <c r="F17" s="21"/>
      <c r="G17" s="22">
        <f>SUM(G15:G15)</f>
      </c>
      <c r="H17" s="22">
        <f>SUM(H15:H15)</f>
      </c>
      <c r="I17" s="22">
        <f>SUM(I15:I15)</f>
      </c>
      <c r="J17" s="22">
        <f>SUM(J15:J15)</f>
      </c>
      <c r="K17" s="22">
        <f>SUM(K15:K15)</f>
      </c>
      <c r="L17" s="22">
        <f>SUM(L15:L15)</f>
      </c>
      <c r="M17" s="22">
        <f>SUM(M15:M15)</f>
      </c>
      <c r="N17" s="22">
        <f>SUM(N15:N15)</f>
      </c>
      <c r="O17" s="22">
        <f>SUM(O15:O15)</f>
      </c>
      <c r="P17" s="22">
        <f>SUM(P15:P15)</f>
      </c>
      <c r="Q17" s="22">
        <f>SUM(Q15:Q15)</f>
      </c>
      <c r="R17" s="22">
        <f>SUM(R15:R15)</f>
      </c>
      <c r="S17" s="22">
        <f>SUM(S15:S15)</f>
      </c>
      <c r="T17" s="22">
        <f>SUM(T15:T15)</f>
      </c>
      <c r="U17" s="22">
        <f>SUM(U15:U15)</f>
      </c>
      <c r="V17" s="22">
        <f>SUM(V15:V15)</f>
      </c>
      <c r="W17" s="22">
        <f>SUM(W15:W15)</f>
      </c>
      <c r="X17" s="22">
        <f>SUM(X15:X15)</f>
      </c>
      <c r="Y17" s="22">
        <f>SUM(Y15:Y15)</f>
      </c>
      <c r="Z17" s="22">
        <f>SUM(Z15:Z15)</f>
      </c>
      <c r="AA17" s="22">
        <f>SUM(AA15:AA15)</f>
      </c>
      <c r="AB17" s="22">
        <f>SUM(AB15:AB15)</f>
      </c>
      <c r="AC17" s="22">
        <f>SUM(AC15:AC15)</f>
      </c>
      <c r="AD17" s="22">
        <f>SUM(AD15:AD15)</f>
      </c>
      <c r="AE17" s="22">
        <f>SUM(AE15:AE15)</f>
      </c>
      <c r="AF17" s="22">
        <f>SUM(AF15:AF15)</f>
      </c>
      <c r="AG17" s="22">
        <f>SUM(AG15:AG15)</f>
      </c>
      <c r="AH17" s="22">
        <f>SUM(AH15:AH15)</f>
      </c>
      <c r="AI17" s="22">
        <f>SUM(AI15:AI15)</f>
      </c>
      <c r="AJ17" s="22">
        <f>SUM(AJ15:AJ15)</f>
      </c>
      <c r="AK17" s="22">
        <f>SUM(AK15:AK15)</f>
      </c>
      <c r="AL17" s="22">
        <f>SUM(AL15:AL15)</f>
      </c>
      <c r="AM17" s="23"/>
    </row>
    <row r="19" ht="13.5" customHeight="1" spans="2:39" x14ac:dyDescent="0.25">
      <c r="B19" s="46"/>
      <c r="C19" s="28"/>
      <c r="D19" s="47" t="s">
        <v>43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9"/>
    </row>
    <row r="20" ht="13.5" customHeight="1" spans="2:39" x14ac:dyDescent="0.25">
      <c r="B20" s="48" t="s">
        <v>3</v>
      </c>
      <c r="C20" s="49" t="s">
        <v>2476</v>
      </c>
      <c r="D20" s="50" t="s">
        <v>43</v>
      </c>
      <c r="E20" s="32" t="s">
        <v>3</v>
      </c>
      <c r="F20" s="32" t="s">
        <v>2477</v>
      </c>
      <c r="G20" s="32"/>
      <c r="H20" s="32"/>
      <c r="I20" s="32"/>
      <c r="J20" s="32"/>
      <c r="K20" s="33">
        <f>2994.99+389.10+2525.49</f>
        <v>5909.58</v>
      </c>
      <c r="L20" s="33">
        <f>3221.47+2798.10+388.22</f>
        <v>6407.79</v>
      </c>
      <c r="M20" s="33">
        <f>3051.41+2431.15+404.04</f>
        <v>5886.599999999999</v>
      </c>
      <c r="N20" s="33">
        <f>2519.05+2198.76+392.60</f>
        <v>5110.410000000001</v>
      </c>
      <c r="O20" s="33">
        <f>1960.73+1718.06+382.19</f>
        <v>4060.98</v>
      </c>
      <c r="P20" s="33">
        <f>2672.33+396.20+2127.45</f>
        <v>5195.98</v>
      </c>
      <c r="Q20" s="33">
        <f>2331.17+396.33+1853.82</f>
        <v>4581.32</v>
      </c>
      <c r="R20" s="33">
        <f>2439.51+2133.88+382.19</f>
        <v>4955.58</v>
      </c>
      <c r="S20" s="33">
        <f>2582.72+395.99+2055.58</f>
        <v>5034.29</v>
      </c>
      <c r="T20" s="33">
        <f>2865.09+384.35+2499.05</f>
        <v>5748.49</v>
      </c>
      <c r="U20" s="33">
        <f>2615.06+382.19+2286.34</f>
        <v>5283.59</v>
      </c>
      <c r="V20" s="33">
        <f>3023.03+429.44+2430.01</f>
        <v>5882.4800000000005</v>
      </c>
      <c r="W20" s="33">
        <f>3402.94+401.83+2912.43</f>
        <v>6717.2</v>
      </c>
      <c r="X20" s="33">
        <f>3975.45+3461.23+421.45</f>
        <v>7858.13</v>
      </c>
      <c r="Y20" s="33">
        <f>3429.60+464.62+2726.57</f>
        <v>6620.79</v>
      </c>
      <c r="Z20" s="33">
        <f>2600.50+416.83+2093.00</f>
        <v>5110.33</v>
      </c>
      <c r="AA20" s="33">
        <f>1880.36+1508.53+418.67</f>
        <v>3807.56</v>
      </c>
      <c r="AB20" s="33">
        <f>2178.29+418.30+1750.31</f>
        <v>4346.9</v>
      </c>
      <c r="AC20" s="33">
        <f>2224.72+418.02+1788.00</f>
        <v>4430.74</v>
      </c>
      <c r="AD20" s="33">
        <f>2620.22+418.08+2108.95</f>
        <v>5147.25</v>
      </c>
      <c r="AE20" s="33">
        <f>2137.09+0.00+1717.50+579.60</f>
        <v>4434.1900000000005</v>
      </c>
      <c r="AF20" s="33">
        <f>0.00+1931.17+419.28+1549.73</f>
        <v>3900.18</v>
      </c>
      <c r="AG20" s="33">
        <f>2670.25+0.00+2149.44+420.29</f>
        <v>5239.9800000000005</v>
      </c>
      <c r="AH20" s="33">
        <f>0.00+2922.18+2353.81+421.90</f>
        <v>5697.889999999999</v>
      </c>
      <c r="AI20" s="33">
        <f>424.11+2356.31</f>
        <v>2780.42</v>
      </c>
      <c r="AJ20" s="33">
        <f>2574.67+434.09</f>
        <v>3008.76</v>
      </c>
      <c r="AK20" s="32"/>
      <c r="AL20" s="34">
        <f>SUM(G20:AK20)</f>
      </c>
      <c r="AM20" s="35"/>
    </row>
    <row r="21" ht="13.5" customHeight="1" spans="2:39" x14ac:dyDescent="0.25">
      <c r="B21" s="51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0"/>
    </row>
    <row r="22" ht="13.5" customHeight="1" spans="2:39" x14ac:dyDescent="0.25">
      <c r="B22" s="20"/>
      <c r="C22" s="21"/>
      <c r="D22" s="21" t="s">
        <v>89</v>
      </c>
      <c r="E22" s="21"/>
      <c r="F22" s="21"/>
      <c r="G22" s="22">
        <f>SUM(G20:G20)</f>
      </c>
      <c r="H22" s="22">
        <f>SUM(H20:H20)</f>
      </c>
      <c r="I22" s="22">
        <f>SUM(I20:I20)</f>
      </c>
      <c r="J22" s="22">
        <f>SUM(J20:J20)</f>
      </c>
      <c r="K22" s="22">
        <f>SUM(K20:K20)</f>
      </c>
      <c r="L22" s="22">
        <f>SUM(L20:L20)</f>
      </c>
      <c r="M22" s="22">
        <f>SUM(M20:M20)</f>
      </c>
      <c r="N22" s="22">
        <f>SUM(N20:N20)</f>
      </c>
      <c r="O22" s="22">
        <f>SUM(O20:O20)</f>
      </c>
      <c r="P22" s="22">
        <f>SUM(P20:P20)</f>
      </c>
      <c r="Q22" s="22">
        <f>SUM(Q20:Q20)</f>
      </c>
      <c r="R22" s="22">
        <f>SUM(R20:R20)</f>
      </c>
      <c r="S22" s="22">
        <f>SUM(S20:S20)</f>
      </c>
      <c r="T22" s="22">
        <f>SUM(T20:T20)</f>
      </c>
      <c r="U22" s="22">
        <f>SUM(U20:U20)</f>
      </c>
      <c r="V22" s="22">
        <f>SUM(V20:V20)</f>
      </c>
      <c r="W22" s="22">
        <f>SUM(W20:W20)</f>
      </c>
      <c r="X22" s="22">
        <f>SUM(X20:X20)</f>
      </c>
      <c r="Y22" s="22">
        <f>SUM(Y20:Y20)</f>
      </c>
      <c r="Z22" s="22">
        <f>SUM(Z20:Z20)</f>
      </c>
      <c r="AA22" s="22">
        <f>SUM(AA20:AA20)</f>
      </c>
      <c r="AB22" s="22">
        <f>SUM(AB20:AB20)</f>
      </c>
      <c r="AC22" s="22">
        <f>SUM(AC20:AC20)</f>
      </c>
      <c r="AD22" s="22">
        <f>SUM(AD20:AD20)</f>
      </c>
      <c r="AE22" s="22">
        <f>SUM(AE20:AE20)</f>
      </c>
      <c r="AF22" s="22">
        <f>SUM(AF20:AF20)</f>
      </c>
      <c r="AG22" s="22">
        <f>SUM(AG20:AG20)</f>
      </c>
      <c r="AH22" s="22">
        <f>SUM(AH20:AH20)</f>
      </c>
      <c r="AI22" s="22">
        <f>SUM(AI20:AI20)</f>
      </c>
      <c r="AJ22" s="22">
        <f>SUM(AJ20:AJ20)</f>
      </c>
      <c r="AK22" s="22">
        <f>SUM(AK20:AK20)</f>
      </c>
      <c r="AL22" s="22">
        <f>SUM(AL20:AL20)</f>
      </c>
      <c r="AM22" s="23"/>
    </row>
    <row r="24" ht="13.5" customHeight="1" spans="2:39" x14ac:dyDescent="0.25">
      <c r="B24" s="46"/>
      <c r="C24" s="28"/>
      <c r="D24" s="47" t="s">
        <v>44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9"/>
    </row>
    <row r="25" ht="13.5" customHeight="1" spans="2:39" x14ac:dyDescent="0.25">
      <c r="B25" s="48" t="s">
        <v>3</v>
      </c>
      <c r="C25" s="49" t="s">
        <v>2476</v>
      </c>
      <c r="D25" s="50" t="s">
        <v>44</v>
      </c>
      <c r="E25" s="32" t="s">
        <v>3</v>
      </c>
      <c r="F25" s="32" t="s">
        <v>2477</v>
      </c>
      <c r="G25" s="32"/>
      <c r="H25" s="32"/>
      <c r="I25" s="32"/>
      <c r="J25" s="32"/>
      <c r="K25" s="33">
        <v>856.83</v>
      </c>
      <c r="L25" s="33">
        <v>854.89</v>
      </c>
      <c r="M25" s="33">
        <v>941.49</v>
      </c>
      <c r="N25" s="33">
        <v>909.68</v>
      </c>
      <c r="O25" s="33">
        <v>897.88</v>
      </c>
      <c r="P25" s="33">
        <v>930.8</v>
      </c>
      <c r="Q25" s="33">
        <v>923.51</v>
      </c>
      <c r="R25" s="33">
        <v>897.88</v>
      </c>
      <c r="S25" s="33">
        <v>930.3</v>
      </c>
      <c r="T25" s="33">
        <v>897.88</v>
      </c>
      <c r="U25" s="33">
        <v>897.88</v>
      </c>
      <c r="V25" s="33">
        <v>937.56</v>
      </c>
      <c r="W25" s="33">
        <v>936.33</v>
      </c>
      <c r="X25" s="33">
        <v>1033.16</v>
      </c>
      <c r="Y25" s="33">
        <v>1030.58</v>
      </c>
      <c r="Z25" s="33">
        <v>1021.84</v>
      </c>
      <c r="AA25" s="33">
        <v>1026.34</v>
      </c>
      <c r="AB25" s="33">
        <v>1025.43</v>
      </c>
      <c r="AC25" s="33">
        <v>1024.75</v>
      </c>
      <c r="AD25" s="33">
        <v>1024.88</v>
      </c>
      <c r="AE25" s="33">
        <v>989.72</v>
      </c>
      <c r="AF25" s="33">
        <v>1027.84</v>
      </c>
      <c r="AG25" s="33">
        <v>1030.32</v>
      </c>
      <c r="AH25" s="33">
        <v>1034.26</v>
      </c>
      <c r="AI25" s="33">
        <v>1039.69</v>
      </c>
      <c r="AJ25" s="33">
        <v>1120.18</v>
      </c>
      <c r="AK25" s="32"/>
      <c r="AL25" s="34">
        <f>SUM(G25:AK25)</f>
      </c>
      <c r="AM25" s="35"/>
    </row>
    <row r="26" ht="13.5" customHeight="1" spans="2:39" x14ac:dyDescent="0.25">
      <c r="B26" s="5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/>
    </row>
    <row r="27" ht="13.5" customHeight="1" spans="2:39" x14ac:dyDescent="0.25">
      <c r="B27" s="20"/>
      <c r="C27" s="21"/>
      <c r="D27" s="21" t="s">
        <v>90</v>
      </c>
      <c r="E27" s="21"/>
      <c r="F27" s="21"/>
      <c r="G27" s="22">
        <f>SUM(G25:G25)</f>
      </c>
      <c r="H27" s="22">
        <f>SUM(H25:H25)</f>
      </c>
      <c r="I27" s="22">
        <f>SUM(I25:I25)</f>
      </c>
      <c r="J27" s="22">
        <f>SUM(J25:J25)</f>
      </c>
      <c r="K27" s="22">
        <f>SUM(K25:K25)</f>
      </c>
      <c r="L27" s="22">
        <f>SUM(L25:L25)</f>
      </c>
      <c r="M27" s="22">
        <f>SUM(M25:M25)</f>
      </c>
      <c r="N27" s="22">
        <f>SUM(N25:N25)</f>
      </c>
      <c r="O27" s="22">
        <f>SUM(O25:O25)</f>
      </c>
      <c r="P27" s="22">
        <f>SUM(P25:P25)</f>
      </c>
      <c r="Q27" s="22">
        <f>SUM(Q25:Q25)</f>
      </c>
      <c r="R27" s="22">
        <f>SUM(R25:R25)</f>
      </c>
      <c r="S27" s="22">
        <f>SUM(S25:S25)</f>
      </c>
      <c r="T27" s="22">
        <f>SUM(T25:T25)</f>
      </c>
      <c r="U27" s="22">
        <f>SUM(U25:U25)</f>
      </c>
      <c r="V27" s="22">
        <f>SUM(V25:V25)</f>
      </c>
      <c r="W27" s="22">
        <f>SUM(W25:W25)</f>
      </c>
      <c r="X27" s="22">
        <f>SUM(X25:X25)</f>
      </c>
      <c r="Y27" s="22">
        <f>SUM(Y25:Y25)</f>
      </c>
      <c r="Z27" s="22">
        <f>SUM(Z25:Z25)</f>
      </c>
      <c r="AA27" s="22">
        <f>SUM(AA25:AA25)</f>
      </c>
      <c r="AB27" s="22">
        <f>SUM(AB25:AB25)</f>
      </c>
      <c r="AC27" s="22">
        <f>SUM(AC25:AC25)</f>
      </c>
      <c r="AD27" s="22">
        <f>SUM(AD25:AD25)</f>
      </c>
      <c r="AE27" s="22">
        <f>SUM(AE25:AE25)</f>
      </c>
      <c r="AF27" s="22">
        <f>SUM(AF25:AF25)</f>
      </c>
      <c r="AG27" s="22">
        <f>SUM(AG25:AG25)</f>
      </c>
      <c r="AH27" s="22">
        <f>SUM(AH25:AH25)</f>
      </c>
      <c r="AI27" s="22">
        <f>SUM(AI25:AI25)</f>
      </c>
      <c r="AJ27" s="22">
        <f>SUM(AJ25:AJ25)</f>
      </c>
      <c r="AK27" s="22">
        <f>SUM(AK25:AK25)</f>
      </c>
      <c r="AL27" s="22">
        <f>SUM(AL25:AL25)</f>
      </c>
      <c r="AM27" s="23"/>
    </row>
    <row r="30" ht="12.75" customHeight="1" spans="2:39" x14ac:dyDescent="0.25">
      <c r="B30" s="11" t="s">
        <v>40</v>
      </c>
      <c r="C30" s="12"/>
      <c r="D30" s="12"/>
      <c r="E30" s="12"/>
      <c r="F30" s="12"/>
      <c r="G30" s="52" t="s">
        <v>7</v>
      </c>
      <c r="H30" s="52" t="s">
        <v>8</v>
      </c>
      <c r="I30" s="52" t="s">
        <v>9</v>
      </c>
      <c r="J30" s="52" t="s">
        <v>10</v>
      </c>
      <c r="K30" s="52" t="s">
        <v>11</v>
      </c>
      <c r="L30" s="52" t="s">
        <v>12</v>
      </c>
      <c r="M30" s="52" t="s">
        <v>13</v>
      </c>
      <c r="N30" s="52" t="s">
        <v>14</v>
      </c>
      <c r="O30" s="52" t="s">
        <v>15</v>
      </c>
      <c r="P30" s="52" t="s">
        <v>16</v>
      </c>
      <c r="Q30" s="52" t="s">
        <v>17</v>
      </c>
      <c r="R30" s="52" t="s">
        <v>18</v>
      </c>
      <c r="S30" s="52" t="s">
        <v>19</v>
      </c>
      <c r="T30" s="52" t="s">
        <v>20</v>
      </c>
      <c r="U30" s="52" t="s">
        <v>21</v>
      </c>
      <c r="V30" s="52" t="s">
        <v>22</v>
      </c>
      <c r="W30" s="52" t="s">
        <v>23</v>
      </c>
      <c r="X30" s="52" t="s">
        <v>24</v>
      </c>
      <c r="Y30" s="52" t="s">
        <v>25</v>
      </c>
      <c r="Z30" s="52" t="s">
        <v>26</v>
      </c>
      <c r="AA30" s="52" t="s">
        <v>27</v>
      </c>
      <c r="AB30" s="52" t="s">
        <v>28</v>
      </c>
      <c r="AC30" s="52" t="s">
        <v>29</v>
      </c>
      <c r="AD30" s="52" t="s">
        <v>30</v>
      </c>
      <c r="AE30" s="52" t="s">
        <v>31</v>
      </c>
      <c r="AF30" s="52" t="s">
        <v>32</v>
      </c>
      <c r="AG30" s="52" t="s">
        <v>33</v>
      </c>
      <c r="AH30" s="52" t="s">
        <v>34</v>
      </c>
      <c r="AI30" s="52" t="s">
        <v>35</v>
      </c>
      <c r="AJ30" s="52" t="s">
        <v>36</v>
      </c>
      <c r="AK30" s="52" t="s">
        <v>37</v>
      </c>
      <c r="AL30" s="52" t="s">
        <v>38</v>
      </c>
      <c r="AM30" s="15"/>
    </row>
    <row r="31" ht="12.75" customHeight="1" spans="2:39" x14ac:dyDescent="0.25">
      <c r="B31" s="16"/>
      <c r="C31" s="17"/>
      <c r="D31" s="17" t="s">
        <v>41</v>
      </c>
      <c r="E31" s="17"/>
      <c r="F31" s="17"/>
      <c r="G31" s="18">
        <f>G12</f>
      </c>
      <c r="H31" s="18">
        <f>H12</f>
      </c>
      <c r="I31" s="18">
        <f>I12</f>
      </c>
      <c r="J31" s="18">
        <f>J12</f>
      </c>
      <c r="K31" s="18">
        <f>K12</f>
      </c>
      <c r="L31" s="18">
        <f>L12</f>
      </c>
      <c r="M31" s="18">
        <f>M12</f>
      </c>
      <c r="N31" s="18">
        <f>N12</f>
      </c>
      <c r="O31" s="18">
        <f>O12</f>
      </c>
      <c r="P31" s="18">
        <f>P12</f>
      </c>
      <c r="Q31" s="18">
        <f>Q12</f>
      </c>
      <c r="R31" s="18">
        <f>R12</f>
      </c>
      <c r="S31" s="18">
        <f>S12</f>
      </c>
      <c r="T31" s="18">
        <f>T12</f>
      </c>
      <c r="U31" s="18">
        <f>U12</f>
      </c>
      <c r="V31" s="18">
        <f>V12</f>
      </c>
      <c r="W31" s="18">
        <f>W12</f>
      </c>
      <c r="X31" s="18">
        <f>X12</f>
      </c>
      <c r="Y31" s="18">
        <f>Y12</f>
      </c>
      <c r="Z31" s="18">
        <f>Z12</f>
      </c>
      <c r="AA31" s="18">
        <f>AA12</f>
      </c>
      <c r="AB31" s="18">
        <f>AB12</f>
      </c>
      <c r="AC31" s="18">
        <f>AC12</f>
      </c>
      <c r="AD31" s="18">
        <f>AD12</f>
      </c>
      <c r="AE31" s="18">
        <f>AE12</f>
      </c>
      <c r="AF31" s="18">
        <f>AF12</f>
      </c>
      <c r="AG31" s="18">
        <f>AG12</f>
      </c>
      <c r="AH31" s="18">
        <f>AH12</f>
      </c>
      <c r="AI31" s="18">
        <f>AI12</f>
      </c>
      <c r="AJ31" s="18">
        <f>AJ12</f>
      </c>
      <c r="AK31" s="18">
        <f>AK12</f>
      </c>
      <c r="AL31" s="18">
        <f>AL12</f>
      </c>
      <c r="AM31" s="19"/>
    </row>
    <row r="32" ht="12.75" customHeight="1" spans="2:39" x14ac:dyDescent="0.25">
      <c r="B32" s="16"/>
      <c r="C32" s="17"/>
      <c r="D32" s="17" t="s">
        <v>42</v>
      </c>
      <c r="E32" s="17"/>
      <c r="F32" s="17"/>
      <c r="G32" s="18">
        <f>G17</f>
      </c>
      <c r="H32" s="18">
        <f>H17</f>
      </c>
      <c r="I32" s="18">
        <f>I17</f>
      </c>
      <c r="J32" s="18">
        <f>J17</f>
      </c>
      <c r="K32" s="18">
        <f>K17</f>
      </c>
      <c r="L32" s="18">
        <f>L17</f>
      </c>
      <c r="M32" s="18">
        <f>M17</f>
      </c>
      <c r="N32" s="18">
        <f>N17</f>
      </c>
      <c r="O32" s="18">
        <f>O17</f>
      </c>
      <c r="P32" s="18">
        <f>P17</f>
      </c>
      <c r="Q32" s="18">
        <f>Q17</f>
      </c>
      <c r="R32" s="18">
        <f>R17</f>
      </c>
      <c r="S32" s="18">
        <f>S17</f>
      </c>
      <c r="T32" s="18">
        <f>T17</f>
      </c>
      <c r="U32" s="18">
        <f>U17</f>
      </c>
      <c r="V32" s="18">
        <f>V17</f>
      </c>
      <c r="W32" s="18">
        <f>W17</f>
      </c>
      <c r="X32" s="18">
        <f>X17</f>
      </c>
      <c r="Y32" s="18">
        <f>Y17</f>
      </c>
      <c r="Z32" s="18">
        <f>Z17</f>
      </c>
      <c r="AA32" s="18">
        <f>AA17</f>
      </c>
      <c r="AB32" s="18">
        <f>AB17</f>
      </c>
      <c r="AC32" s="18">
        <f>AC17</f>
      </c>
      <c r="AD32" s="18">
        <f>AD17</f>
      </c>
      <c r="AE32" s="18">
        <f>AE17</f>
      </c>
      <c r="AF32" s="18">
        <f>AF17</f>
      </c>
      <c r="AG32" s="18">
        <f>AG17</f>
      </c>
      <c r="AH32" s="18">
        <f>AH17</f>
      </c>
      <c r="AI32" s="18">
        <f>AI17</f>
      </c>
      <c r="AJ32" s="18">
        <f>AJ17</f>
      </c>
      <c r="AK32" s="18">
        <f>AK17</f>
      </c>
      <c r="AL32" s="18">
        <f>AL17</f>
      </c>
      <c r="AM32" s="19"/>
    </row>
    <row r="33" ht="12.75" customHeight="1" spans="2:39" x14ac:dyDescent="0.25">
      <c r="B33" s="16"/>
      <c r="C33" s="17"/>
      <c r="D33" s="17" t="s">
        <v>43</v>
      </c>
      <c r="E33" s="17"/>
      <c r="F33" s="17"/>
      <c r="G33" s="18">
        <f>G22</f>
      </c>
      <c r="H33" s="18">
        <f>H22</f>
      </c>
      <c r="I33" s="18">
        <f>I22</f>
      </c>
      <c r="J33" s="18">
        <f>J22</f>
      </c>
      <c r="K33" s="18">
        <f>K22</f>
      </c>
      <c r="L33" s="18">
        <f>L22</f>
      </c>
      <c r="M33" s="18">
        <f>M22</f>
      </c>
      <c r="N33" s="18">
        <f>N22</f>
      </c>
      <c r="O33" s="18">
        <f>O22</f>
      </c>
      <c r="P33" s="18">
        <f>P22</f>
      </c>
      <c r="Q33" s="18">
        <f>Q22</f>
      </c>
      <c r="R33" s="18">
        <f>R22</f>
      </c>
      <c r="S33" s="18">
        <f>S22</f>
      </c>
      <c r="T33" s="18">
        <f>T22</f>
      </c>
      <c r="U33" s="18">
        <f>U22</f>
      </c>
      <c r="V33" s="18">
        <f>V22</f>
      </c>
      <c r="W33" s="18">
        <f>W22</f>
      </c>
      <c r="X33" s="18">
        <f>X22</f>
      </c>
      <c r="Y33" s="18">
        <f>Y22</f>
      </c>
      <c r="Z33" s="18">
        <f>Z22</f>
      </c>
      <c r="AA33" s="18">
        <f>AA22</f>
      </c>
      <c r="AB33" s="18">
        <f>AB22</f>
      </c>
      <c r="AC33" s="18">
        <f>AC22</f>
      </c>
      <c r="AD33" s="18">
        <f>AD22</f>
      </c>
      <c r="AE33" s="18">
        <f>AE22</f>
      </c>
      <c r="AF33" s="18">
        <f>AF22</f>
      </c>
      <c r="AG33" s="18">
        <f>AG22</f>
      </c>
      <c r="AH33" s="18">
        <f>AH22</f>
      </c>
      <c r="AI33" s="18">
        <f>AI22</f>
      </c>
      <c r="AJ33" s="18">
        <f>AJ22</f>
      </c>
      <c r="AK33" s="18">
        <f>AK22</f>
      </c>
      <c r="AL33" s="18">
        <f>AL22</f>
      </c>
      <c r="AM33" s="19"/>
    </row>
    <row r="34" ht="12.75" customHeight="1" spans="2:39" x14ac:dyDescent="0.25">
      <c r="B34" s="16"/>
      <c r="C34" s="17"/>
      <c r="D34" s="17" t="s">
        <v>44</v>
      </c>
      <c r="E34" s="17"/>
      <c r="F34" s="17"/>
      <c r="G34" s="18">
        <f>G27</f>
      </c>
      <c r="H34" s="18">
        <f>H27</f>
      </c>
      <c r="I34" s="18">
        <f>I27</f>
      </c>
      <c r="J34" s="18">
        <f>J27</f>
      </c>
      <c r="K34" s="18">
        <f>K27</f>
      </c>
      <c r="L34" s="18">
        <f>L27</f>
      </c>
      <c r="M34" s="18">
        <f>M27</f>
      </c>
      <c r="N34" s="18">
        <f>N27</f>
      </c>
      <c r="O34" s="18">
        <f>O27</f>
      </c>
      <c r="P34" s="18">
        <f>P27</f>
      </c>
      <c r="Q34" s="18">
        <f>Q27</f>
      </c>
      <c r="R34" s="18">
        <f>R27</f>
      </c>
      <c r="S34" s="18">
        <f>S27</f>
      </c>
      <c r="T34" s="18">
        <f>T27</f>
      </c>
      <c r="U34" s="18">
        <f>U27</f>
      </c>
      <c r="V34" s="18">
        <f>V27</f>
      </c>
      <c r="W34" s="18">
        <f>W27</f>
      </c>
      <c r="X34" s="18">
        <f>X27</f>
      </c>
      <c r="Y34" s="18">
        <f>Y27</f>
      </c>
      <c r="Z34" s="18">
        <f>Z27</f>
      </c>
      <c r="AA34" s="18">
        <f>AA27</f>
      </c>
      <c r="AB34" s="18">
        <f>AB27</f>
      </c>
      <c r="AC34" s="18">
        <f>AC27</f>
      </c>
      <c r="AD34" s="18">
        <f>AD27</f>
      </c>
      <c r="AE34" s="18">
        <f>AE27</f>
      </c>
      <c r="AF34" s="18">
        <f>AF27</f>
      </c>
      <c r="AG34" s="18">
        <f>AG27</f>
      </c>
      <c r="AH34" s="18">
        <f>AH27</f>
      </c>
      <c r="AI34" s="18">
        <f>AI27</f>
      </c>
      <c r="AJ34" s="18">
        <f>AJ27</f>
      </c>
      <c r="AK34" s="18">
        <f>AK27</f>
      </c>
      <c r="AL34" s="18">
        <f>AL27</f>
      </c>
      <c r="AM34" s="19"/>
    </row>
    <row r="35" ht="12.75" customHeight="1" spans="2:39" x14ac:dyDescent="0.25">
      <c r="B35" s="20"/>
      <c r="C35" s="21"/>
      <c r="D35" s="21" t="s">
        <v>45</v>
      </c>
      <c r="E35" s="21"/>
      <c r="F35" s="21"/>
      <c r="G35" s="22">
        <f>G31+G32+G33+G34</f>
      </c>
      <c r="H35" s="22">
        <f>H31+H32+H33+H34</f>
      </c>
      <c r="I35" s="22">
        <f>I31+I32+I33+I34</f>
      </c>
      <c r="J35" s="22">
        <f>J31+J32+J33+J34</f>
      </c>
      <c r="K35" s="22">
        <f>K31+K32+K33+K34</f>
      </c>
      <c r="L35" s="22">
        <f>L31+L32+L33+L34</f>
      </c>
      <c r="M35" s="22">
        <f>M31+M32+M33+M34</f>
      </c>
      <c r="N35" s="22">
        <f>N31+N32+N33+N34</f>
      </c>
      <c r="O35" s="22">
        <f>O31+O32+O33+O34</f>
      </c>
      <c r="P35" s="22">
        <f>P31+P32+P33+P34</f>
      </c>
      <c r="Q35" s="22">
        <f>Q31+Q32+Q33+Q34</f>
      </c>
      <c r="R35" s="22">
        <f>R31+R32+R33+R34</f>
      </c>
      <c r="S35" s="22">
        <f>S31+S32+S33+S34</f>
      </c>
      <c r="T35" s="22">
        <f>T31+T32+T33+T34</f>
      </c>
      <c r="U35" s="22">
        <f>U31+U32+U33+U34</f>
      </c>
      <c r="V35" s="22">
        <f>V31+V32+V33+V34</f>
      </c>
      <c r="W35" s="22">
        <f>W31+W32+W33+W34</f>
      </c>
      <c r="X35" s="22">
        <f>X31+X32+X33+X34</f>
      </c>
      <c r="Y35" s="22">
        <f>Y31+Y32+Y33+Y34</f>
      </c>
      <c r="Z35" s="22">
        <f>Z31+Z32+Z33+Z34</f>
      </c>
      <c r="AA35" s="22">
        <f>AA31+AA32+AA33+AA34</f>
      </c>
      <c r="AB35" s="22">
        <f>AB31+AB32+AB33+AB34</f>
      </c>
      <c r="AC35" s="22">
        <f>AC31+AC32+AC33+AC34</f>
      </c>
      <c r="AD35" s="22">
        <f>AD31+AD32+AD33+AD34</f>
      </c>
      <c r="AE35" s="22">
        <f>AE31+AE32+AE33+AE34</f>
      </c>
      <c r="AF35" s="22">
        <f>AF31+AF32+AF33+AF34</f>
      </c>
      <c r="AG35" s="22">
        <f>AG31+AG32+AG33+AG34</f>
      </c>
      <c r="AH35" s="22">
        <f>AH31+AH32+AH33+AH34</f>
      </c>
      <c r="AI35" s="22">
        <f>AI31+AI32+AI33+AI34</f>
      </c>
      <c r="AJ35" s="22">
        <f>AJ31+AJ32+AJ33+AJ34</f>
      </c>
      <c r="AK35" s="22">
        <f>AK31+AK32+AK33+AK34</f>
      </c>
      <c r="AL35" s="22">
        <f>AL31+AL32+AL33+AL34</f>
      </c>
      <c r="AM35" s="23"/>
    </row>
    <row r="37" ht="12.75" customHeight="1" spans="2:39" x14ac:dyDescent="0.25">
      <c r="B37" s="11" t="s">
        <v>46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47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24">
        <f>G38-G31</f>
      </c>
      <c r="H45" s="24">
        <f>H38-H31</f>
      </c>
      <c r="I45" s="24">
        <f>I38-I31</f>
      </c>
      <c r="J45" s="24">
        <f>J38-J31</f>
      </c>
      <c r="K45" s="24">
        <f>K38-K31</f>
      </c>
      <c r="L45" s="24">
        <f>L38-L31</f>
      </c>
      <c r="M45" s="24">
        <f>M38-M31</f>
      </c>
      <c r="N45" s="24">
        <f>N38-N31</f>
      </c>
      <c r="O45" s="24">
        <f>O38-O31</f>
      </c>
      <c r="P45" s="24">
        <f>P38-P31</f>
      </c>
      <c r="Q45" s="24">
        <f>Q38-Q31</f>
      </c>
      <c r="R45" s="24">
        <f>R38-R31</f>
      </c>
      <c r="S45" s="24">
        <f>S38-S31</f>
      </c>
      <c r="T45" s="24">
        <f>T38-T31</f>
      </c>
      <c r="U45" s="24">
        <f>U38-U31</f>
      </c>
      <c r="V45" s="24">
        <f>V38-V31</f>
      </c>
      <c r="W45" s="24">
        <f>W38-W31</f>
      </c>
      <c r="X45" s="24">
        <f>X38-X31</f>
      </c>
      <c r="Y45" s="24">
        <f>Y38-Y31</f>
      </c>
      <c r="Z45" s="24">
        <f>Z38-Z31</f>
      </c>
      <c r="AA45" s="24">
        <f>AA38-AA31</f>
      </c>
      <c r="AB45" s="24">
        <f>AB38-AB31</f>
      </c>
      <c r="AC45" s="24">
        <f>AC38-AC31</f>
      </c>
      <c r="AD45" s="24">
        <f>AD38-AD31</f>
      </c>
      <c r="AE45" s="24">
        <f>AE38-AE31</f>
      </c>
      <c r="AF45" s="24">
        <f>AF38-AF31</f>
      </c>
      <c r="AG45" s="24">
        <f>AG38-AG31</f>
      </c>
      <c r="AH45" s="24">
        <f>AH38-AH31</f>
      </c>
      <c r="AI45" s="24">
        <f>AI38-AI31</f>
      </c>
      <c r="AJ45" s="24">
        <f>AJ38-AJ31</f>
      </c>
      <c r="AK45" s="24">
        <f>AK38-AK31</f>
      </c>
      <c r="AL45" s="24">
        <f>AL38-AL31</f>
      </c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24">
        <f>G39-G32</f>
      </c>
      <c r="H46" s="24">
        <f>H39-H32</f>
      </c>
      <c r="I46" s="24">
        <f>I39-I32</f>
      </c>
      <c r="J46" s="24">
        <f>J39-J32</f>
      </c>
      <c r="K46" s="24">
        <f>K39-K32</f>
      </c>
      <c r="L46" s="24">
        <f>L39-L32</f>
      </c>
      <c r="M46" s="24">
        <f>M39-M32</f>
      </c>
      <c r="N46" s="24">
        <f>N39-N32</f>
      </c>
      <c r="O46" s="24">
        <f>O39-O32</f>
      </c>
      <c r="P46" s="24">
        <f>P39-P32</f>
      </c>
      <c r="Q46" s="24">
        <f>Q39-Q32</f>
      </c>
      <c r="R46" s="24">
        <f>R39-R32</f>
      </c>
      <c r="S46" s="24">
        <f>S39-S32</f>
      </c>
      <c r="T46" s="24">
        <f>T39-T32</f>
      </c>
      <c r="U46" s="24">
        <f>U39-U32</f>
      </c>
      <c r="V46" s="24">
        <f>V39-V32</f>
      </c>
      <c r="W46" s="24">
        <f>W39-W32</f>
      </c>
      <c r="X46" s="24">
        <f>X39-X32</f>
      </c>
      <c r="Y46" s="24">
        <f>Y39-Y32</f>
      </c>
      <c r="Z46" s="24">
        <f>Z39-Z32</f>
      </c>
      <c r="AA46" s="24">
        <f>AA39-AA32</f>
      </c>
      <c r="AB46" s="24">
        <f>AB39-AB32</f>
      </c>
      <c r="AC46" s="24">
        <f>AC39-AC32</f>
      </c>
      <c r="AD46" s="24">
        <f>AD39-AD32</f>
      </c>
      <c r="AE46" s="24">
        <f>AE39-AE32</f>
      </c>
      <c r="AF46" s="24">
        <f>AF39-AF32</f>
      </c>
      <c r="AG46" s="24">
        <f>AG39-AG32</f>
      </c>
      <c r="AH46" s="24">
        <f>AH39-AH32</f>
      </c>
      <c r="AI46" s="24">
        <f>AI39-AI32</f>
      </c>
      <c r="AJ46" s="24">
        <f>AJ39-AJ32</f>
      </c>
      <c r="AK46" s="24">
        <f>AK39-AK32</f>
      </c>
      <c r="AL46" s="24">
        <f>AL39-AL32</f>
      </c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24">
        <f>G40-G33</f>
      </c>
      <c r="H47" s="24">
        <f>H40-H33</f>
      </c>
      <c r="I47" s="24">
        <f>I40-I33</f>
      </c>
      <c r="J47" s="24">
        <f>J40-J33</f>
      </c>
      <c r="K47" s="24">
        <f>K40-K33</f>
      </c>
      <c r="L47" s="24">
        <f>L40-L33</f>
      </c>
      <c r="M47" s="24">
        <f>M40-M33</f>
      </c>
      <c r="N47" s="24">
        <f>N40-N33</f>
      </c>
      <c r="O47" s="24">
        <f>O40-O33</f>
      </c>
      <c r="P47" s="24">
        <f>P40-P33</f>
      </c>
      <c r="Q47" s="24">
        <f>Q40-Q33</f>
      </c>
      <c r="R47" s="24">
        <f>R40-R33</f>
      </c>
      <c r="S47" s="24">
        <f>S40-S33</f>
      </c>
      <c r="T47" s="24">
        <f>T40-T33</f>
      </c>
      <c r="U47" s="24">
        <f>U40-U33</f>
      </c>
      <c r="V47" s="24">
        <f>V40-V33</f>
      </c>
      <c r="W47" s="24">
        <f>W40-W33</f>
      </c>
      <c r="X47" s="24">
        <f>X40-X33</f>
      </c>
      <c r="Y47" s="24">
        <f>Y40-Y33</f>
      </c>
      <c r="Z47" s="24">
        <f>Z40-Z33</f>
      </c>
      <c r="AA47" s="24">
        <f>AA40-AA33</f>
      </c>
      <c r="AB47" s="24">
        <f>AB40-AB33</f>
      </c>
      <c r="AC47" s="24">
        <f>AC40-AC33</f>
      </c>
      <c r="AD47" s="24">
        <f>AD40-AD33</f>
      </c>
      <c r="AE47" s="24">
        <f>AE40-AE33</f>
      </c>
      <c r="AF47" s="24">
        <f>AF40-AF33</f>
      </c>
      <c r="AG47" s="24">
        <f>AG40-AG33</f>
      </c>
      <c r="AH47" s="24">
        <f>AH40-AH33</f>
      </c>
      <c r="AI47" s="24">
        <f>AI40-AI33</f>
      </c>
      <c r="AJ47" s="24">
        <f>AJ40-AJ33</f>
      </c>
      <c r="AK47" s="24">
        <f>AK40-AK33</f>
      </c>
      <c r="AL47" s="24">
        <f>AL40-AL33</f>
      </c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24">
        <f>G41-G34</f>
      </c>
      <c r="H48" s="24">
        <f>H41-H34</f>
      </c>
      <c r="I48" s="24">
        <f>I41-I34</f>
      </c>
      <c r="J48" s="24">
        <f>J41-J34</f>
      </c>
      <c r="K48" s="24">
        <f>K41-K34</f>
      </c>
      <c r="L48" s="24">
        <f>L41-L34</f>
      </c>
      <c r="M48" s="24">
        <f>M41-M34</f>
      </c>
      <c r="N48" s="24">
        <f>N41-N34</f>
      </c>
      <c r="O48" s="24">
        <f>O41-O34</f>
      </c>
      <c r="P48" s="24">
        <f>P41-P34</f>
      </c>
      <c r="Q48" s="24">
        <f>Q41-Q34</f>
      </c>
      <c r="R48" s="24">
        <f>R41-R34</f>
      </c>
      <c r="S48" s="24">
        <f>S41-S34</f>
      </c>
      <c r="T48" s="24">
        <f>T41-T34</f>
      </c>
      <c r="U48" s="24">
        <f>U41-U34</f>
      </c>
      <c r="V48" s="24">
        <f>V41-V34</f>
      </c>
      <c r="W48" s="24">
        <f>W41-W34</f>
      </c>
      <c r="X48" s="24">
        <f>X41-X34</f>
      </c>
      <c r="Y48" s="24">
        <f>Y41-Y34</f>
      </c>
      <c r="Z48" s="24">
        <f>Z41-Z34</f>
      </c>
      <c r="AA48" s="24">
        <f>AA41-AA34</f>
      </c>
      <c r="AB48" s="24">
        <f>AB41-AB34</f>
      </c>
      <c r="AC48" s="24">
        <f>AC41-AC34</f>
      </c>
      <c r="AD48" s="24">
        <f>AD41-AD34</f>
      </c>
      <c r="AE48" s="24">
        <f>AE41-AE34</f>
      </c>
      <c r="AF48" s="24">
        <f>AF41-AF34</f>
      </c>
      <c r="AG48" s="24">
        <f>AG41-AG34</f>
      </c>
      <c r="AH48" s="24">
        <f>AH41-AH34</f>
      </c>
      <c r="AI48" s="24">
        <f>AI41-AI34</f>
      </c>
      <c r="AJ48" s="24">
        <f>AJ41-AJ34</f>
      </c>
      <c r="AK48" s="24">
        <f>AK41-AK34</f>
      </c>
      <c r="AL48" s="24">
        <f>AL41-AL34</f>
      </c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5">
        <f>G45+G46+G47+G48</f>
      </c>
      <c r="H49" s="25">
        <f>H45+H46+H47+H48</f>
      </c>
      <c r="I49" s="25">
        <f>I45+I46+I47+I48</f>
      </c>
      <c r="J49" s="25">
        <f>J45+J46+J47+J48</f>
      </c>
      <c r="K49" s="25">
        <f>K45+K46+K47+K48</f>
      </c>
      <c r="L49" s="25">
        <f>L45+L46+L47+L48</f>
      </c>
      <c r="M49" s="25">
        <f>M45+M46+M47+M48</f>
      </c>
      <c r="N49" s="25">
        <f>N45+N46+N47+N48</f>
      </c>
      <c r="O49" s="25">
        <f>O45+O46+O47+O48</f>
      </c>
      <c r="P49" s="25">
        <f>P45+P46+P47+P48</f>
      </c>
      <c r="Q49" s="25">
        <f>Q45+Q46+Q47+Q48</f>
      </c>
      <c r="R49" s="25">
        <f>R45+R46+R47+R48</f>
      </c>
      <c r="S49" s="25">
        <f>S45+S46+S47+S48</f>
      </c>
      <c r="T49" s="25">
        <f>T45+T46+T47+T48</f>
      </c>
      <c r="U49" s="25">
        <f>U45+U46+U47+U48</f>
      </c>
      <c r="V49" s="25">
        <f>V45+V46+V47+V48</f>
      </c>
      <c r="W49" s="25">
        <f>W45+W46+W47+W48</f>
      </c>
      <c r="X49" s="25">
        <f>X45+X46+X47+X48</f>
      </c>
      <c r="Y49" s="25">
        <f>Y45+Y46+Y47+Y48</f>
      </c>
      <c r="Z49" s="25">
        <f>Z45+Z46+Z47+Z48</f>
      </c>
      <c r="AA49" s="25">
        <f>AA45+AA46+AA47+AA48</f>
      </c>
      <c r="AB49" s="25">
        <f>AB45+AB46+AB47+AB48</f>
      </c>
      <c r="AC49" s="25">
        <f>AC45+AC46+AC47+AC48</f>
      </c>
      <c r="AD49" s="25">
        <f>AD45+AD46+AD47+AD48</f>
      </c>
      <c r="AE49" s="25">
        <f>AE45+AE46+AE47+AE48</f>
      </c>
      <c r="AF49" s="25">
        <f>AF45+AF46+AF47+AF48</f>
      </c>
      <c r="AG49" s="25">
        <f>AG45+AG46+AG47+AG48</f>
      </c>
      <c r="AH49" s="25">
        <f>AH45+AH46+AH47+AH48</f>
      </c>
      <c r="AI49" s="25">
        <f>AI45+AI46+AI47+AI48</f>
      </c>
      <c r="AJ49" s="25">
        <f>AJ45+AJ46+AJ47+AJ48</f>
      </c>
      <c r="AK49" s="25">
        <f>AK45+AK46+AK47+AK48</f>
      </c>
      <c r="AL49" s="25">
        <f>AL45+AL46+AL47+AL48</f>
      </c>
      <c r="AM4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2505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2506</v>
      </c>
      <c r="E13" s="32"/>
      <c r="F13" s="32"/>
      <c r="G13" s="32"/>
      <c r="H13" s="33">
        <v>21.26</v>
      </c>
      <c r="I13" s="33">
        <v>21.26</v>
      </c>
      <c r="J13" s="33">
        <v>21.26</v>
      </c>
      <c r="K13" s="33">
        <v>21.26</v>
      </c>
      <c r="L13" s="33">
        <v>21.26</v>
      </c>
      <c r="M13" s="33">
        <v>21.26</v>
      </c>
      <c r="N13" s="33">
        <v>21.26</v>
      </c>
      <c r="O13" s="33">
        <v>21.26</v>
      </c>
      <c r="P13" s="33">
        <v>21.26</v>
      </c>
      <c r="Q13" s="33">
        <v>21.26</v>
      </c>
      <c r="R13" s="33">
        <v>21.26</v>
      </c>
      <c r="S13" s="33">
        <v>21.26</v>
      </c>
      <c r="T13" s="33">
        <v>29.05</v>
      </c>
      <c r="U13" s="33">
        <v>91.86</v>
      </c>
      <c r="V13" s="33">
        <v>72.62</v>
      </c>
      <c r="W13" s="33">
        <v>84.19</v>
      </c>
      <c r="X13" s="33">
        <v>21.26</v>
      </c>
      <c r="Y13" s="33">
        <v>21.26</v>
      </c>
      <c r="Z13" s="33">
        <v>21.26</v>
      </c>
      <c r="AA13" s="33">
        <v>21.26</v>
      </c>
      <c r="AB13" s="33">
        <v>21.26</v>
      </c>
      <c r="AC13" s="33">
        <v>21.26</v>
      </c>
      <c r="AD13" s="33">
        <v>31.89</v>
      </c>
      <c r="AE13" s="33">
        <v>31.89</v>
      </c>
      <c r="AF13" s="33">
        <v>31.89</v>
      </c>
      <c r="AG13" s="33">
        <v>31.89</v>
      </c>
      <c r="AH13" s="33">
        <v>31.89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2507</v>
      </c>
      <c r="E14" s="32"/>
      <c r="F14" s="32"/>
      <c r="G14" s="32"/>
      <c r="H14" s="33">
        <v>21.26</v>
      </c>
      <c r="I14" s="33">
        <v>21.26</v>
      </c>
      <c r="J14" s="33">
        <v>21.26</v>
      </c>
      <c r="K14" s="33">
        <v>21.26</v>
      </c>
      <c r="L14" s="33">
        <v>21.26</v>
      </c>
      <c r="M14" s="33">
        <v>21.26</v>
      </c>
      <c r="N14" s="33">
        <v>21.26</v>
      </c>
      <c r="O14" s="33">
        <v>21.26</v>
      </c>
      <c r="P14" s="33">
        <v>21.26</v>
      </c>
      <c r="Q14" s="33">
        <v>21.26</v>
      </c>
      <c r="R14" s="33">
        <v>21.26</v>
      </c>
      <c r="S14" s="33">
        <v>21.26</v>
      </c>
      <c r="T14" s="33">
        <v>21.26</v>
      </c>
      <c r="U14" s="33">
        <v>21.26</v>
      </c>
      <c r="V14" s="33">
        <v>25.49</v>
      </c>
      <c r="W14" s="33">
        <v>31.27</v>
      </c>
      <c r="X14" s="33">
        <v>21.26</v>
      </c>
      <c r="Y14" s="33">
        <v>21.26</v>
      </c>
      <c r="Z14" s="33">
        <v>21.26</v>
      </c>
      <c r="AA14" s="33">
        <v>21.26</v>
      </c>
      <c r="AB14" s="33">
        <v>21.26</v>
      </c>
      <c r="AC14" s="33">
        <v>21.26</v>
      </c>
      <c r="AD14" s="33">
        <v>31.89</v>
      </c>
      <c r="AE14" s="33">
        <v>31.89</v>
      </c>
      <c r="AF14" s="33">
        <v>31.89</v>
      </c>
      <c r="AG14" s="33">
        <v>31.89</v>
      </c>
      <c r="AH14" s="33">
        <v>31.89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2508</v>
      </c>
      <c r="E15" s="32"/>
      <c r="F15" s="32"/>
      <c r="G15" s="32"/>
      <c r="H15" s="33">
        <v>331.41</v>
      </c>
      <c r="I15" s="33">
        <v>311.04</v>
      </c>
      <c r="J15" s="33">
        <v>220.8</v>
      </c>
      <c r="K15" s="33">
        <v>186.66</v>
      </c>
      <c r="L15" s="33">
        <v>177.65</v>
      </c>
      <c r="M15" s="33">
        <v>240.85</v>
      </c>
      <c r="N15" s="33">
        <v>417.31</v>
      </c>
      <c r="O15" s="33">
        <v>486.93</v>
      </c>
      <c r="P15" s="33">
        <v>401.87</v>
      </c>
      <c r="Q15" s="33">
        <v>369.38</v>
      </c>
      <c r="R15" s="33">
        <v>244.68</v>
      </c>
      <c r="S15" s="33">
        <v>163.11</v>
      </c>
      <c r="T15" s="33">
        <v>198.76</v>
      </c>
      <c r="U15" s="33">
        <v>315.35</v>
      </c>
      <c r="V15" s="33">
        <v>147.62</v>
      </c>
      <c r="W15" s="33">
        <v>181.91</v>
      </c>
      <c r="X15" s="33">
        <v>218.64</v>
      </c>
      <c r="Y15" s="33">
        <v>276.47</v>
      </c>
      <c r="Z15" s="33">
        <v>438.31</v>
      </c>
      <c r="AA15" s="33">
        <v>457.4</v>
      </c>
      <c r="AB15" s="33">
        <v>415.02</v>
      </c>
      <c r="AC15" s="33">
        <v>321.11</v>
      </c>
      <c r="AD15" s="33">
        <v>197.26</v>
      </c>
      <c r="AE15" s="33">
        <v>144.28</v>
      </c>
      <c r="AF15" s="33">
        <v>176.23</v>
      </c>
      <c r="AG15" s="33">
        <v>195.88</v>
      </c>
      <c r="AH15" s="33">
        <v>138.59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2509</v>
      </c>
      <c r="E16" s="32"/>
      <c r="F16" s="32"/>
      <c r="G16" s="32"/>
      <c r="H16" s="33">
        <v>2.1</v>
      </c>
      <c r="I16" s="33">
        <v>35.47</v>
      </c>
      <c r="J16" s="33">
        <v>35.47</v>
      </c>
      <c r="K16" s="33">
        <v>35.47</v>
      </c>
      <c r="L16" s="33">
        <v>35.47</v>
      </c>
      <c r="M16" s="33">
        <v>35.49</v>
      </c>
      <c r="N16" s="33">
        <v>35.49</v>
      </c>
      <c r="O16" s="33">
        <v>35.49</v>
      </c>
      <c r="P16" s="33">
        <v>35.49</v>
      </c>
      <c r="Q16" s="33">
        <v>35.49</v>
      </c>
      <c r="R16" s="33">
        <v>35.51</v>
      </c>
      <c r="S16" s="33">
        <v>36.16</v>
      </c>
      <c r="T16" s="33">
        <v>36.16</v>
      </c>
      <c r="U16" s="33">
        <v>36.16</v>
      </c>
      <c r="V16" s="33">
        <v>36.16</v>
      </c>
      <c r="W16" s="33">
        <v>36.16</v>
      </c>
      <c r="X16" s="33">
        <v>36.14</v>
      </c>
      <c r="Y16" s="33">
        <v>35.74</v>
      </c>
      <c r="Z16" s="33">
        <v>35.74</v>
      </c>
      <c r="AA16" s="33">
        <v>35.74</v>
      </c>
      <c r="AB16" s="33">
        <v>35.74</v>
      </c>
      <c r="AC16" s="33">
        <v>35.74</v>
      </c>
      <c r="AD16" s="33">
        <v>35.84</v>
      </c>
      <c r="AE16" s="33">
        <v>36.13</v>
      </c>
      <c r="AF16" s="33">
        <v>36.13</v>
      </c>
      <c r="AG16" s="33">
        <v>36.12</v>
      </c>
      <c r="AH16" s="33">
        <v>36.12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2510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6">
        <f>0.00+41.23</f>
        <v>41.23</v>
      </c>
      <c r="T17" s="33">
        <v>31.8</v>
      </c>
      <c r="U17" s="36">
        <f>33.03+0.00+8.23</f>
        <v>41.260000000000005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2511</v>
      </c>
      <c r="E18" s="32"/>
      <c r="F18" s="32"/>
      <c r="G18" s="32"/>
      <c r="H18" s="36">
        <f>114.07+56.73</f>
        <v>170.79999999999998</v>
      </c>
      <c r="I18" s="36">
        <f>253.88+114.07</f>
        <v>367.95</v>
      </c>
      <c r="J18" s="36">
        <f>114.07+196.36</f>
        <v>310.43</v>
      </c>
      <c r="K18" s="36">
        <f>115.31+114.07</f>
        <v>229.38</v>
      </c>
      <c r="L18" s="36">
        <f>114.06+60.48</f>
        <v>174.54</v>
      </c>
      <c r="M18" s="36">
        <f>104.82+114.09</f>
        <v>218.91</v>
      </c>
      <c r="N18" s="36">
        <f>114.09+246.32</f>
        <v>360.40999999999997</v>
      </c>
      <c r="O18" s="36">
        <f>327.62+114.09</f>
        <v>441.71000000000004</v>
      </c>
      <c r="P18" s="36">
        <f>114.09+246.03</f>
        <v>360.12</v>
      </c>
      <c r="Q18" s="36">
        <f>114.09+219.85</f>
        <v>333.94</v>
      </c>
      <c r="R18" s="36">
        <f>171.69+114.20</f>
        <v>285.89</v>
      </c>
      <c r="S18" s="36">
        <f>115.44+104.42</f>
        <v>219.86</v>
      </c>
      <c r="T18" s="36">
        <f>115.44+100.97</f>
        <v>216.41</v>
      </c>
      <c r="U18" s="36">
        <f>108.27+115.44</f>
        <v>223.70999999999998</v>
      </c>
      <c r="V18" s="36">
        <f>107.88+115.44</f>
        <v>223.32</v>
      </c>
      <c r="W18" s="36">
        <f>115.44+136.02</f>
        <v>251.46</v>
      </c>
      <c r="X18" s="36">
        <f>115.37+145.63</f>
        <v>261</v>
      </c>
      <c r="Y18" s="36">
        <f>215.81+114.58</f>
        <v>330.39</v>
      </c>
      <c r="Z18" s="36">
        <f>114.58+351.39</f>
        <v>465.96999999999997</v>
      </c>
      <c r="AA18" s="36">
        <f>352.57+114.58</f>
        <v>467.15</v>
      </c>
      <c r="AB18" s="36">
        <f>114.58+374.79</f>
        <v>489.37</v>
      </c>
      <c r="AC18" s="36">
        <f>282.52+114.58</f>
        <v>397.09999999999997</v>
      </c>
      <c r="AD18" s="36">
        <f>114.85+144.00</f>
        <v>258.85</v>
      </c>
      <c r="AE18" s="36">
        <f>159.86+115.38</f>
        <v>275.24</v>
      </c>
      <c r="AF18" s="36">
        <f>115.38+140.94</f>
        <v>256.32</v>
      </c>
      <c r="AG18" s="36">
        <f>115.36+146.09</f>
        <v>261.45</v>
      </c>
      <c r="AH18" s="36">
        <f>115.36+131.83</f>
        <v>247.19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2512</v>
      </c>
      <c r="E19" s="32"/>
      <c r="F19" s="32"/>
      <c r="G19" s="32"/>
      <c r="H19" s="33">
        <v>21.26</v>
      </c>
      <c r="I19" s="33">
        <v>21.26</v>
      </c>
      <c r="J19" s="33">
        <v>21.26</v>
      </c>
      <c r="K19" s="33">
        <v>21.26</v>
      </c>
      <c r="L19" s="33">
        <v>21.26</v>
      </c>
      <c r="M19" s="33">
        <v>21.26</v>
      </c>
      <c r="N19" s="33">
        <v>21.26</v>
      </c>
      <c r="O19" s="33">
        <v>21.26</v>
      </c>
      <c r="P19" s="33">
        <v>21.26</v>
      </c>
      <c r="Q19" s="33">
        <v>21.26</v>
      </c>
      <c r="R19" s="33">
        <v>21.26</v>
      </c>
      <c r="S19" s="33">
        <v>21.26</v>
      </c>
      <c r="T19" s="33">
        <v>21.26</v>
      </c>
      <c r="U19" s="33">
        <v>21.26</v>
      </c>
      <c r="V19" s="33">
        <v>21.26</v>
      </c>
      <c r="W19" s="33">
        <v>21.26</v>
      </c>
      <c r="X19" s="33">
        <v>21.26</v>
      </c>
      <c r="Y19" s="33">
        <v>21.26</v>
      </c>
      <c r="Z19" s="33">
        <v>21.26</v>
      </c>
      <c r="AA19" s="33">
        <v>21.26</v>
      </c>
      <c r="AB19" s="33">
        <v>21.26</v>
      </c>
      <c r="AC19" s="33">
        <v>21.26</v>
      </c>
      <c r="AD19" s="33">
        <v>31.89</v>
      </c>
      <c r="AE19" s="33">
        <v>31.89</v>
      </c>
      <c r="AF19" s="33">
        <v>37.48</v>
      </c>
      <c r="AG19" s="33">
        <v>31.89</v>
      </c>
      <c r="AH19" s="33">
        <v>42.39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2513</v>
      </c>
      <c r="E20" s="32"/>
      <c r="F20" s="32"/>
      <c r="G20" s="32"/>
      <c r="H20" s="33">
        <v>451.73</v>
      </c>
      <c r="I20" s="33">
        <v>599.1</v>
      </c>
      <c r="J20" s="33">
        <v>502.15</v>
      </c>
      <c r="K20" s="33">
        <v>473.07</v>
      </c>
      <c r="L20" s="33">
        <v>484.89</v>
      </c>
      <c r="M20" s="33">
        <v>392.67</v>
      </c>
      <c r="N20" s="33">
        <v>766.85</v>
      </c>
      <c r="O20" s="33">
        <v>821.16</v>
      </c>
      <c r="P20" s="33">
        <v>717.62</v>
      </c>
      <c r="Q20" s="33">
        <v>634.39</v>
      </c>
      <c r="R20" s="33">
        <v>522.25</v>
      </c>
      <c r="S20" s="33">
        <v>436.77</v>
      </c>
      <c r="T20" s="33">
        <v>459.42</v>
      </c>
      <c r="U20" s="33">
        <v>499.35</v>
      </c>
      <c r="V20" s="33">
        <v>425.58</v>
      </c>
      <c r="W20" s="33">
        <v>460.85</v>
      </c>
      <c r="X20" s="33">
        <v>508.76</v>
      </c>
      <c r="Y20" s="33">
        <v>527.21</v>
      </c>
      <c r="Z20" s="33">
        <v>748.32</v>
      </c>
      <c r="AA20" s="33">
        <v>931.9</v>
      </c>
      <c r="AB20" s="33">
        <v>827.48</v>
      </c>
      <c r="AC20" s="33">
        <v>728.44</v>
      </c>
      <c r="AD20" s="33">
        <v>559.6</v>
      </c>
      <c r="AE20" s="33">
        <v>490.73</v>
      </c>
      <c r="AF20" s="33">
        <v>462.58</v>
      </c>
      <c r="AG20" s="33">
        <v>523.76</v>
      </c>
      <c r="AH20" s="33">
        <v>507.75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2514</v>
      </c>
      <c r="E21" s="32"/>
      <c r="F21" s="32"/>
      <c r="G21" s="32"/>
      <c r="H21" s="33">
        <v>21.26</v>
      </c>
      <c r="I21" s="33">
        <v>21.26</v>
      </c>
      <c r="J21" s="33">
        <v>21.26</v>
      </c>
      <c r="K21" s="33">
        <v>21.26</v>
      </c>
      <c r="L21" s="33">
        <v>21.26</v>
      </c>
      <c r="M21" s="33">
        <v>21.26</v>
      </c>
      <c r="N21" s="33">
        <v>21.26</v>
      </c>
      <c r="O21" s="33">
        <v>21.26</v>
      </c>
      <c r="P21" s="33">
        <v>21.26</v>
      </c>
      <c r="Q21" s="33">
        <v>21.26</v>
      </c>
      <c r="R21" s="33">
        <v>21.26</v>
      </c>
      <c r="S21" s="33">
        <v>21.26</v>
      </c>
      <c r="T21" s="33">
        <v>21.26</v>
      </c>
      <c r="U21" s="33">
        <v>21.26</v>
      </c>
      <c r="V21" s="33">
        <v>26.95</v>
      </c>
      <c r="W21" s="33">
        <v>45.39</v>
      </c>
      <c r="X21" s="33">
        <v>21.26</v>
      </c>
      <c r="Y21" s="33">
        <v>21.26</v>
      </c>
      <c r="Z21" s="33">
        <v>21.26</v>
      </c>
      <c r="AA21" s="33">
        <v>21.26</v>
      </c>
      <c r="AB21" s="33">
        <v>21.26</v>
      </c>
      <c r="AC21" s="33">
        <v>21.26</v>
      </c>
      <c r="AD21" s="33">
        <v>31.89</v>
      </c>
      <c r="AE21" s="33">
        <v>31.89</v>
      </c>
      <c r="AF21" s="33">
        <v>31.89</v>
      </c>
      <c r="AG21" s="33">
        <v>31.89</v>
      </c>
      <c r="AH21" s="33">
        <v>31.89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2515</v>
      </c>
      <c r="E22" s="32"/>
      <c r="F22" s="32"/>
      <c r="G22" s="32"/>
      <c r="H22" s="33">
        <v>21.26</v>
      </c>
      <c r="I22" s="33">
        <v>21.26</v>
      </c>
      <c r="J22" s="36">
        <f>21.26+0.00+2.13</f>
        <v>23.39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2516</v>
      </c>
      <c r="E23" s="32"/>
      <c r="F23" s="32"/>
      <c r="G23" s="32"/>
      <c r="H23" s="33">
        <v>33</v>
      </c>
      <c r="I23" s="33">
        <v>118.79</v>
      </c>
      <c r="J23" s="33">
        <v>111.41</v>
      </c>
      <c r="K23" s="33">
        <v>113.6</v>
      </c>
      <c r="L23" s="33">
        <v>21.26</v>
      </c>
      <c r="M23" s="33">
        <v>21.26</v>
      </c>
      <c r="N23" s="33">
        <v>21.26</v>
      </c>
      <c r="O23" s="33">
        <v>21.26</v>
      </c>
      <c r="P23" s="33">
        <v>21.26</v>
      </c>
      <c r="Q23" s="33">
        <v>21.26</v>
      </c>
      <c r="R23" s="33">
        <v>21.26</v>
      </c>
      <c r="S23" s="33">
        <v>21.26</v>
      </c>
      <c r="T23" s="33">
        <v>21.26</v>
      </c>
      <c r="U23" s="33">
        <v>21.26</v>
      </c>
      <c r="V23" s="33">
        <v>21.26</v>
      </c>
      <c r="W23" s="33">
        <v>52.4</v>
      </c>
      <c r="X23" s="33">
        <v>21.26</v>
      </c>
      <c r="Y23" s="33">
        <v>21.26</v>
      </c>
      <c r="Z23" s="33">
        <v>21.26</v>
      </c>
      <c r="AA23" s="33">
        <v>21.26</v>
      </c>
      <c r="AB23" s="33">
        <v>21.26</v>
      </c>
      <c r="AC23" s="33">
        <v>21.26</v>
      </c>
      <c r="AD23" s="33">
        <v>31.89</v>
      </c>
      <c r="AE23" s="33">
        <v>31.89</v>
      </c>
      <c r="AF23" s="33">
        <v>31.89</v>
      </c>
      <c r="AG23" s="33">
        <v>31.89</v>
      </c>
      <c r="AH23" s="33">
        <v>31.89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2517</v>
      </c>
      <c r="E24" s="32"/>
      <c r="F24" s="32"/>
      <c r="G24" s="32"/>
      <c r="H24" s="33">
        <v>72.83</v>
      </c>
      <c r="I24" s="33">
        <v>78.84</v>
      </c>
      <c r="J24" s="33">
        <v>72.62</v>
      </c>
      <c r="K24" s="33">
        <v>61.22</v>
      </c>
      <c r="L24" s="33">
        <v>56.42</v>
      </c>
      <c r="M24" s="33">
        <v>71.08</v>
      </c>
      <c r="N24" s="33">
        <v>56.4</v>
      </c>
      <c r="O24" s="33">
        <v>21.26</v>
      </c>
      <c r="P24" s="33">
        <v>21.26</v>
      </c>
      <c r="Q24" s="33">
        <v>21.26</v>
      </c>
      <c r="R24" s="33">
        <v>21.26</v>
      </c>
      <c r="S24" s="33">
        <v>26.59</v>
      </c>
      <c r="T24" s="33">
        <v>74.53</v>
      </c>
      <c r="U24" s="33">
        <v>92.53</v>
      </c>
      <c r="V24" s="33">
        <v>37.6</v>
      </c>
      <c r="W24" s="33">
        <v>51.06</v>
      </c>
      <c r="X24" s="33">
        <v>21.26</v>
      </c>
      <c r="Y24" s="33">
        <v>21.26</v>
      </c>
      <c r="Z24" s="33">
        <v>21.26</v>
      </c>
      <c r="AA24" s="33">
        <v>21.26</v>
      </c>
      <c r="AB24" s="33">
        <v>21.26</v>
      </c>
      <c r="AC24" s="33">
        <v>21.26</v>
      </c>
      <c r="AD24" s="33">
        <v>31.89</v>
      </c>
      <c r="AE24" s="33">
        <v>31.89</v>
      </c>
      <c r="AF24" s="33">
        <v>31.89</v>
      </c>
      <c r="AG24" s="33">
        <v>31.89</v>
      </c>
      <c r="AH24" s="33">
        <v>31.89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2518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6">
        <f>40.74+0.00</f>
        <v>40.74</v>
      </c>
      <c r="T25" s="33">
        <v>57.6</v>
      </c>
      <c r="U25" s="33">
        <v>32.84</v>
      </c>
      <c r="V25" s="36">
        <f>21.26+4.25+0.00</f>
        <v>25.51</v>
      </c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2519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6">
        <f>45.68+0.00</f>
        <v>45.68</v>
      </c>
      <c r="T26" s="33">
        <v>32.38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>
        <v>0</v>
      </c>
      <c r="AG26" s="32"/>
      <c r="AH26" s="32"/>
      <c r="AI26" s="32"/>
      <c r="AJ26" s="34">
        <f>SUM(E26:AI26)</f>
      </c>
      <c r="AK26" s="35"/>
    </row>
    <row r="27" ht="12.75" customHeight="1" spans="2:37" x14ac:dyDescent="0.25">
      <c r="B27" s="37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</row>
    <row r="28" ht="12.75" customHeight="1" spans="2:37" x14ac:dyDescent="0.25">
      <c r="B28" s="20" t="s">
        <v>85</v>
      </c>
      <c r="C28" s="21"/>
      <c r="D28" s="21"/>
      <c r="E28" s="22">
        <f>SUM(E13:E26)</f>
      </c>
      <c r="F28" s="22">
        <f>SUM(F13:F26)</f>
      </c>
      <c r="G28" s="22">
        <f>SUM(G13:G26)</f>
      </c>
      <c r="H28" s="22">
        <f>SUM(H13:H26)</f>
      </c>
      <c r="I28" s="22">
        <f>SUM(I13:I26)</f>
      </c>
      <c r="J28" s="22">
        <f>SUM(J13:J26)</f>
      </c>
      <c r="K28" s="22">
        <f>SUM(K13:K26)</f>
      </c>
      <c r="L28" s="22">
        <f>SUM(L13:L26)</f>
      </c>
      <c r="M28" s="22">
        <f>SUM(M13:M26)</f>
      </c>
      <c r="N28" s="22">
        <f>SUM(N13:N26)</f>
      </c>
      <c r="O28" s="22">
        <f>SUM(O13:O26)</f>
      </c>
      <c r="P28" s="22">
        <f>SUM(P13:P26)</f>
      </c>
      <c r="Q28" s="22">
        <f>SUM(Q13:Q26)</f>
      </c>
      <c r="R28" s="22">
        <f>SUM(R13:R26)</f>
      </c>
      <c r="S28" s="22">
        <f>SUM(S13:S26)</f>
      </c>
      <c r="T28" s="22">
        <f>SUM(T13:T26)</f>
      </c>
      <c r="U28" s="22">
        <f>SUM(U13:U26)</f>
      </c>
      <c r="V28" s="22">
        <f>SUM(V13:V26)</f>
      </c>
      <c r="W28" s="22">
        <f>SUM(W13:W26)</f>
      </c>
      <c r="X28" s="22">
        <f>SUM(X13:X26)</f>
      </c>
      <c r="Y28" s="22">
        <f>SUM(Y13:Y26)</f>
      </c>
      <c r="Z28" s="22">
        <f>SUM(Z13:Z26)</f>
      </c>
      <c r="AA28" s="22">
        <f>SUM(AA13:AA26)</f>
      </c>
      <c r="AB28" s="22">
        <f>SUM(AB13:AB26)</f>
      </c>
      <c r="AC28" s="22">
        <f>SUM(AC13:AC26)</f>
      </c>
      <c r="AD28" s="22">
        <f>SUM(AD13:AD26)</f>
      </c>
      <c r="AE28" s="22">
        <f>SUM(AE13:AE26)</f>
      </c>
      <c r="AF28" s="22">
        <f>SUM(AF13:AF26)</f>
      </c>
      <c r="AG28" s="22">
        <f>SUM(AG13:AG26)</f>
      </c>
      <c r="AH28" s="22">
        <f>SUM(AH13:AH26)</f>
      </c>
      <c r="AI28" s="22">
        <f>SUM(AI13:AI26)</f>
      </c>
      <c r="AJ28" s="22">
        <f>SUM(AJ13:AJ26)</f>
      </c>
      <c r="AK28" s="23"/>
    </row>
    <row r="30" ht="12.75" customHeight="1" spans="2:37" x14ac:dyDescent="0.25">
      <c r="B30" s="26" t="s">
        <v>43</v>
      </c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9"/>
    </row>
    <row r="31" ht="12.75" customHeight="1" spans="2:37" x14ac:dyDescent="0.25">
      <c r="B31" s="30" t="s">
        <v>43</v>
      </c>
      <c r="C31" s="31" t="s">
        <v>3</v>
      </c>
      <c r="D31" s="32" t="s">
        <v>2520</v>
      </c>
      <c r="E31" s="32"/>
      <c r="F31" s="32"/>
      <c r="G31" s="32"/>
      <c r="H31" s="33">
        <v>2407.06</v>
      </c>
      <c r="I31" s="33">
        <v>2226.93</v>
      </c>
      <c r="J31" s="33">
        <v>2194.68</v>
      </c>
      <c r="K31" s="33">
        <v>2143.52</v>
      </c>
      <c r="L31" s="33">
        <v>2287.42</v>
      </c>
      <c r="M31" s="33">
        <v>2156.31</v>
      </c>
      <c r="N31" s="33">
        <v>1706.4</v>
      </c>
      <c r="O31" s="33">
        <v>2811.16</v>
      </c>
      <c r="P31" s="33">
        <v>3181.43</v>
      </c>
      <c r="Q31" s="33">
        <v>3284.66</v>
      </c>
      <c r="R31" s="33">
        <v>3244.99</v>
      </c>
      <c r="S31" s="33">
        <v>2368.55</v>
      </c>
      <c r="T31" s="33">
        <v>2464.19</v>
      </c>
      <c r="U31" s="33">
        <v>2470.75</v>
      </c>
      <c r="V31" s="33">
        <v>2804</v>
      </c>
      <c r="W31" s="33">
        <v>2555.28</v>
      </c>
      <c r="X31" s="33">
        <v>2471.54</v>
      </c>
      <c r="Y31" s="33">
        <v>2204.93</v>
      </c>
      <c r="Z31" s="33">
        <v>2288.67</v>
      </c>
      <c r="AA31" s="33">
        <v>2247.16</v>
      </c>
      <c r="AB31" s="33">
        <v>2180.22</v>
      </c>
      <c r="AC31" s="33">
        <v>2517.71</v>
      </c>
      <c r="AD31" s="33">
        <v>2377.07</v>
      </c>
      <c r="AE31" s="33">
        <v>2822.97</v>
      </c>
      <c r="AF31" s="33">
        <v>3257.82</v>
      </c>
      <c r="AG31" s="33">
        <v>3733.72</v>
      </c>
      <c r="AH31" s="33">
        <v>2961.88</v>
      </c>
      <c r="AI31" s="32"/>
      <c r="AJ31" s="34">
        <f>SUM(E31:AI31)</f>
      </c>
      <c r="AK31" s="35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89</v>
      </c>
      <c r="C33" s="21"/>
      <c r="D33" s="21"/>
      <c r="E33" s="22">
        <f>SUM(E31:E31)</f>
      </c>
      <c r="F33" s="22">
        <f>SUM(F31:F31)</f>
      </c>
      <c r="G33" s="22">
        <f>SUM(G31:G31)</f>
      </c>
      <c r="H33" s="22">
        <f>SUM(H31:H31)</f>
      </c>
      <c r="I33" s="22">
        <f>SUM(I31:I31)</f>
      </c>
      <c r="J33" s="22">
        <f>SUM(J31:J31)</f>
      </c>
      <c r="K33" s="22">
        <f>SUM(K31:K31)</f>
      </c>
      <c r="L33" s="22">
        <f>SUM(L31:L31)</f>
      </c>
      <c r="M33" s="22">
        <f>SUM(M31:M31)</f>
      </c>
      <c r="N33" s="22">
        <f>SUM(N31:N31)</f>
      </c>
      <c r="O33" s="22">
        <f>SUM(O31:O31)</f>
      </c>
      <c r="P33" s="22">
        <f>SUM(P31:P31)</f>
      </c>
      <c r="Q33" s="22">
        <f>SUM(Q31:Q31)</f>
      </c>
      <c r="R33" s="22">
        <f>SUM(R31:R31)</f>
      </c>
      <c r="S33" s="22">
        <f>SUM(S31:S31)</f>
      </c>
      <c r="T33" s="22">
        <f>SUM(T31:T31)</f>
      </c>
      <c r="U33" s="22">
        <f>SUM(U31:U31)</f>
      </c>
      <c r="V33" s="22">
        <f>SUM(V31:V31)</f>
      </c>
      <c r="W33" s="22">
        <f>SUM(W31:W31)</f>
      </c>
      <c r="X33" s="22">
        <f>SUM(X31:X31)</f>
      </c>
      <c r="Y33" s="22">
        <f>SUM(Y31:Y31)</f>
      </c>
      <c r="Z33" s="22">
        <f>SUM(Z31:Z31)</f>
      </c>
      <c r="AA33" s="22">
        <f>SUM(AA31:AA31)</f>
      </c>
      <c r="AB33" s="22">
        <f>SUM(AB31:AB31)</f>
      </c>
      <c r="AC33" s="22">
        <f>SUM(AC31:AC31)</f>
      </c>
      <c r="AD33" s="22">
        <f>SUM(AD31:AD31)</f>
      </c>
      <c r="AE33" s="22">
        <f>SUM(AE31:AE31)</f>
      </c>
      <c r="AF33" s="22">
        <f>SUM(AF31:AF31)</f>
      </c>
      <c r="AG33" s="22">
        <f>SUM(AG31:AG31)</f>
      </c>
      <c r="AH33" s="22">
        <f>SUM(AH31:AH31)</f>
      </c>
      <c r="AI33" s="22">
        <f>SUM(AI31:AI31)</f>
      </c>
      <c r="AJ33" s="22">
        <f>SUM(AJ31:AJ31)</f>
      </c>
      <c r="AK33" s="23"/>
    </row>
    <row r="35" ht="12.75" customHeight="1" spans="2:37" x14ac:dyDescent="0.25">
      <c r="B35" s="26" t="s">
        <v>44</v>
      </c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9"/>
    </row>
    <row r="36" ht="12.75" customHeight="1" spans="2:37" x14ac:dyDescent="0.25">
      <c r="B36" s="37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40"/>
    </row>
    <row r="37" ht="12.75" customHeight="1" spans="2:37" x14ac:dyDescent="0.25">
      <c r="B37" s="20" t="s">
        <v>90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3"/>
    </row>
    <row r="40" ht="12.75" customHeight="1" spans="2:37" x14ac:dyDescent="0.25">
      <c r="B40" s="11" t="s">
        <v>40</v>
      </c>
      <c r="C40" s="12"/>
      <c r="D40" s="13"/>
      <c r="E40" s="14" t="s">
        <v>7</v>
      </c>
      <c r="F40" s="14" t="s">
        <v>8</v>
      </c>
      <c r="G40" s="14" t="s">
        <v>9</v>
      </c>
      <c r="H40" s="14" t="s">
        <v>10</v>
      </c>
      <c r="I40" s="14" t="s">
        <v>11</v>
      </c>
      <c r="J40" s="14" t="s">
        <v>12</v>
      </c>
      <c r="K40" s="14" t="s">
        <v>13</v>
      </c>
      <c r="L40" s="14" t="s">
        <v>14</v>
      </c>
      <c r="M40" s="14" t="s">
        <v>15</v>
      </c>
      <c r="N40" s="14" t="s">
        <v>16</v>
      </c>
      <c r="O40" s="14" t="s">
        <v>17</v>
      </c>
      <c r="P40" s="14" t="s">
        <v>18</v>
      </c>
      <c r="Q40" s="14" t="s">
        <v>19</v>
      </c>
      <c r="R40" s="14" t="s">
        <v>20</v>
      </c>
      <c r="S40" s="14" t="s">
        <v>21</v>
      </c>
      <c r="T40" s="14" t="s">
        <v>22</v>
      </c>
      <c r="U40" s="14" t="s">
        <v>23</v>
      </c>
      <c r="V40" s="14" t="s">
        <v>24</v>
      </c>
      <c r="W40" s="14" t="s">
        <v>25</v>
      </c>
      <c r="X40" s="14" t="s">
        <v>26</v>
      </c>
      <c r="Y40" s="14" t="s">
        <v>27</v>
      </c>
      <c r="Z40" s="14" t="s">
        <v>28</v>
      </c>
      <c r="AA40" s="14" t="s">
        <v>29</v>
      </c>
      <c r="AB40" s="14" t="s">
        <v>30</v>
      </c>
      <c r="AC40" s="14" t="s">
        <v>31</v>
      </c>
      <c r="AD40" s="14" t="s">
        <v>32</v>
      </c>
      <c r="AE40" s="14" t="s">
        <v>33</v>
      </c>
      <c r="AF40" s="14" t="s">
        <v>34</v>
      </c>
      <c r="AG40" s="14" t="s">
        <v>35</v>
      </c>
      <c r="AH40" s="14" t="s">
        <v>36</v>
      </c>
      <c r="AI40" s="14" t="s">
        <v>37</v>
      </c>
      <c r="AJ40" s="14" t="s">
        <v>38</v>
      </c>
      <c r="AK40" s="15"/>
    </row>
    <row r="41" ht="12.75" customHeight="1" spans="2:37" x14ac:dyDescent="0.25">
      <c r="B41" s="16" t="s">
        <v>41</v>
      </c>
      <c r="C41" s="17"/>
      <c r="D41" s="17"/>
      <c r="E41" s="18">
        <f>E10</f>
      </c>
      <c r="F41" s="18">
        <f>F10</f>
      </c>
      <c r="G41" s="18">
        <f>G10</f>
      </c>
      <c r="H41" s="18">
        <f>H10</f>
      </c>
      <c r="I41" s="18">
        <f>I10</f>
      </c>
      <c r="J41" s="18">
        <f>J10</f>
      </c>
      <c r="K41" s="18">
        <f>K10</f>
      </c>
      <c r="L41" s="18">
        <f>L10</f>
      </c>
      <c r="M41" s="18">
        <f>M10</f>
      </c>
      <c r="N41" s="18">
        <f>N10</f>
      </c>
      <c r="O41" s="18">
        <f>O10</f>
      </c>
      <c r="P41" s="18">
        <f>P10</f>
      </c>
      <c r="Q41" s="18">
        <f>Q10</f>
      </c>
      <c r="R41" s="18">
        <f>R10</f>
      </c>
      <c r="S41" s="18">
        <f>S10</f>
      </c>
      <c r="T41" s="18">
        <f>T10</f>
      </c>
      <c r="U41" s="18">
        <f>U10</f>
      </c>
      <c r="V41" s="18">
        <f>V10</f>
      </c>
      <c r="W41" s="18">
        <f>W10</f>
      </c>
      <c r="X41" s="18">
        <f>X10</f>
      </c>
      <c r="Y41" s="18">
        <f>Y10</f>
      </c>
      <c r="Z41" s="18">
        <f>Z10</f>
      </c>
      <c r="AA41" s="18">
        <f>AA10</f>
      </c>
      <c r="AB41" s="18">
        <f>AB10</f>
      </c>
      <c r="AC41" s="18">
        <f>AC10</f>
      </c>
      <c r="AD41" s="18">
        <f>AD10</f>
      </c>
      <c r="AE41" s="18">
        <f>AE10</f>
      </c>
      <c r="AF41" s="18">
        <f>AF10</f>
      </c>
      <c r="AG41" s="18">
        <f>AG10</f>
      </c>
      <c r="AH41" s="18">
        <f>AH10</f>
      </c>
      <c r="AI41" s="18">
        <f>AI10</f>
      </c>
      <c r="AJ41" s="18">
        <f>AJ10</f>
      </c>
      <c r="AK41" s="19"/>
    </row>
    <row r="42" ht="12.75" customHeight="1" spans="2:37" x14ac:dyDescent="0.25">
      <c r="B42" s="16" t="s">
        <v>42</v>
      </c>
      <c r="C42" s="17"/>
      <c r="D42" s="17"/>
      <c r="E42" s="18">
        <f>E28</f>
      </c>
      <c r="F42" s="18">
        <f>F28</f>
      </c>
      <c r="G42" s="18">
        <f>G28</f>
      </c>
      <c r="H42" s="18">
        <f>H28</f>
      </c>
      <c r="I42" s="18">
        <f>I28</f>
      </c>
      <c r="J42" s="18">
        <f>J28</f>
      </c>
      <c r="K42" s="18">
        <f>K28</f>
      </c>
      <c r="L42" s="18">
        <f>L28</f>
      </c>
      <c r="M42" s="18">
        <f>M28</f>
      </c>
      <c r="N42" s="18">
        <f>N28</f>
      </c>
      <c r="O42" s="18">
        <f>O28</f>
      </c>
      <c r="P42" s="18">
        <f>P28</f>
      </c>
      <c r="Q42" s="18">
        <f>Q28</f>
      </c>
      <c r="R42" s="18">
        <f>R28</f>
      </c>
      <c r="S42" s="18">
        <f>S28</f>
      </c>
      <c r="T42" s="18">
        <f>T28</f>
      </c>
      <c r="U42" s="18">
        <f>U28</f>
      </c>
      <c r="V42" s="18">
        <f>V28</f>
      </c>
      <c r="W42" s="18">
        <f>W28</f>
      </c>
      <c r="X42" s="18">
        <f>X28</f>
      </c>
      <c r="Y42" s="18">
        <f>Y28</f>
      </c>
      <c r="Z42" s="18">
        <f>Z28</f>
      </c>
      <c r="AA42" s="18">
        <f>AA28</f>
      </c>
      <c r="AB42" s="18">
        <f>AB28</f>
      </c>
      <c r="AC42" s="18">
        <f>AC28</f>
      </c>
      <c r="AD42" s="18">
        <f>AD28</f>
      </c>
      <c r="AE42" s="18">
        <f>AE28</f>
      </c>
      <c r="AF42" s="18">
        <f>AF28</f>
      </c>
      <c r="AG42" s="18">
        <f>AG28</f>
      </c>
      <c r="AH42" s="18">
        <f>AH28</f>
      </c>
      <c r="AI42" s="18">
        <f>AI28</f>
      </c>
      <c r="AJ42" s="18">
        <f>AJ28</f>
      </c>
      <c r="AK42" s="19"/>
    </row>
    <row r="43" ht="12.75" customHeight="1" spans="2:37" x14ac:dyDescent="0.25">
      <c r="B43" s="16" t="s">
        <v>43</v>
      </c>
      <c r="C43" s="17"/>
      <c r="D43" s="17"/>
      <c r="E43" s="18">
        <f>E33</f>
      </c>
      <c r="F43" s="18">
        <f>F33</f>
      </c>
      <c r="G43" s="18">
        <f>G33</f>
      </c>
      <c r="H43" s="18">
        <f>H33</f>
      </c>
      <c r="I43" s="18">
        <f>I33</f>
      </c>
      <c r="J43" s="18">
        <f>J33</f>
      </c>
      <c r="K43" s="18">
        <f>K33</f>
      </c>
      <c r="L43" s="18">
        <f>L33</f>
      </c>
      <c r="M43" s="18">
        <f>M33</f>
      </c>
      <c r="N43" s="18">
        <f>N33</f>
      </c>
      <c r="O43" s="18">
        <f>O33</f>
      </c>
      <c r="P43" s="18">
        <f>P33</f>
      </c>
      <c r="Q43" s="18">
        <f>Q33</f>
      </c>
      <c r="R43" s="18">
        <f>R33</f>
      </c>
      <c r="S43" s="18">
        <f>S33</f>
      </c>
      <c r="T43" s="18">
        <f>T33</f>
      </c>
      <c r="U43" s="18">
        <f>U33</f>
      </c>
      <c r="V43" s="18">
        <f>V33</f>
      </c>
      <c r="W43" s="18">
        <f>W33</f>
      </c>
      <c r="X43" s="18">
        <f>X33</f>
      </c>
      <c r="Y43" s="18">
        <f>Y33</f>
      </c>
      <c r="Z43" s="18">
        <f>Z33</f>
      </c>
      <c r="AA43" s="18">
        <f>AA33</f>
      </c>
      <c r="AB43" s="18">
        <f>AB33</f>
      </c>
      <c r="AC43" s="18">
        <f>AC33</f>
      </c>
      <c r="AD43" s="18">
        <f>AD33</f>
      </c>
      <c r="AE43" s="18">
        <f>AE33</f>
      </c>
      <c r="AF43" s="18">
        <f>AF33</f>
      </c>
      <c r="AG43" s="18">
        <f>AG33</f>
      </c>
      <c r="AH43" s="18">
        <f>AH33</f>
      </c>
      <c r="AI43" s="18">
        <f>AI33</f>
      </c>
      <c r="AJ43" s="18">
        <f>AJ33</f>
      </c>
      <c r="AK43" s="19"/>
    </row>
    <row r="44" ht="12.75" customHeight="1" spans="2:37" x14ac:dyDescent="0.25">
      <c r="B44" s="16" t="s">
        <v>44</v>
      </c>
      <c r="C44" s="17"/>
      <c r="D44" s="17"/>
      <c r="E44" s="18">
        <f>E37</f>
      </c>
      <c r="F44" s="18">
        <f>F37</f>
      </c>
      <c r="G44" s="18">
        <f>G37</f>
      </c>
      <c r="H44" s="18">
        <f>H37</f>
      </c>
      <c r="I44" s="18">
        <f>I37</f>
      </c>
      <c r="J44" s="18">
        <f>J37</f>
      </c>
      <c r="K44" s="18">
        <f>K37</f>
      </c>
      <c r="L44" s="18">
        <f>L37</f>
      </c>
      <c r="M44" s="18">
        <f>M37</f>
      </c>
      <c r="N44" s="18">
        <f>N37</f>
      </c>
      <c r="O44" s="18">
        <f>O37</f>
      </c>
      <c r="P44" s="18">
        <f>P37</f>
      </c>
      <c r="Q44" s="18">
        <f>Q37</f>
      </c>
      <c r="R44" s="18">
        <f>R37</f>
      </c>
      <c r="S44" s="18">
        <f>S37</f>
      </c>
      <c r="T44" s="18">
        <f>T37</f>
      </c>
      <c r="U44" s="18">
        <f>U37</f>
      </c>
      <c r="V44" s="18">
        <f>V37</f>
      </c>
      <c r="W44" s="18">
        <f>W37</f>
      </c>
      <c r="X44" s="18">
        <f>X37</f>
      </c>
      <c r="Y44" s="18">
        <f>Y37</f>
      </c>
      <c r="Z44" s="18">
        <f>Z37</f>
      </c>
      <c r="AA44" s="18">
        <f>AA37</f>
      </c>
      <c r="AB44" s="18">
        <f>AB37</f>
      </c>
      <c r="AC44" s="18">
        <f>AC37</f>
      </c>
      <c r="AD44" s="18">
        <f>AD37</f>
      </c>
      <c r="AE44" s="18">
        <f>AE37</f>
      </c>
      <c r="AF44" s="18">
        <f>AF37</f>
      </c>
      <c r="AG44" s="18">
        <f>AG37</f>
      </c>
      <c r="AH44" s="18">
        <f>AH37</f>
      </c>
      <c r="AI44" s="18">
        <f>AI37</f>
      </c>
      <c r="AJ44" s="18">
        <f>AJ37</f>
      </c>
      <c r="AK44" s="19"/>
    </row>
    <row r="45" ht="12.75" customHeight="1" spans="2:37" x14ac:dyDescent="0.25">
      <c r="B45" s="20" t="s">
        <v>45</v>
      </c>
      <c r="C45" s="21"/>
      <c r="D45" s="21"/>
      <c r="E45" s="22">
        <f>E41+E42+E43+E44</f>
      </c>
      <c r="F45" s="22">
        <f>F41+F42+F43+F44</f>
      </c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3"/>
    </row>
    <row r="47" ht="12.75" customHeight="1" spans="2:37" x14ac:dyDescent="0.25">
      <c r="B47" s="11" t="s">
        <v>46</v>
      </c>
      <c r="C47" s="12"/>
      <c r="D47" s="13"/>
      <c r="E47" s="14" t="s">
        <v>7</v>
      </c>
      <c r="F47" s="14" t="s">
        <v>8</v>
      </c>
      <c r="G47" s="14" t="s">
        <v>9</v>
      </c>
      <c r="H47" s="14" t="s">
        <v>10</v>
      </c>
      <c r="I47" s="14" t="s">
        <v>11</v>
      </c>
      <c r="J47" s="14" t="s">
        <v>12</v>
      </c>
      <c r="K47" s="14" t="s">
        <v>13</v>
      </c>
      <c r="L47" s="14" t="s">
        <v>14</v>
      </c>
      <c r="M47" s="14" t="s">
        <v>15</v>
      </c>
      <c r="N47" s="14" t="s">
        <v>16</v>
      </c>
      <c r="O47" s="14" t="s">
        <v>17</v>
      </c>
      <c r="P47" s="14" t="s">
        <v>18</v>
      </c>
      <c r="Q47" s="14" t="s">
        <v>19</v>
      </c>
      <c r="R47" s="14" t="s">
        <v>20</v>
      </c>
      <c r="S47" s="14" t="s">
        <v>21</v>
      </c>
      <c r="T47" s="14" t="s">
        <v>22</v>
      </c>
      <c r="U47" s="14" t="s">
        <v>23</v>
      </c>
      <c r="V47" s="14" t="s">
        <v>24</v>
      </c>
      <c r="W47" s="14" t="s">
        <v>25</v>
      </c>
      <c r="X47" s="14" t="s">
        <v>26</v>
      </c>
      <c r="Y47" s="14" t="s">
        <v>27</v>
      </c>
      <c r="Z47" s="14" t="s">
        <v>28</v>
      </c>
      <c r="AA47" s="14" t="s">
        <v>29</v>
      </c>
      <c r="AB47" s="14" t="s">
        <v>30</v>
      </c>
      <c r="AC47" s="14" t="s">
        <v>31</v>
      </c>
      <c r="AD47" s="14" t="s">
        <v>32</v>
      </c>
      <c r="AE47" s="14" t="s">
        <v>33</v>
      </c>
      <c r="AF47" s="14" t="s">
        <v>34</v>
      </c>
      <c r="AG47" s="14" t="s">
        <v>35</v>
      </c>
      <c r="AH47" s="14" t="s">
        <v>36</v>
      </c>
      <c r="AI47" s="14" t="s">
        <v>37</v>
      </c>
      <c r="AJ47" s="14" t="s">
        <v>38</v>
      </c>
      <c r="AK47" s="15"/>
    </row>
    <row r="48" ht="12.75" customHeight="1" spans="2:37" x14ac:dyDescent="0.25">
      <c r="B48" s="16" t="s">
        <v>41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ht="12.75" customHeight="1" spans="2:37" x14ac:dyDescent="0.25">
      <c r="B49" s="16" t="s">
        <v>42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16" t="s">
        <v>43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16" t="s">
        <v>44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ht="12.75" customHeight="1" spans="2:37" x14ac:dyDescent="0.25">
      <c r="B52" s="20" t="s">
        <v>45</v>
      </c>
      <c r="C52" s="21"/>
      <c r="D52" s="21"/>
      <c r="E52" s="22">
        <f>E48+E49+E50+E51</f>
      </c>
      <c r="F52" s="22">
        <f>F48+F49+F50+F51</f>
      </c>
      <c r="G52" s="22">
        <f>G48+G49+G50+G51</f>
      </c>
      <c r="H52" s="22">
        <f>H48+H49+H50+H51</f>
      </c>
      <c r="I52" s="22">
        <f>I48+I49+I50+I51</f>
      </c>
      <c r="J52" s="22">
        <f>J48+J49+J50+J51</f>
      </c>
      <c r="K52" s="22">
        <f>K48+K49+K50+K51</f>
      </c>
      <c r="L52" s="22">
        <f>L48+L49+L50+L51</f>
      </c>
      <c r="M52" s="22">
        <f>M48+M49+M50+M51</f>
      </c>
      <c r="N52" s="22">
        <f>N48+N49+N50+N51</f>
      </c>
      <c r="O52" s="22">
        <f>O48+O49+O50+O51</f>
      </c>
      <c r="P52" s="22">
        <f>P48+P49+P50+P51</f>
      </c>
      <c r="Q52" s="22">
        <f>Q48+Q49+Q50+Q51</f>
      </c>
      <c r="R52" s="22">
        <f>R48+R49+R50+R51</f>
      </c>
      <c r="S52" s="22">
        <f>S48+S49+S50+S51</f>
      </c>
      <c r="T52" s="22">
        <f>T48+T49+T50+T51</f>
      </c>
      <c r="U52" s="22">
        <f>U48+U49+U50+U51</f>
      </c>
      <c r="V52" s="22">
        <f>V48+V49+V50+V51</f>
      </c>
      <c r="W52" s="22">
        <f>W48+W49+W50+W51</f>
      </c>
      <c r="X52" s="22">
        <f>X48+X49+X50+X51</f>
      </c>
      <c r="Y52" s="22">
        <f>Y48+Y49+Y50+Y51</f>
      </c>
      <c r="Z52" s="22">
        <f>Z48+Z49+Z50+Z51</f>
      </c>
      <c r="AA52" s="22">
        <f>AA48+AA49+AA50+AA51</f>
      </c>
      <c r="AB52" s="22">
        <f>AB48+AB49+AB50+AB51</f>
      </c>
      <c r="AC52" s="22">
        <f>AC48+AC49+AC50+AC51</f>
      </c>
      <c r="AD52" s="22">
        <f>AD48+AD49+AD50+AD51</f>
      </c>
      <c r="AE52" s="22">
        <f>AE48+AE49+AE50+AE51</f>
      </c>
      <c r="AF52" s="22">
        <f>AF48+AF49+AF50+AF51</f>
      </c>
      <c r="AG52" s="22">
        <f>AG48+AG49+AG50+AG51</f>
      </c>
      <c r="AH52" s="22">
        <f>AH48+AH49+AH50+AH51</f>
      </c>
      <c r="AI52" s="22">
        <f>AI48+AI49+AI50+AI51</f>
      </c>
      <c r="AJ52" s="22">
        <f>AJ48+AJ49+AJ50+AJ51</f>
      </c>
      <c r="AK52" s="23"/>
    </row>
    <row r="54" ht="12.75" customHeight="1" spans="2:37" x14ac:dyDescent="0.25">
      <c r="B54" s="11" t="s">
        <v>47</v>
      </c>
      <c r="C54" s="12"/>
      <c r="D54" s="13"/>
      <c r="E54" s="14" t="s">
        <v>7</v>
      </c>
      <c r="F54" s="14" t="s">
        <v>8</v>
      </c>
      <c r="G54" s="14" t="s">
        <v>9</v>
      </c>
      <c r="H54" s="14" t="s">
        <v>10</v>
      </c>
      <c r="I54" s="14" t="s">
        <v>11</v>
      </c>
      <c r="J54" s="14" t="s">
        <v>12</v>
      </c>
      <c r="K54" s="14" t="s">
        <v>13</v>
      </c>
      <c r="L54" s="14" t="s">
        <v>14</v>
      </c>
      <c r="M54" s="14" t="s">
        <v>15</v>
      </c>
      <c r="N54" s="14" t="s">
        <v>16</v>
      </c>
      <c r="O54" s="14" t="s">
        <v>17</v>
      </c>
      <c r="P54" s="14" t="s">
        <v>18</v>
      </c>
      <c r="Q54" s="14" t="s">
        <v>19</v>
      </c>
      <c r="R54" s="14" t="s">
        <v>20</v>
      </c>
      <c r="S54" s="14" t="s">
        <v>21</v>
      </c>
      <c r="T54" s="14" t="s">
        <v>22</v>
      </c>
      <c r="U54" s="14" t="s">
        <v>23</v>
      </c>
      <c r="V54" s="14" t="s">
        <v>24</v>
      </c>
      <c r="W54" s="14" t="s">
        <v>25</v>
      </c>
      <c r="X54" s="14" t="s">
        <v>26</v>
      </c>
      <c r="Y54" s="14" t="s">
        <v>27</v>
      </c>
      <c r="Z54" s="14" t="s">
        <v>28</v>
      </c>
      <c r="AA54" s="14" t="s">
        <v>29</v>
      </c>
      <c r="AB54" s="14" t="s">
        <v>30</v>
      </c>
      <c r="AC54" s="14" t="s">
        <v>31</v>
      </c>
      <c r="AD54" s="14" t="s">
        <v>32</v>
      </c>
      <c r="AE54" s="14" t="s">
        <v>33</v>
      </c>
      <c r="AF54" s="14" t="s">
        <v>34</v>
      </c>
      <c r="AG54" s="14" t="s">
        <v>35</v>
      </c>
      <c r="AH54" s="14" t="s">
        <v>36</v>
      </c>
      <c r="AI54" s="14" t="s">
        <v>37</v>
      </c>
      <c r="AJ54" s="14" t="s">
        <v>38</v>
      </c>
      <c r="AK54" s="15"/>
    </row>
    <row r="55" ht="12.75" customHeight="1" spans="2:37" x14ac:dyDescent="0.25">
      <c r="B55" s="16" t="s">
        <v>41</v>
      </c>
      <c r="C55" s="17"/>
      <c r="D55" s="17"/>
      <c r="E55" s="24">
        <f>E48-E41</f>
      </c>
      <c r="F55" s="24">
        <f>F48-F41</f>
      </c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19"/>
    </row>
    <row r="56" ht="12.75" customHeight="1" spans="2:37" x14ac:dyDescent="0.25">
      <c r="B56" s="16" t="s">
        <v>42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16" t="s">
        <v>43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16" t="s">
        <v>44</v>
      </c>
      <c r="C58" s="17"/>
      <c r="D58" s="17"/>
      <c r="E58" s="24">
        <f>E51-E44</f>
      </c>
      <c r="F58" s="24">
        <f>F51-F44</f>
      </c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19"/>
    </row>
    <row r="59" ht="12.75" customHeight="1" spans="2:37" x14ac:dyDescent="0.25">
      <c r="B59" s="20" t="s">
        <v>45</v>
      </c>
      <c r="C59" s="21"/>
      <c r="D59" s="21"/>
      <c r="E59" s="25">
        <f>E55+E56+E57+E58</f>
      </c>
      <c r="F59" s="25">
        <f>F55+F56+F57+F58</f>
      </c>
      <c r="G59" s="25">
        <f>G55+G56+G57+G58</f>
      </c>
      <c r="H59" s="25">
        <f>H55+H56+H57+H58</f>
      </c>
      <c r="I59" s="25">
        <f>I55+I56+I57+I58</f>
      </c>
      <c r="J59" s="25">
        <f>J55+J56+J57+J58</f>
      </c>
      <c r="K59" s="25">
        <f>K55+K56+K57+K58</f>
      </c>
      <c r="L59" s="25">
        <f>L55+L56+L57+L58</f>
      </c>
      <c r="M59" s="25">
        <f>M55+M56+M57+M58</f>
      </c>
      <c r="N59" s="25">
        <f>N55+N56+N57+N58</f>
      </c>
      <c r="O59" s="25">
        <f>O55+O56+O57+O58</f>
      </c>
      <c r="P59" s="25">
        <f>P55+P56+P57+P58</f>
      </c>
      <c r="Q59" s="25">
        <f>Q55+Q56+Q57+Q58</f>
      </c>
      <c r="R59" s="25">
        <f>R55+R56+R57+R58</f>
      </c>
      <c r="S59" s="25">
        <f>S55+S56+S57+S58</f>
      </c>
      <c r="T59" s="25">
        <f>T55+T56+T57+T58</f>
      </c>
      <c r="U59" s="25">
        <f>U55+U56+U57+U58</f>
      </c>
      <c r="V59" s="25">
        <f>V55+V56+V57+V58</f>
      </c>
      <c r="W59" s="25">
        <f>W55+W56+W57+W58</f>
      </c>
      <c r="X59" s="25">
        <f>X55+X56+X57+X58</f>
      </c>
      <c r="Y59" s="25">
        <f>Y55+Y56+Y57+Y58</f>
      </c>
      <c r="Z59" s="25">
        <f>Z55+Z56+Z57+Z58</f>
      </c>
      <c r="AA59" s="25">
        <f>AA55+AA56+AA57+AA58</f>
      </c>
      <c r="AB59" s="25">
        <f>AB55+AB56+AB57+AB58</f>
      </c>
      <c r="AC59" s="25">
        <f>AC55+AC56+AC57+AC58</f>
      </c>
      <c r="AD59" s="25">
        <f>AD55+AD56+AD57+AD58</f>
      </c>
      <c r="AE59" s="25">
        <f>AE55+AE56+AE57+AE58</f>
      </c>
      <c r="AF59" s="25">
        <f>AF55+AF56+AF57+AF58</f>
      </c>
      <c r="AG59" s="25">
        <f>AG55+AG56+AG57+AG58</f>
      </c>
      <c r="AH59" s="25">
        <f>AH55+AH56+AH57+AH58</f>
      </c>
      <c r="AI59" s="25">
        <f>AI55+AI56+AI57+AI58</f>
      </c>
      <c r="AJ59" s="25">
        <f>AJ55+AJ56+AJ57+AJ58</f>
      </c>
      <c r="AK59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0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2505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2521</v>
      </c>
      <c r="K8" s="44" t="s">
        <v>2522</v>
      </c>
      <c r="L8" s="44" t="s">
        <v>2523</v>
      </c>
      <c r="M8" s="44" t="s">
        <v>2524</v>
      </c>
      <c r="N8" s="44" t="s">
        <v>2525</v>
      </c>
      <c r="O8" s="44" t="s">
        <v>2526</v>
      </c>
      <c r="P8" s="44" t="s">
        <v>2527</v>
      </c>
      <c r="Q8" s="44" t="s">
        <v>2528</v>
      </c>
      <c r="R8" s="44" t="s">
        <v>2529</v>
      </c>
      <c r="S8" s="44" t="s">
        <v>2530</v>
      </c>
      <c r="T8" s="44" t="s">
        <v>2531</v>
      </c>
      <c r="U8" s="44" t="s">
        <v>2532</v>
      </c>
      <c r="V8" s="44" t="s">
        <v>2533</v>
      </c>
      <c r="W8" s="44" t="s">
        <v>2534</v>
      </c>
      <c r="X8" s="44" t="s">
        <v>2535</v>
      </c>
      <c r="Y8" s="44" t="s">
        <v>2536</v>
      </c>
      <c r="Z8" s="44" t="s">
        <v>2537</v>
      </c>
      <c r="AA8" s="44" t="s">
        <v>2538</v>
      </c>
      <c r="AB8" s="44" t="s">
        <v>2539</v>
      </c>
      <c r="AC8" s="44" t="s">
        <v>2540</v>
      </c>
      <c r="AD8" s="44" t="s">
        <v>2541</v>
      </c>
      <c r="AE8" s="44" t="s">
        <v>2542</v>
      </c>
      <c r="AF8" s="44" t="s">
        <v>2543</v>
      </c>
      <c r="AG8" s="44" t="s">
        <v>2544</v>
      </c>
      <c r="AH8" s="44" t="s">
        <v>2545</v>
      </c>
      <c r="AI8" s="44" t="s">
        <v>2546</v>
      </c>
      <c r="AJ8" s="44" t="s">
        <v>2547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2505</v>
      </c>
      <c r="D14" s="50" t="s">
        <v>42</v>
      </c>
      <c r="E14" s="32" t="s">
        <v>3</v>
      </c>
      <c r="F14" s="32" t="s">
        <v>2506</v>
      </c>
      <c r="G14" s="32"/>
      <c r="H14" s="32"/>
      <c r="I14" s="32"/>
      <c r="J14" s="33">
        <v>21.26</v>
      </c>
      <c r="K14" s="33">
        <v>21.26</v>
      </c>
      <c r="L14" s="33">
        <v>21.26</v>
      </c>
      <c r="M14" s="33">
        <v>21.26</v>
      </c>
      <c r="N14" s="33">
        <v>21.26</v>
      </c>
      <c r="O14" s="33">
        <v>21.26</v>
      </c>
      <c r="P14" s="33">
        <v>21.26</v>
      </c>
      <c r="Q14" s="33">
        <v>21.26</v>
      </c>
      <c r="R14" s="33">
        <v>21.26</v>
      </c>
      <c r="S14" s="33">
        <v>21.26</v>
      </c>
      <c r="T14" s="33">
        <v>21.26</v>
      </c>
      <c r="U14" s="33">
        <v>21.26</v>
      </c>
      <c r="V14" s="33">
        <v>29.05</v>
      </c>
      <c r="W14" s="33">
        <v>91.86</v>
      </c>
      <c r="X14" s="33">
        <v>72.62</v>
      </c>
      <c r="Y14" s="33">
        <v>84.19</v>
      </c>
      <c r="Z14" s="33">
        <v>21.26</v>
      </c>
      <c r="AA14" s="33">
        <v>21.26</v>
      </c>
      <c r="AB14" s="33">
        <v>21.26</v>
      </c>
      <c r="AC14" s="33">
        <v>21.26</v>
      </c>
      <c r="AD14" s="33">
        <v>21.26</v>
      </c>
      <c r="AE14" s="33">
        <v>21.26</v>
      </c>
      <c r="AF14" s="33">
        <v>31.89</v>
      </c>
      <c r="AG14" s="33">
        <v>31.89</v>
      </c>
      <c r="AH14" s="33">
        <v>31.89</v>
      </c>
      <c r="AI14" s="33">
        <v>31.89</v>
      </c>
      <c r="AJ14" s="33">
        <v>31.89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2505</v>
      </c>
      <c r="D15" s="50" t="s">
        <v>42</v>
      </c>
      <c r="E15" s="32" t="s">
        <v>3</v>
      </c>
      <c r="F15" s="32" t="s">
        <v>2507</v>
      </c>
      <c r="G15" s="32"/>
      <c r="H15" s="32"/>
      <c r="I15" s="32"/>
      <c r="J15" s="33">
        <v>21.26</v>
      </c>
      <c r="K15" s="33">
        <v>21.26</v>
      </c>
      <c r="L15" s="33">
        <v>21.26</v>
      </c>
      <c r="M15" s="33">
        <v>21.26</v>
      </c>
      <c r="N15" s="33">
        <v>21.26</v>
      </c>
      <c r="O15" s="33">
        <v>21.26</v>
      </c>
      <c r="P15" s="33">
        <v>21.26</v>
      </c>
      <c r="Q15" s="33">
        <v>21.26</v>
      </c>
      <c r="R15" s="33">
        <v>21.26</v>
      </c>
      <c r="S15" s="33">
        <v>21.26</v>
      </c>
      <c r="T15" s="33">
        <v>21.26</v>
      </c>
      <c r="U15" s="33">
        <v>21.26</v>
      </c>
      <c r="V15" s="33">
        <v>21.26</v>
      </c>
      <c r="W15" s="33">
        <v>21.26</v>
      </c>
      <c r="X15" s="33">
        <v>25.49</v>
      </c>
      <c r="Y15" s="33">
        <v>31.27</v>
      </c>
      <c r="Z15" s="33">
        <v>21.26</v>
      </c>
      <c r="AA15" s="33">
        <v>21.26</v>
      </c>
      <c r="AB15" s="33">
        <v>21.26</v>
      </c>
      <c r="AC15" s="33">
        <v>21.26</v>
      </c>
      <c r="AD15" s="33">
        <v>21.26</v>
      </c>
      <c r="AE15" s="33">
        <v>21.26</v>
      </c>
      <c r="AF15" s="33">
        <v>31.89</v>
      </c>
      <c r="AG15" s="33">
        <v>31.89</v>
      </c>
      <c r="AH15" s="33">
        <v>31.89</v>
      </c>
      <c r="AI15" s="33">
        <v>31.89</v>
      </c>
      <c r="AJ15" s="33">
        <v>31.89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2505</v>
      </c>
      <c r="D16" s="50" t="s">
        <v>42</v>
      </c>
      <c r="E16" s="32" t="s">
        <v>3</v>
      </c>
      <c r="F16" s="32" t="s">
        <v>2508</v>
      </c>
      <c r="G16" s="32"/>
      <c r="H16" s="32"/>
      <c r="I16" s="32"/>
      <c r="J16" s="33">
        <v>331.41</v>
      </c>
      <c r="K16" s="33">
        <v>311.04</v>
      </c>
      <c r="L16" s="33">
        <v>220.8</v>
      </c>
      <c r="M16" s="33">
        <v>186.66</v>
      </c>
      <c r="N16" s="33">
        <v>177.65</v>
      </c>
      <c r="O16" s="33">
        <v>240.85</v>
      </c>
      <c r="P16" s="33">
        <v>417.31</v>
      </c>
      <c r="Q16" s="33">
        <v>486.93</v>
      </c>
      <c r="R16" s="33">
        <v>401.87</v>
      </c>
      <c r="S16" s="33">
        <v>369.38</v>
      </c>
      <c r="T16" s="33">
        <v>244.68</v>
      </c>
      <c r="U16" s="33">
        <v>163.11</v>
      </c>
      <c r="V16" s="33">
        <v>198.76</v>
      </c>
      <c r="W16" s="33">
        <v>315.35</v>
      </c>
      <c r="X16" s="33">
        <v>147.62</v>
      </c>
      <c r="Y16" s="33">
        <v>181.91</v>
      </c>
      <c r="Z16" s="33">
        <v>218.64</v>
      </c>
      <c r="AA16" s="33">
        <v>276.47</v>
      </c>
      <c r="AB16" s="33">
        <v>438.31</v>
      </c>
      <c r="AC16" s="33">
        <v>457.4</v>
      </c>
      <c r="AD16" s="33">
        <v>415.02</v>
      </c>
      <c r="AE16" s="33">
        <v>321.11</v>
      </c>
      <c r="AF16" s="33">
        <v>197.26</v>
      </c>
      <c r="AG16" s="33">
        <v>144.28</v>
      </c>
      <c r="AH16" s="33">
        <v>176.23</v>
      </c>
      <c r="AI16" s="33">
        <v>195.88</v>
      </c>
      <c r="AJ16" s="33">
        <v>138.59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2505</v>
      </c>
      <c r="D17" s="50" t="s">
        <v>42</v>
      </c>
      <c r="E17" s="32" t="s">
        <v>3</v>
      </c>
      <c r="F17" s="32" t="s">
        <v>2509</v>
      </c>
      <c r="G17" s="32"/>
      <c r="H17" s="32"/>
      <c r="I17" s="32"/>
      <c r="J17" s="33">
        <v>2.1</v>
      </c>
      <c r="K17" s="33">
        <v>35.47</v>
      </c>
      <c r="L17" s="33">
        <v>35.47</v>
      </c>
      <c r="M17" s="33">
        <v>35.47</v>
      </c>
      <c r="N17" s="33">
        <v>35.47</v>
      </c>
      <c r="O17" s="33">
        <v>35.49</v>
      </c>
      <c r="P17" s="33">
        <v>35.49</v>
      </c>
      <c r="Q17" s="33">
        <v>35.49</v>
      </c>
      <c r="R17" s="33">
        <v>35.49</v>
      </c>
      <c r="S17" s="33">
        <v>35.49</v>
      </c>
      <c r="T17" s="33">
        <v>35.51</v>
      </c>
      <c r="U17" s="33">
        <v>36.16</v>
      </c>
      <c r="V17" s="33">
        <v>36.16</v>
      </c>
      <c r="W17" s="33">
        <v>36.16</v>
      </c>
      <c r="X17" s="33">
        <v>36.16</v>
      </c>
      <c r="Y17" s="33">
        <v>36.16</v>
      </c>
      <c r="Z17" s="33">
        <v>36.14</v>
      </c>
      <c r="AA17" s="33">
        <v>35.74</v>
      </c>
      <c r="AB17" s="33">
        <v>35.74</v>
      </c>
      <c r="AC17" s="33">
        <v>35.74</v>
      </c>
      <c r="AD17" s="33">
        <v>35.74</v>
      </c>
      <c r="AE17" s="33">
        <v>35.74</v>
      </c>
      <c r="AF17" s="33">
        <v>35.84</v>
      </c>
      <c r="AG17" s="33">
        <v>36.13</v>
      </c>
      <c r="AH17" s="33">
        <v>36.13</v>
      </c>
      <c r="AI17" s="33">
        <v>36.12</v>
      </c>
      <c r="AJ17" s="33">
        <v>36.12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2505</v>
      </c>
      <c r="D18" s="50" t="s">
        <v>42</v>
      </c>
      <c r="E18" s="32" t="s">
        <v>3</v>
      </c>
      <c r="F18" s="32" t="s">
        <v>2510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>
        <f>0.00+41.23</f>
        <v>41.23</v>
      </c>
      <c r="V18" s="33">
        <v>31.8</v>
      </c>
      <c r="W18" s="33">
        <f>33.03+0.00+8.23</f>
        <v>41.260000000000005</v>
      </c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2505</v>
      </c>
      <c r="D19" s="50" t="s">
        <v>42</v>
      </c>
      <c r="E19" s="32" t="s">
        <v>3</v>
      </c>
      <c r="F19" s="32" t="s">
        <v>2511</v>
      </c>
      <c r="G19" s="32"/>
      <c r="H19" s="32"/>
      <c r="I19" s="32"/>
      <c r="J19" s="33">
        <f>114.07+56.73</f>
        <v>170.79999999999998</v>
      </c>
      <c r="K19" s="33">
        <f>253.88+114.07</f>
        <v>367.95</v>
      </c>
      <c r="L19" s="33">
        <f>114.07+196.36</f>
        <v>310.43</v>
      </c>
      <c r="M19" s="33">
        <f>115.31+114.07</f>
        <v>229.38</v>
      </c>
      <c r="N19" s="33">
        <f>114.06+60.48</f>
        <v>174.54</v>
      </c>
      <c r="O19" s="33">
        <f>104.82+114.09</f>
        <v>218.91</v>
      </c>
      <c r="P19" s="33">
        <f>114.09+246.32</f>
        <v>360.40999999999997</v>
      </c>
      <c r="Q19" s="33">
        <f>327.62+114.09</f>
        <v>441.71000000000004</v>
      </c>
      <c r="R19" s="33">
        <f>114.09+246.03</f>
        <v>360.12</v>
      </c>
      <c r="S19" s="33">
        <f>114.09+219.85</f>
        <v>333.94</v>
      </c>
      <c r="T19" s="33">
        <f>171.69+114.20</f>
        <v>285.89</v>
      </c>
      <c r="U19" s="33">
        <f>115.44+104.42</f>
        <v>219.86</v>
      </c>
      <c r="V19" s="33">
        <f>115.44+100.97</f>
        <v>216.41</v>
      </c>
      <c r="W19" s="33">
        <f>108.27+115.44</f>
        <v>223.70999999999998</v>
      </c>
      <c r="X19" s="33">
        <f>107.88+115.44</f>
        <v>223.32</v>
      </c>
      <c r="Y19" s="33">
        <f>115.44+136.02</f>
        <v>251.46</v>
      </c>
      <c r="Z19" s="33">
        <f>115.37+145.63</f>
        <v>261</v>
      </c>
      <c r="AA19" s="33">
        <f>215.81+114.58</f>
        <v>330.39</v>
      </c>
      <c r="AB19" s="33">
        <f>114.58+351.39</f>
        <v>465.96999999999997</v>
      </c>
      <c r="AC19" s="33">
        <f>352.57+114.58</f>
        <v>467.15</v>
      </c>
      <c r="AD19" s="33">
        <f>114.58+374.79</f>
        <v>489.37</v>
      </c>
      <c r="AE19" s="33">
        <f>282.52+114.58</f>
        <v>397.09999999999997</v>
      </c>
      <c r="AF19" s="33">
        <f>114.85+144.00</f>
        <v>258.85</v>
      </c>
      <c r="AG19" s="33">
        <f>159.86+115.38</f>
        <v>275.24</v>
      </c>
      <c r="AH19" s="33">
        <f>115.38+140.94</f>
        <v>256.32</v>
      </c>
      <c r="AI19" s="33">
        <f>115.36+146.09</f>
        <v>261.45</v>
      </c>
      <c r="AJ19" s="33">
        <f>115.36+131.83</f>
        <v>247.19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2505</v>
      </c>
      <c r="D20" s="50" t="s">
        <v>42</v>
      </c>
      <c r="E20" s="32" t="s">
        <v>3</v>
      </c>
      <c r="F20" s="32" t="s">
        <v>2512</v>
      </c>
      <c r="G20" s="32"/>
      <c r="H20" s="32"/>
      <c r="I20" s="32"/>
      <c r="J20" s="33">
        <v>21.26</v>
      </c>
      <c r="K20" s="33">
        <v>21.26</v>
      </c>
      <c r="L20" s="33">
        <v>21.26</v>
      </c>
      <c r="M20" s="33">
        <v>21.26</v>
      </c>
      <c r="N20" s="33">
        <v>21.26</v>
      </c>
      <c r="O20" s="33">
        <v>21.26</v>
      </c>
      <c r="P20" s="33">
        <v>21.26</v>
      </c>
      <c r="Q20" s="33">
        <v>21.26</v>
      </c>
      <c r="R20" s="33">
        <v>21.26</v>
      </c>
      <c r="S20" s="33">
        <v>21.26</v>
      </c>
      <c r="T20" s="33">
        <v>21.26</v>
      </c>
      <c r="U20" s="33">
        <v>21.26</v>
      </c>
      <c r="V20" s="33">
        <v>21.26</v>
      </c>
      <c r="W20" s="33">
        <v>21.26</v>
      </c>
      <c r="X20" s="33">
        <v>21.26</v>
      </c>
      <c r="Y20" s="33">
        <v>21.26</v>
      </c>
      <c r="Z20" s="33">
        <v>21.26</v>
      </c>
      <c r="AA20" s="33">
        <v>21.26</v>
      </c>
      <c r="AB20" s="33">
        <v>21.26</v>
      </c>
      <c r="AC20" s="33">
        <v>21.26</v>
      </c>
      <c r="AD20" s="33">
        <v>21.26</v>
      </c>
      <c r="AE20" s="33">
        <v>21.26</v>
      </c>
      <c r="AF20" s="33">
        <v>31.89</v>
      </c>
      <c r="AG20" s="33">
        <v>31.89</v>
      </c>
      <c r="AH20" s="33">
        <v>37.48</v>
      </c>
      <c r="AI20" s="33">
        <v>31.89</v>
      </c>
      <c r="AJ20" s="33">
        <v>42.39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2505</v>
      </c>
      <c r="D21" s="50" t="s">
        <v>42</v>
      </c>
      <c r="E21" s="32" t="s">
        <v>3</v>
      </c>
      <c r="F21" s="32" t="s">
        <v>2513</v>
      </c>
      <c r="G21" s="32"/>
      <c r="H21" s="32"/>
      <c r="I21" s="32"/>
      <c r="J21" s="33">
        <v>451.73</v>
      </c>
      <c r="K21" s="33">
        <v>599.1</v>
      </c>
      <c r="L21" s="33">
        <v>502.15</v>
      </c>
      <c r="M21" s="33">
        <v>473.07</v>
      </c>
      <c r="N21" s="33">
        <v>484.89</v>
      </c>
      <c r="O21" s="33">
        <v>392.67</v>
      </c>
      <c r="P21" s="33">
        <v>766.85</v>
      </c>
      <c r="Q21" s="33">
        <v>821.16</v>
      </c>
      <c r="R21" s="33">
        <v>717.62</v>
      </c>
      <c r="S21" s="33">
        <v>634.39</v>
      </c>
      <c r="T21" s="33">
        <v>522.25</v>
      </c>
      <c r="U21" s="33">
        <v>436.77</v>
      </c>
      <c r="V21" s="33">
        <v>459.42</v>
      </c>
      <c r="W21" s="33">
        <v>499.35</v>
      </c>
      <c r="X21" s="33">
        <v>425.58</v>
      </c>
      <c r="Y21" s="33">
        <v>460.85</v>
      </c>
      <c r="Z21" s="33">
        <v>508.76</v>
      </c>
      <c r="AA21" s="33">
        <v>527.21</v>
      </c>
      <c r="AB21" s="33">
        <v>748.32</v>
      </c>
      <c r="AC21" s="33">
        <v>931.9</v>
      </c>
      <c r="AD21" s="33">
        <v>827.48</v>
      </c>
      <c r="AE21" s="33">
        <v>728.44</v>
      </c>
      <c r="AF21" s="33">
        <v>559.6</v>
      </c>
      <c r="AG21" s="33">
        <v>490.73</v>
      </c>
      <c r="AH21" s="33">
        <v>462.58</v>
      </c>
      <c r="AI21" s="33">
        <v>523.76</v>
      </c>
      <c r="AJ21" s="33">
        <v>507.75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2505</v>
      </c>
      <c r="D22" s="50" t="s">
        <v>42</v>
      </c>
      <c r="E22" s="32" t="s">
        <v>3</v>
      </c>
      <c r="F22" s="32" t="s">
        <v>2514</v>
      </c>
      <c r="G22" s="32"/>
      <c r="H22" s="32"/>
      <c r="I22" s="32"/>
      <c r="J22" s="33">
        <v>21.26</v>
      </c>
      <c r="K22" s="33">
        <v>21.26</v>
      </c>
      <c r="L22" s="33">
        <v>21.26</v>
      </c>
      <c r="M22" s="33">
        <v>21.26</v>
      </c>
      <c r="N22" s="33">
        <v>21.26</v>
      </c>
      <c r="O22" s="33">
        <v>21.26</v>
      </c>
      <c r="P22" s="33">
        <v>21.26</v>
      </c>
      <c r="Q22" s="33">
        <v>21.26</v>
      </c>
      <c r="R22" s="33">
        <v>21.26</v>
      </c>
      <c r="S22" s="33">
        <v>21.26</v>
      </c>
      <c r="T22" s="33">
        <v>21.26</v>
      </c>
      <c r="U22" s="33">
        <v>21.26</v>
      </c>
      <c r="V22" s="33">
        <v>21.26</v>
      </c>
      <c r="W22" s="33">
        <v>21.26</v>
      </c>
      <c r="X22" s="33">
        <v>26.95</v>
      </c>
      <c r="Y22" s="33">
        <v>45.39</v>
      </c>
      <c r="Z22" s="33">
        <v>21.26</v>
      </c>
      <c r="AA22" s="33">
        <v>21.26</v>
      </c>
      <c r="AB22" s="33">
        <v>21.26</v>
      </c>
      <c r="AC22" s="33">
        <v>21.26</v>
      </c>
      <c r="AD22" s="33">
        <v>21.26</v>
      </c>
      <c r="AE22" s="33">
        <v>21.26</v>
      </c>
      <c r="AF22" s="33">
        <v>31.89</v>
      </c>
      <c r="AG22" s="33">
        <v>31.89</v>
      </c>
      <c r="AH22" s="33">
        <v>31.89</v>
      </c>
      <c r="AI22" s="33">
        <v>31.89</v>
      </c>
      <c r="AJ22" s="33">
        <v>31.89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2505</v>
      </c>
      <c r="D23" s="50" t="s">
        <v>42</v>
      </c>
      <c r="E23" s="32" t="s">
        <v>3</v>
      </c>
      <c r="F23" s="32" t="s">
        <v>2515</v>
      </c>
      <c r="G23" s="32"/>
      <c r="H23" s="32"/>
      <c r="I23" s="32"/>
      <c r="J23" s="33">
        <v>21.26</v>
      </c>
      <c r="K23" s="33">
        <v>21.26</v>
      </c>
      <c r="L23" s="33">
        <f>21.26+0.00+2.13</f>
        <v>23.39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2505</v>
      </c>
      <c r="D24" s="50" t="s">
        <v>42</v>
      </c>
      <c r="E24" s="32" t="s">
        <v>3</v>
      </c>
      <c r="F24" s="32" t="s">
        <v>2516</v>
      </c>
      <c r="G24" s="32"/>
      <c r="H24" s="32"/>
      <c r="I24" s="32"/>
      <c r="J24" s="33">
        <v>33</v>
      </c>
      <c r="K24" s="33">
        <v>118.79</v>
      </c>
      <c r="L24" s="33">
        <v>111.41</v>
      </c>
      <c r="M24" s="33">
        <v>113.6</v>
      </c>
      <c r="N24" s="33">
        <v>21.26</v>
      </c>
      <c r="O24" s="33">
        <v>21.26</v>
      </c>
      <c r="P24" s="33">
        <v>21.26</v>
      </c>
      <c r="Q24" s="33">
        <v>21.26</v>
      </c>
      <c r="R24" s="33">
        <v>21.26</v>
      </c>
      <c r="S24" s="33">
        <v>21.26</v>
      </c>
      <c r="T24" s="33">
        <v>21.26</v>
      </c>
      <c r="U24" s="33">
        <v>21.26</v>
      </c>
      <c r="V24" s="33">
        <v>21.26</v>
      </c>
      <c r="W24" s="33">
        <v>21.26</v>
      </c>
      <c r="X24" s="33">
        <v>21.26</v>
      </c>
      <c r="Y24" s="33">
        <v>52.4</v>
      </c>
      <c r="Z24" s="33">
        <v>21.26</v>
      </c>
      <c r="AA24" s="33">
        <v>21.26</v>
      </c>
      <c r="AB24" s="33">
        <v>21.26</v>
      </c>
      <c r="AC24" s="33">
        <v>21.26</v>
      </c>
      <c r="AD24" s="33">
        <v>21.26</v>
      </c>
      <c r="AE24" s="33">
        <v>21.26</v>
      </c>
      <c r="AF24" s="33">
        <v>31.89</v>
      </c>
      <c r="AG24" s="33">
        <v>31.89</v>
      </c>
      <c r="AH24" s="33">
        <v>31.89</v>
      </c>
      <c r="AI24" s="33">
        <v>31.89</v>
      </c>
      <c r="AJ24" s="33">
        <v>31.89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2505</v>
      </c>
      <c r="D25" s="50" t="s">
        <v>42</v>
      </c>
      <c r="E25" s="32" t="s">
        <v>3</v>
      </c>
      <c r="F25" s="32" t="s">
        <v>2517</v>
      </c>
      <c r="G25" s="32"/>
      <c r="H25" s="32"/>
      <c r="I25" s="32"/>
      <c r="J25" s="33">
        <v>72.83</v>
      </c>
      <c r="K25" s="33">
        <v>78.84</v>
      </c>
      <c r="L25" s="33">
        <v>72.62</v>
      </c>
      <c r="M25" s="33">
        <v>61.22</v>
      </c>
      <c r="N25" s="33">
        <v>56.42</v>
      </c>
      <c r="O25" s="33">
        <v>71.08</v>
      </c>
      <c r="P25" s="33">
        <v>56.4</v>
      </c>
      <c r="Q25" s="33">
        <v>21.26</v>
      </c>
      <c r="R25" s="33">
        <v>21.26</v>
      </c>
      <c r="S25" s="33">
        <v>21.26</v>
      </c>
      <c r="T25" s="33">
        <v>21.26</v>
      </c>
      <c r="U25" s="33">
        <v>26.59</v>
      </c>
      <c r="V25" s="33">
        <v>74.53</v>
      </c>
      <c r="W25" s="33">
        <v>92.53</v>
      </c>
      <c r="X25" s="33">
        <v>37.6</v>
      </c>
      <c r="Y25" s="33">
        <v>51.06</v>
      </c>
      <c r="Z25" s="33">
        <v>21.26</v>
      </c>
      <c r="AA25" s="33">
        <v>21.26</v>
      </c>
      <c r="AB25" s="33">
        <v>21.26</v>
      </c>
      <c r="AC25" s="33">
        <v>21.26</v>
      </c>
      <c r="AD25" s="33">
        <v>21.26</v>
      </c>
      <c r="AE25" s="33">
        <v>21.26</v>
      </c>
      <c r="AF25" s="33">
        <v>31.89</v>
      </c>
      <c r="AG25" s="33">
        <v>31.89</v>
      </c>
      <c r="AH25" s="33">
        <v>31.89</v>
      </c>
      <c r="AI25" s="33">
        <v>31.89</v>
      </c>
      <c r="AJ25" s="33">
        <v>31.89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2505</v>
      </c>
      <c r="D26" s="50" t="s">
        <v>42</v>
      </c>
      <c r="E26" s="32" t="s">
        <v>3</v>
      </c>
      <c r="F26" s="32" t="s">
        <v>2518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>
        <f>40.74+0.00</f>
        <v>40.74</v>
      </c>
      <c r="V26" s="33">
        <v>57.6</v>
      </c>
      <c r="W26" s="33">
        <v>32.84</v>
      </c>
      <c r="X26" s="33">
        <f>21.26+4.25+0.00</f>
        <v>25.51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2505</v>
      </c>
      <c r="D27" s="50" t="s">
        <v>42</v>
      </c>
      <c r="E27" s="32" t="s">
        <v>3</v>
      </c>
      <c r="F27" s="32" t="s">
        <v>2519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>
        <f>45.68+0.00</f>
        <v>45.68</v>
      </c>
      <c r="V27" s="33">
        <v>32.38</v>
      </c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3">
        <v>0</v>
      </c>
      <c r="AI27" s="32"/>
      <c r="AJ27" s="32"/>
      <c r="AK27" s="32"/>
      <c r="AL27" s="34">
        <f>SUM(G27:AK27)</f>
      </c>
      <c r="AM27" s="35"/>
    </row>
    <row r="28" ht="13.5" customHeight="1" spans="2:39" x14ac:dyDescent="0.25">
      <c r="B28" s="51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40"/>
    </row>
    <row r="29" ht="13.5" customHeight="1" spans="2:39" x14ac:dyDescent="0.25">
      <c r="B29" s="20"/>
      <c r="C29" s="21"/>
      <c r="D29" s="21" t="s">
        <v>85</v>
      </c>
      <c r="E29" s="21"/>
      <c r="F29" s="21"/>
      <c r="G29" s="22">
        <f>SUM(G14:G27)</f>
      </c>
      <c r="H29" s="22">
        <f>SUM(H14:H27)</f>
      </c>
      <c r="I29" s="22">
        <f>SUM(I14:I27)</f>
      </c>
      <c r="J29" s="22">
        <f>SUM(J14:J27)</f>
      </c>
      <c r="K29" s="22">
        <f>SUM(K14:K27)</f>
      </c>
      <c r="L29" s="22">
        <f>SUM(L14:L27)</f>
      </c>
      <c r="M29" s="22">
        <f>SUM(M14:M27)</f>
      </c>
      <c r="N29" s="22">
        <f>SUM(N14:N27)</f>
      </c>
      <c r="O29" s="22">
        <f>SUM(O14:O27)</f>
      </c>
      <c r="P29" s="22">
        <f>SUM(P14:P27)</f>
      </c>
      <c r="Q29" s="22">
        <f>SUM(Q14:Q27)</f>
      </c>
      <c r="R29" s="22">
        <f>SUM(R14:R27)</f>
      </c>
      <c r="S29" s="22">
        <f>SUM(S14:S27)</f>
      </c>
      <c r="T29" s="22">
        <f>SUM(T14:T27)</f>
      </c>
      <c r="U29" s="22">
        <f>SUM(U14:U27)</f>
      </c>
      <c r="V29" s="22">
        <f>SUM(V14:V27)</f>
      </c>
      <c r="W29" s="22">
        <f>SUM(W14:W27)</f>
      </c>
      <c r="X29" s="22">
        <f>SUM(X14:X27)</f>
      </c>
      <c r="Y29" s="22">
        <f>SUM(Y14:Y27)</f>
      </c>
      <c r="Z29" s="22">
        <f>SUM(Z14:Z27)</f>
      </c>
      <c r="AA29" s="22">
        <f>SUM(AA14:AA27)</f>
      </c>
      <c r="AB29" s="22">
        <f>SUM(AB14:AB27)</f>
      </c>
      <c r="AC29" s="22">
        <f>SUM(AC14:AC27)</f>
      </c>
      <c r="AD29" s="22">
        <f>SUM(AD14:AD27)</f>
      </c>
      <c r="AE29" s="22">
        <f>SUM(AE14:AE27)</f>
      </c>
      <c r="AF29" s="22">
        <f>SUM(AF14:AF27)</f>
      </c>
      <c r="AG29" s="22">
        <f>SUM(AG14:AG27)</f>
      </c>
      <c r="AH29" s="22">
        <f>SUM(AH14:AH27)</f>
      </c>
      <c r="AI29" s="22">
        <f>SUM(AI14:AI27)</f>
      </c>
      <c r="AJ29" s="22">
        <f>SUM(AJ14:AJ27)</f>
      </c>
      <c r="AK29" s="22">
        <f>SUM(AK14:AK27)</f>
      </c>
      <c r="AL29" s="22">
        <f>SUM(AL14:AL27)</f>
      </c>
      <c r="AM29" s="23"/>
    </row>
    <row r="31" ht="13.5" customHeight="1" spans="2:39" x14ac:dyDescent="0.25">
      <c r="B31" s="46"/>
      <c r="C31" s="28"/>
      <c r="D31" s="47" t="s">
        <v>43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9"/>
    </row>
    <row r="32" ht="13.5" customHeight="1" spans="2:39" x14ac:dyDescent="0.25">
      <c r="B32" s="48" t="s">
        <v>3</v>
      </c>
      <c r="C32" s="49" t="s">
        <v>2505</v>
      </c>
      <c r="D32" s="50" t="s">
        <v>43</v>
      </c>
      <c r="E32" s="32" t="s">
        <v>3</v>
      </c>
      <c r="F32" s="32" t="s">
        <v>2520</v>
      </c>
      <c r="G32" s="32"/>
      <c r="H32" s="32"/>
      <c r="I32" s="32"/>
      <c r="J32" s="33">
        <v>2407.06</v>
      </c>
      <c r="K32" s="33">
        <v>2226.93</v>
      </c>
      <c r="L32" s="33">
        <v>2194.68</v>
      </c>
      <c r="M32" s="33">
        <v>2143.52</v>
      </c>
      <c r="N32" s="33">
        <v>2287.42</v>
      </c>
      <c r="O32" s="33">
        <v>2156.31</v>
      </c>
      <c r="P32" s="33">
        <v>1706.4</v>
      </c>
      <c r="Q32" s="33">
        <v>2811.16</v>
      </c>
      <c r="R32" s="33">
        <v>3181.43</v>
      </c>
      <c r="S32" s="33">
        <v>3284.66</v>
      </c>
      <c r="T32" s="33">
        <v>3244.99</v>
      </c>
      <c r="U32" s="33">
        <v>2368.55</v>
      </c>
      <c r="V32" s="33">
        <v>2464.19</v>
      </c>
      <c r="W32" s="33">
        <v>2470.75</v>
      </c>
      <c r="X32" s="33">
        <v>2804</v>
      </c>
      <c r="Y32" s="33">
        <v>2555.28</v>
      </c>
      <c r="Z32" s="33">
        <v>2471.54</v>
      </c>
      <c r="AA32" s="33">
        <v>2204.93</v>
      </c>
      <c r="AB32" s="33">
        <v>2288.67</v>
      </c>
      <c r="AC32" s="33">
        <v>2247.16</v>
      </c>
      <c r="AD32" s="33">
        <v>2180.22</v>
      </c>
      <c r="AE32" s="33">
        <v>2517.71</v>
      </c>
      <c r="AF32" s="33">
        <v>2377.07</v>
      </c>
      <c r="AG32" s="33">
        <v>2822.97</v>
      </c>
      <c r="AH32" s="33">
        <v>3257.82</v>
      </c>
      <c r="AI32" s="33">
        <v>3733.72</v>
      </c>
      <c r="AJ32" s="33">
        <v>2961.88</v>
      </c>
      <c r="AK32" s="32"/>
      <c r="AL32" s="34">
        <f>SUM(G32:AK32)</f>
      </c>
      <c r="AM32" s="35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89</v>
      </c>
      <c r="E34" s="21"/>
      <c r="F34" s="21"/>
      <c r="G34" s="22">
        <f>SUM(G32:G32)</f>
      </c>
      <c r="H34" s="22">
        <f>SUM(H32:H32)</f>
      </c>
      <c r="I34" s="22">
        <f>SUM(I32:I32)</f>
      </c>
      <c r="J34" s="22">
        <f>SUM(J32:J32)</f>
      </c>
      <c r="K34" s="22">
        <f>SUM(K32:K32)</f>
      </c>
      <c r="L34" s="22">
        <f>SUM(L32:L32)</f>
      </c>
      <c r="M34" s="22">
        <f>SUM(M32:M32)</f>
      </c>
      <c r="N34" s="22">
        <f>SUM(N32:N32)</f>
      </c>
      <c r="O34" s="22">
        <f>SUM(O32:O32)</f>
      </c>
      <c r="P34" s="22">
        <f>SUM(P32:P32)</f>
      </c>
      <c r="Q34" s="22">
        <f>SUM(Q32:Q32)</f>
      </c>
      <c r="R34" s="22">
        <f>SUM(R32:R32)</f>
      </c>
      <c r="S34" s="22">
        <f>SUM(S32:S32)</f>
      </c>
      <c r="T34" s="22">
        <f>SUM(T32:T32)</f>
      </c>
      <c r="U34" s="22">
        <f>SUM(U32:U32)</f>
      </c>
      <c r="V34" s="22">
        <f>SUM(V32:V32)</f>
      </c>
      <c r="W34" s="22">
        <f>SUM(W32:W32)</f>
      </c>
      <c r="X34" s="22">
        <f>SUM(X32:X32)</f>
      </c>
      <c r="Y34" s="22">
        <f>SUM(Y32:Y32)</f>
      </c>
      <c r="Z34" s="22">
        <f>SUM(Z32:Z32)</f>
      </c>
      <c r="AA34" s="22">
        <f>SUM(AA32:AA32)</f>
      </c>
      <c r="AB34" s="22">
        <f>SUM(AB32:AB32)</f>
      </c>
      <c r="AC34" s="22">
        <f>SUM(AC32:AC32)</f>
      </c>
      <c r="AD34" s="22">
        <f>SUM(AD32:AD32)</f>
      </c>
      <c r="AE34" s="22">
        <f>SUM(AE32:AE32)</f>
      </c>
      <c r="AF34" s="22">
        <f>SUM(AF32:AF32)</f>
      </c>
      <c r="AG34" s="22">
        <f>SUM(AG32:AG32)</f>
      </c>
      <c r="AH34" s="22">
        <f>SUM(AH32:AH32)</f>
      </c>
      <c r="AI34" s="22">
        <f>SUM(AI32:AI32)</f>
      </c>
      <c r="AJ34" s="22">
        <f>SUM(AJ32:AJ32)</f>
      </c>
      <c r="AK34" s="22">
        <f>SUM(AK32:AK32)</f>
      </c>
      <c r="AL34" s="22">
        <f>SUM(AL32:AL32)</f>
      </c>
      <c r="AM34" s="23"/>
    </row>
    <row r="36" ht="13.5" customHeight="1" spans="2:39" x14ac:dyDescent="0.25">
      <c r="B36" s="46"/>
      <c r="C36" s="28"/>
      <c r="D36" s="47" t="s">
        <v>44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9"/>
    </row>
    <row r="37" ht="13.5" customHeight="1" spans="2:39" x14ac:dyDescent="0.25">
      <c r="B37" s="5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ht="13.5" customHeight="1" spans="2:39" x14ac:dyDescent="0.25">
      <c r="B38" s="20"/>
      <c r="C38" s="21"/>
      <c r="D38" s="21" t="s">
        <v>90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3"/>
    </row>
    <row r="41" ht="12.75" customHeight="1" spans="2:39" x14ac:dyDescent="0.25">
      <c r="B41" s="11" t="s">
        <v>40</v>
      </c>
      <c r="C41" s="12"/>
      <c r="D41" s="12"/>
      <c r="E41" s="12"/>
      <c r="F41" s="12"/>
      <c r="G41" s="52" t="s">
        <v>7</v>
      </c>
      <c r="H41" s="52" t="s">
        <v>8</v>
      </c>
      <c r="I41" s="52" t="s">
        <v>9</v>
      </c>
      <c r="J41" s="52" t="s">
        <v>10</v>
      </c>
      <c r="K41" s="52" t="s">
        <v>11</v>
      </c>
      <c r="L41" s="52" t="s">
        <v>12</v>
      </c>
      <c r="M41" s="52" t="s">
        <v>13</v>
      </c>
      <c r="N41" s="52" t="s">
        <v>14</v>
      </c>
      <c r="O41" s="52" t="s">
        <v>15</v>
      </c>
      <c r="P41" s="52" t="s">
        <v>16</v>
      </c>
      <c r="Q41" s="52" t="s">
        <v>17</v>
      </c>
      <c r="R41" s="52" t="s">
        <v>18</v>
      </c>
      <c r="S41" s="52" t="s">
        <v>19</v>
      </c>
      <c r="T41" s="52" t="s">
        <v>20</v>
      </c>
      <c r="U41" s="52" t="s">
        <v>21</v>
      </c>
      <c r="V41" s="52" t="s">
        <v>22</v>
      </c>
      <c r="W41" s="52" t="s">
        <v>23</v>
      </c>
      <c r="X41" s="52" t="s">
        <v>24</v>
      </c>
      <c r="Y41" s="52" t="s">
        <v>25</v>
      </c>
      <c r="Z41" s="52" t="s">
        <v>26</v>
      </c>
      <c r="AA41" s="52" t="s">
        <v>27</v>
      </c>
      <c r="AB41" s="52" t="s">
        <v>28</v>
      </c>
      <c r="AC41" s="52" t="s">
        <v>29</v>
      </c>
      <c r="AD41" s="52" t="s">
        <v>30</v>
      </c>
      <c r="AE41" s="52" t="s">
        <v>31</v>
      </c>
      <c r="AF41" s="52" t="s">
        <v>32</v>
      </c>
      <c r="AG41" s="52" t="s">
        <v>33</v>
      </c>
      <c r="AH41" s="52" t="s">
        <v>34</v>
      </c>
      <c r="AI41" s="52" t="s">
        <v>35</v>
      </c>
      <c r="AJ41" s="52" t="s">
        <v>36</v>
      </c>
      <c r="AK41" s="52" t="s">
        <v>37</v>
      </c>
      <c r="AL41" s="52" t="s">
        <v>38</v>
      </c>
      <c r="AM41" s="15"/>
    </row>
    <row r="42" ht="12.75" customHeight="1" spans="2:39" x14ac:dyDescent="0.25">
      <c r="B42" s="16"/>
      <c r="C42" s="17"/>
      <c r="D42" s="17" t="s">
        <v>41</v>
      </c>
      <c r="E42" s="17"/>
      <c r="F42" s="17"/>
      <c r="G42" s="18">
        <f>G11</f>
      </c>
      <c r="H42" s="18">
        <f>H11</f>
      </c>
      <c r="I42" s="18">
        <f>I11</f>
      </c>
      <c r="J42" s="18">
        <f>J11</f>
      </c>
      <c r="K42" s="18">
        <f>K11</f>
      </c>
      <c r="L42" s="18">
        <f>L11</f>
      </c>
      <c r="M42" s="18">
        <f>M11</f>
      </c>
      <c r="N42" s="18">
        <f>N11</f>
      </c>
      <c r="O42" s="18">
        <f>O11</f>
      </c>
      <c r="P42" s="18">
        <f>P11</f>
      </c>
      <c r="Q42" s="18">
        <f>Q11</f>
      </c>
      <c r="R42" s="18">
        <f>R11</f>
      </c>
      <c r="S42" s="18">
        <f>S11</f>
      </c>
      <c r="T42" s="18">
        <f>T11</f>
      </c>
      <c r="U42" s="18">
        <f>U11</f>
      </c>
      <c r="V42" s="18">
        <f>V11</f>
      </c>
      <c r="W42" s="18">
        <f>W11</f>
      </c>
      <c r="X42" s="18">
        <f>X11</f>
      </c>
      <c r="Y42" s="18">
        <f>Y11</f>
      </c>
      <c r="Z42" s="18">
        <f>Z11</f>
      </c>
      <c r="AA42" s="18">
        <f>AA11</f>
      </c>
      <c r="AB42" s="18">
        <f>AB11</f>
      </c>
      <c r="AC42" s="18">
        <f>AC11</f>
      </c>
      <c r="AD42" s="18">
        <f>AD11</f>
      </c>
      <c r="AE42" s="18">
        <f>AE11</f>
      </c>
      <c r="AF42" s="18">
        <f>AF11</f>
      </c>
      <c r="AG42" s="18">
        <f>AG11</f>
      </c>
      <c r="AH42" s="18">
        <f>AH11</f>
      </c>
      <c r="AI42" s="18">
        <f>AI11</f>
      </c>
      <c r="AJ42" s="18">
        <f>AJ11</f>
      </c>
      <c r="AK42" s="18">
        <f>AK11</f>
      </c>
      <c r="AL42" s="18">
        <f>AL11</f>
      </c>
      <c r="AM42" s="19"/>
    </row>
    <row r="43" ht="12.75" customHeight="1" spans="2:39" x14ac:dyDescent="0.25">
      <c r="B43" s="16"/>
      <c r="C43" s="17"/>
      <c r="D43" s="17" t="s">
        <v>42</v>
      </c>
      <c r="E43" s="17"/>
      <c r="F43" s="17"/>
      <c r="G43" s="18">
        <f>G29</f>
      </c>
      <c r="H43" s="18">
        <f>H29</f>
      </c>
      <c r="I43" s="18">
        <f>I29</f>
      </c>
      <c r="J43" s="18">
        <f>J29</f>
      </c>
      <c r="K43" s="18">
        <f>K29</f>
      </c>
      <c r="L43" s="18">
        <f>L29</f>
      </c>
      <c r="M43" s="18">
        <f>M29</f>
      </c>
      <c r="N43" s="18">
        <f>N29</f>
      </c>
      <c r="O43" s="18">
        <f>O29</f>
      </c>
      <c r="P43" s="18">
        <f>P29</f>
      </c>
      <c r="Q43" s="18">
        <f>Q29</f>
      </c>
      <c r="R43" s="18">
        <f>R29</f>
      </c>
      <c r="S43" s="18">
        <f>S29</f>
      </c>
      <c r="T43" s="18">
        <f>T29</f>
      </c>
      <c r="U43" s="18">
        <f>U29</f>
      </c>
      <c r="V43" s="18">
        <f>V29</f>
      </c>
      <c r="W43" s="18">
        <f>W29</f>
      </c>
      <c r="X43" s="18">
        <f>X29</f>
      </c>
      <c r="Y43" s="18">
        <f>Y29</f>
      </c>
      <c r="Z43" s="18">
        <f>Z29</f>
      </c>
      <c r="AA43" s="18">
        <f>AA29</f>
      </c>
      <c r="AB43" s="18">
        <f>AB29</f>
      </c>
      <c r="AC43" s="18">
        <f>AC29</f>
      </c>
      <c r="AD43" s="18">
        <f>AD29</f>
      </c>
      <c r="AE43" s="18">
        <f>AE29</f>
      </c>
      <c r="AF43" s="18">
        <f>AF29</f>
      </c>
      <c r="AG43" s="18">
        <f>AG29</f>
      </c>
      <c r="AH43" s="18">
        <f>AH29</f>
      </c>
      <c r="AI43" s="18">
        <f>AI29</f>
      </c>
      <c r="AJ43" s="18">
        <f>AJ29</f>
      </c>
      <c r="AK43" s="18">
        <f>AK29</f>
      </c>
      <c r="AL43" s="18">
        <f>AL29</f>
      </c>
      <c r="AM43" s="19"/>
    </row>
    <row r="44" ht="12.75" customHeight="1" spans="2:39" x14ac:dyDescent="0.25">
      <c r="B44" s="16"/>
      <c r="C44" s="17"/>
      <c r="D44" s="17" t="s">
        <v>43</v>
      </c>
      <c r="E44" s="17"/>
      <c r="F44" s="17"/>
      <c r="G44" s="18">
        <f>G34</f>
      </c>
      <c r="H44" s="18">
        <f>H34</f>
      </c>
      <c r="I44" s="18">
        <f>I34</f>
      </c>
      <c r="J44" s="18">
        <f>J34</f>
      </c>
      <c r="K44" s="18">
        <f>K34</f>
      </c>
      <c r="L44" s="18">
        <f>L34</f>
      </c>
      <c r="M44" s="18">
        <f>M34</f>
      </c>
      <c r="N44" s="18">
        <f>N34</f>
      </c>
      <c r="O44" s="18">
        <f>O34</f>
      </c>
      <c r="P44" s="18">
        <f>P34</f>
      </c>
      <c r="Q44" s="18">
        <f>Q34</f>
      </c>
      <c r="R44" s="18">
        <f>R34</f>
      </c>
      <c r="S44" s="18">
        <f>S34</f>
      </c>
      <c r="T44" s="18">
        <f>T34</f>
      </c>
      <c r="U44" s="18">
        <f>U34</f>
      </c>
      <c r="V44" s="18">
        <f>V34</f>
      </c>
      <c r="W44" s="18">
        <f>W34</f>
      </c>
      <c r="X44" s="18">
        <f>X34</f>
      </c>
      <c r="Y44" s="18">
        <f>Y34</f>
      </c>
      <c r="Z44" s="18">
        <f>Z34</f>
      </c>
      <c r="AA44" s="18">
        <f>AA34</f>
      </c>
      <c r="AB44" s="18">
        <f>AB34</f>
      </c>
      <c r="AC44" s="18">
        <f>AC34</f>
      </c>
      <c r="AD44" s="18">
        <f>AD34</f>
      </c>
      <c r="AE44" s="18">
        <f>AE34</f>
      </c>
      <c r="AF44" s="18">
        <f>AF34</f>
      </c>
      <c r="AG44" s="18">
        <f>AG34</f>
      </c>
      <c r="AH44" s="18">
        <f>AH34</f>
      </c>
      <c r="AI44" s="18">
        <f>AI34</f>
      </c>
      <c r="AJ44" s="18">
        <f>AJ34</f>
      </c>
      <c r="AK44" s="18">
        <f>AK34</f>
      </c>
      <c r="AL44" s="18">
        <f>AL34</f>
      </c>
      <c r="AM44" s="19"/>
    </row>
    <row r="45" ht="12.75" customHeight="1" spans="2:39" x14ac:dyDescent="0.25">
      <c r="B45" s="16"/>
      <c r="C45" s="17"/>
      <c r="D45" s="17" t="s">
        <v>44</v>
      </c>
      <c r="E45" s="17"/>
      <c r="F45" s="17"/>
      <c r="G45" s="18">
        <f>G38</f>
      </c>
      <c r="H45" s="18">
        <f>H38</f>
      </c>
      <c r="I45" s="18">
        <f>I38</f>
      </c>
      <c r="J45" s="18">
        <f>J38</f>
      </c>
      <c r="K45" s="18">
        <f>K38</f>
      </c>
      <c r="L45" s="18">
        <f>L38</f>
      </c>
      <c r="M45" s="18">
        <f>M38</f>
      </c>
      <c r="N45" s="18">
        <f>N38</f>
      </c>
      <c r="O45" s="18">
        <f>O38</f>
      </c>
      <c r="P45" s="18">
        <f>P38</f>
      </c>
      <c r="Q45" s="18">
        <f>Q38</f>
      </c>
      <c r="R45" s="18">
        <f>R38</f>
      </c>
      <c r="S45" s="18">
        <f>S38</f>
      </c>
      <c r="T45" s="18">
        <f>T38</f>
      </c>
      <c r="U45" s="18">
        <f>U38</f>
      </c>
      <c r="V45" s="18">
        <f>V38</f>
      </c>
      <c r="W45" s="18">
        <f>W38</f>
      </c>
      <c r="X45" s="18">
        <f>X38</f>
      </c>
      <c r="Y45" s="18">
        <f>Y38</f>
      </c>
      <c r="Z45" s="18">
        <f>Z38</f>
      </c>
      <c r="AA45" s="18">
        <f>AA38</f>
      </c>
      <c r="AB45" s="18">
        <f>AB38</f>
      </c>
      <c r="AC45" s="18">
        <f>AC38</f>
      </c>
      <c r="AD45" s="18">
        <f>AD38</f>
      </c>
      <c r="AE45" s="18">
        <f>AE38</f>
      </c>
      <c r="AF45" s="18">
        <f>AF38</f>
      </c>
      <c r="AG45" s="18">
        <f>AG38</f>
      </c>
      <c r="AH45" s="18">
        <f>AH38</f>
      </c>
      <c r="AI45" s="18">
        <f>AI38</f>
      </c>
      <c r="AJ45" s="18">
        <f>AJ38</f>
      </c>
      <c r="AK45" s="18">
        <f>AK38</f>
      </c>
      <c r="AL45" s="18">
        <f>AL38</f>
      </c>
      <c r="AM45" s="19"/>
    </row>
    <row r="46" ht="12.75" customHeight="1" spans="2:39" x14ac:dyDescent="0.25">
      <c r="B46" s="20"/>
      <c r="C46" s="21"/>
      <c r="D46" s="21" t="s">
        <v>45</v>
      </c>
      <c r="E46" s="21"/>
      <c r="F46" s="21"/>
      <c r="G46" s="22">
        <f>G42+G43+G44+G45</f>
      </c>
      <c r="H46" s="22">
        <f>H42+H43+H44+H45</f>
      </c>
      <c r="I46" s="22">
        <f>I42+I43+I44+I45</f>
      </c>
      <c r="J46" s="22">
        <f>J42+J43+J44+J45</f>
      </c>
      <c r="K46" s="22">
        <f>K42+K43+K44+K45</f>
      </c>
      <c r="L46" s="22">
        <f>L42+L43+L44+L45</f>
      </c>
      <c r="M46" s="22">
        <f>M42+M43+M44+M45</f>
      </c>
      <c r="N46" s="22">
        <f>N42+N43+N44+N45</f>
      </c>
      <c r="O46" s="22">
        <f>O42+O43+O44+O45</f>
      </c>
      <c r="P46" s="22">
        <f>P42+P43+P44+P45</f>
      </c>
      <c r="Q46" s="22">
        <f>Q42+Q43+Q44+Q45</f>
      </c>
      <c r="R46" s="22">
        <f>R42+R43+R44+R45</f>
      </c>
      <c r="S46" s="22">
        <f>S42+S43+S44+S45</f>
      </c>
      <c r="T46" s="22">
        <f>T42+T43+T44+T45</f>
      </c>
      <c r="U46" s="22">
        <f>U42+U43+U44+U45</f>
      </c>
      <c r="V46" s="22">
        <f>V42+V43+V44+V45</f>
      </c>
      <c r="W46" s="22">
        <f>W42+W43+W44+W45</f>
      </c>
      <c r="X46" s="22">
        <f>X42+X43+X44+X45</f>
      </c>
      <c r="Y46" s="22">
        <f>Y42+Y43+Y44+Y45</f>
      </c>
      <c r="Z46" s="22">
        <f>Z42+Z43+Z44+Z45</f>
      </c>
      <c r="AA46" s="22">
        <f>AA42+AA43+AA44+AA45</f>
      </c>
      <c r="AB46" s="22">
        <f>AB42+AB43+AB44+AB45</f>
      </c>
      <c r="AC46" s="22">
        <f>AC42+AC43+AC44+AC45</f>
      </c>
      <c r="AD46" s="22">
        <f>AD42+AD43+AD44+AD45</f>
      </c>
      <c r="AE46" s="22">
        <f>AE42+AE43+AE44+AE45</f>
      </c>
      <c r="AF46" s="22">
        <f>AF42+AF43+AF44+AF45</f>
      </c>
      <c r="AG46" s="22">
        <f>AG42+AG43+AG44+AG45</f>
      </c>
      <c r="AH46" s="22">
        <f>AH42+AH43+AH44+AH45</f>
      </c>
      <c r="AI46" s="22">
        <f>AI42+AI43+AI44+AI45</f>
      </c>
      <c r="AJ46" s="22">
        <f>AJ42+AJ43+AJ44+AJ45</f>
      </c>
      <c r="AK46" s="22">
        <f>AK42+AK43+AK44+AK45</f>
      </c>
      <c r="AL46" s="22">
        <f>AL42+AL43+AL44+AL45</f>
      </c>
      <c r="AM46" s="23"/>
    </row>
    <row r="48" ht="12.75" customHeight="1" spans="2:39" x14ac:dyDescent="0.25">
      <c r="B48" s="11" t="s">
        <v>46</v>
      </c>
      <c r="C48" s="12"/>
      <c r="D48" s="12"/>
      <c r="E48" s="12"/>
      <c r="F48" s="12"/>
      <c r="G48" s="52" t="s">
        <v>7</v>
      </c>
      <c r="H48" s="52" t="s">
        <v>8</v>
      </c>
      <c r="I48" s="52" t="s">
        <v>9</v>
      </c>
      <c r="J48" s="52" t="s">
        <v>10</v>
      </c>
      <c r="K48" s="52" t="s">
        <v>11</v>
      </c>
      <c r="L48" s="52" t="s">
        <v>12</v>
      </c>
      <c r="M48" s="52" t="s">
        <v>13</v>
      </c>
      <c r="N48" s="52" t="s">
        <v>14</v>
      </c>
      <c r="O48" s="52" t="s">
        <v>15</v>
      </c>
      <c r="P48" s="52" t="s">
        <v>16</v>
      </c>
      <c r="Q48" s="52" t="s">
        <v>17</v>
      </c>
      <c r="R48" s="52" t="s">
        <v>18</v>
      </c>
      <c r="S48" s="52" t="s">
        <v>19</v>
      </c>
      <c r="T48" s="52" t="s">
        <v>20</v>
      </c>
      <c r="U48" s="52" t="s">
        <v>21</v>
      </c>
      <c r="V48" s="52" t="s">
        <v>22</v>
      </c>
      <c r="W48" s="52" t="s">
        <v>23</v>
      </c>
      <c r="X48" s="52" t="s">
        <v>24</v>
      </c>
      <c r="Y48" s="52" t="s">
        <v>25</v>
      </c>
      <c r="Z48" s="52" t="s">
        <v>26</v>
      </c>
      <c r="AA48" s="52" t="s">
        <v>27</v>
      </c>
      <c r="AB48" s="52" t="s">
        <v>28</v>
      </c>
      <c r="AC48" s="52" t="s">
        <v>29</v>
      </c>
      <c r="AD48" s="52" t="s">
        <v>30</v>
      </c>
      <c r="AE48" s="52" t="s">
        <v>31</v>
      </c>
      <c r="AF48" s="52" t="s">
        <v>32</v>
      </c>
      <c r="AG48" s="52" t="s">
        <v>33</v>
      </c>
      <c r="AH48" s="52" t="s">
        <v>34</v>
      </c>
      <c r="AI48" s="52" t="s">
        <v>35</v>
      </c>
      <c r="AJ48" s="52" t="s">
        <v>36</v>
      </c>
      <c r="AK48" s="52" t="s">
        <v>37</v>
      </c>
      <c r="AL48" s="52" t="s">
        <v>38</v>
      </c>
      <c r="AM48" s="15"/>
    </row>
    <row r="49" ht="12.75" customHeight="1" spans="2:39" x14ac:dyDescent="0.25">
      <c r="B49" s="16"/>
      <c r="C49" s="17"/>
      <c r="D49" s="17" t="s">
        <v>41</v>
      </c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9"/>
    </row>
    <row r="50" ht="12.75" customHeight="1" spans="2:39" x14ac:dyDescent="0.25">
      <c r="B50" s="16"/>
      <c r="C50" s="17"/>
      <c r="D50" s="17" t="s">
        <v>42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16"/>
      <c r="C51" s="17"/>
      <c r="D51" s="17" t="s">
        <v>43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16"/>
      <c r="C52" s="17"/>
      <c r="D52" s="17" t="s">
        <v>44</v>
      </c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9"/>
    </row>
    <row r="53" ht="12.75" customHeight="1" spans="2:39" x14ac:dyDescent="0.25">
      <c r="B53" s="20"/>
      <c r="C53" s="21"/>
      <c r="D53" s="21" t="s">
        <v>45</v>
      </c>
      <c r="E53" s="21"/>
      <c r="F53" s="21"/>
      <c r="G53" s="22">
        <f>G49+G50+G51+G52</f>
      </c>
      <c r="H53" s="22">
        <f>H49+H50+H51+H52</f>
      </c>
      <c r="I53" s="22">
        <f>I49+I50+I51+I52</f>
      </c>
      <c r="J53" s="22">
        <f>J49+J50+J51+J52</f>
      </c>
      <c r="K53" s="22">
        <f>K49+K50+K51+K52</f>
      </c>
      <c r="L53" s="22">
        <f>L49+L50+L51+L52</f>
      </c>
      <c r="M53" s="22">
        <f>M49+M50+M51+M52</f>
      </c>
      <c r="N53" s="22">
        <f>N49+N50+N51+N52</f>
      </c>
      <c r="O53" s="22">
        <f>O49+O50+O51+O52</f>
      </c>
      <c r="P53" s="22">
        <f>P49+P50+P51+P52</f>
      </c>
      <c r="Q53" s="22">
        <f>Q49+Q50+Q51+Q52</f>
      </c>
      <c r="R53" s="22">
        <f>R49+R50+R51+R52</f>
      </c>
      <c r="S53" s="22">
        <f>S49+S50+S51+S52</f>
      </c>
      <c r="T53" s="22">
        <f>T49+T50+T51+T52</f>
      </c>
      <c r="U53" s="22">
        <f>U49+U50+U51+U52</f>
      </c>
      <c r="V53" s="22">
        <f>V49+V50+V51+V52</f>
      </c>
      <c r="W53" s="22">
        <f>W49+W50+W51+W52</f>
      </c>
      <c r="X53" s="22">
        <f>X49+X50+X51+X52</f>
      </c>
      <c r="Y53" s="22">
        <f>Y49+Y50+Y51+Y52</f>
      </c>
      <c r="Z53" s="22">
        <f>Z49+Z50+Z51+Z52</f>
      </c>
      <c r="AA53" s="22">
        <f>AA49+AA50+AA51+AA52</f>
      </c>
      <c r="AB53" s="22">
        <f>AB49+AB50+AB51+AB52</f>
      </c>
      <c r="AC53" s="22">
        <f>AC49+AC50+AC51+AC52</f>
      </c>
      <c r="AD53" s="22">
        <f>AD49+AD50+AD51+AD52</f>
      </c>
      <c r="AE53" s="22">
        <f>AE49+AE50+AE51+AE52</f>
      </c>
      <c r="AF53" s="22">
        <f>AF49+AF50+AF51+AF52</f>
      </c>
      <c r="AG53" s="22">
        <f>AG49+AG50+AG51+AG52</f>
      </c>
      <c r="AH53" s="22">
        <f>AH49+AH50+AH51+AH52</f>
      </c>
      <c r="AI53" s="22">
        <f>AI49+AI50+AI51+AI52</f>
      </c>
      <c r="AJ53" s="22">
        <f>AJ49+AJ50+AJ51+AJ52</f>
      </c>
      <c r="AK53" s="22">
        <f>AK49+AK50+AK51+AK52</f>
      </c>
      <c r="AL53" s="22">
        <f>AL49+AL50+AL51+AL52</f>
      </c>
      <c r="AM53" s="23"/>
    </row>
    <row r="55" ht="12.75" customHeight="1" spans="2:39" x14ac:dyDescent="0.25">
      <c r="B55" s="11" t="s">
        <v>47</v>
      </c>
      <c r="C55" s="12"/>
      <c r="D55" s="12"/>
      <c r="E55" s="12"/>
      <c r="F55" s="12"/>
      <c r="G55" s="52" t="s">
        <v>7</v>
      </c>
      <c r="H55" s="52" t="s">
        <v>8</v>
      </c>
      <c r="I55" s="52" t="s">
        <v>9</v>
      </c>
      <c r="J55" s="52" t="s">
        <v>10</v>
      </c>
      <c r="K55" s="52" t="s">
        <v>11</v>
      </c>
      <c r="L55" s="52" t="s">
        <v>12</v>
      </c>
      <c r="M55" s="52" t="s">
        <v>13</v>
      </c>
      <c r="N55" s="52" t="s">
        <v>14</v>
      </c>
      <c r="O55" s="52" t="s">
        <v>15</v>
      </c>
      <c r="P55" s="52" t="s">
        <v>16</v>
      </c>
      <c r="Q55" s="52" t="s">
        <v>17</v>
      </c>
      <c r="R55" s="52" t="s">
        <v>18</v>
      </c>
      <c r="S55" s="52" t="s">
        <v>19</v>
      </c>
      <c r="T55" s="52" t="s">
        <v>20</v>
      </c>
      <c r="U55" s="52" t="s">
        <v>21</v>
      </c>
      <c r="V55" s="52" t="s">
        <v>22</v>
      </c>
      <c r="W55" s="52" t="s">
        <v>23</v>
      </c>
      <c r="X55" s="52" t="s">
        <v>24</v>
      </c>
      <c r="Y55" s="52" t="s">
        <v>25</v>
      </c>
      <c r="Z55" s="52" t="s">
        <v>26</v>
      </c>
      <c r="AA55" s="52" t="s">
        <v>27</v>
      </c>
      <c r="AB55" s="52" t="s">
        <v>28</v>
      </c>
      <c r="AC55" s="52" t="s">
        <v>29</v>
      </c>
      <c r="AD55" s="52" t="s">
        <v>30</v>
      </c>
      <c r="AE55" s="52" t="s">
        <v>31</v>
      </c>
      <c r="AF55" s="52" t="s">
        <v>32</v>
      </c>
      <c r="AG55" s="52" t="s">
        <v>33</v>
      </c>
      <c r="AH55" s="52" t="s">
        <v>34</v>
      </c>
      <c r="AI55" s="52" t="s">
        <v>35</v>
      </c>
      <c r="AJ55" s="52" t="s">
        <v>36</v>
      </c>
      <c r="AK55" s="52" t="s">
        <v>37</v>
      </c>
      <c r="AL55" s="52" t="s">
        <v>38</v>
      </c>
      <c r="AM55" s="15"/>
    </row>
    <row r="56" ht="12.75" customHeight="1" spans="2:39" x14ac:dyDescent="0.25">
      <c r="B56" s="16"/>
      <c r="C56" s="17"/>
      <c r="D56" s="17" t="s">
        <v>41</v>
      </c>
      <c r="E56" s="17"/>
      <c r="F56" s="17"/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24">
        <f>AK49-AK42</f>
      </c>
      <c r="AL56" s="24">
        <f>AL49-AL42</f>
      </c>
      <c r="AM56" s="19"/>
    </row>
    <row r="57" ht="12.75" customHeight="1" spans="2:39" x14ac:dyDescent="0.25">
      <c r="B57" s="16"/>
      <c r="C57" s="17"/>
      <c r="D57" s="17" t="s">
        <v>42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16"/>
      <c r="C58" s="17"/>
      <c r="D58" s="17" t="s">
        <v>43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16"/>
      <c r="C59" s="17"/>
      <c r="D59" s="17" t="s">
        <v>44</v>
      </c>
      <c r="E59" s="17"/>
      <c r="F59" s="17"/>
      <c r="G59" s="24">
        <f>G52-G45</f>
      </c>
      <c r="H59" s="24">
        <f>H52-H45</f>
      </c>
      <c r="I59" s="24">
        <f>I52-I45</f>
      </c>
      <c r="J59" s="24">
        <f>J52-J45</f>
      </c>
      <c r="K59" s="24">
        <f>K52-K45</f>
      </c>
      <c r="L59" s="24">
        <f>L52-L45</f>
      </c>
      <c r="M59" s="24">
        <f>M52-M45</f>
      </c>
      <c r="N59" s="24">
        <f>N52-N45</f>
      </c>
      <c r="O59" s="24">
        <f>O52-O45</f>
      </c>
      <c r="P59" s="24">
        <f>P52-P45</f>
      </c>
      <c r="Q59" s="24">
        <f>Q52-Q45</f>
      </c>
      <c r="R59" s="24">
        <f>R52-R45</f>
      </c>
      <c r="S59" s="24">
        <f>S52-S45</f>
      </c>
      <c r="T59" s="24">
        <f>T52-T45</f>
      </c>
      <c r="U59" s="24">
        <f>U52-U45</f>
      </c>
      <c r="V59" s="24">
        <f>V52-V45</f>
      </c>
      <c r="W59" s="24">
        <f>W52-W45</f>
      </c>
      <c r="X59" s="24">
        <f>X52-X45</f>
      </c>
      <c r="Y59" s="24">
        <f>Y52-Y45</f>
      </c>
      <c r="Z59" s="24">
        <f>Z52-Z45</f>
      </c>
      <c r="AA59" s="24">
        <f>AA52-AA45</f>
      </c>
      <c r="AB59" s="24">
        <f>AB52-AB45</f>
      </c>
      <c r="AC59" s="24">
        <f>AC52-AC45</f>
      </c>
      <c r="AD59" s="24">
        <f>AD52-AD45</f>
      </c>
      <c r="AE59" s="24">
        <f>AE52-AE45</f>
      </c>
      <c r="AF59" s="24">
        <f>AF52-AF45</f>
      </c>
      <c r="AG59" s="24">
        <f>AG52-AG45</f>
      </c>
      <c r="AH59" s="24">
        <f>AH52-AH45</f>
      </c>
      <c r="AI59" s="24">
        <f>AI52-AI45</f>
      </c>
      <c r="AJ59" s="24">
        <f>AJ52-AJ45</f>
      </c>
      <c r="AK59" s="24">
        <f>AK52-AK45</f>
      </c>
      <c r="AL59" s="24">
        <f>AL52-AL45</f>
      </c>
      <c r="AM59" s="19"/>
    </row>
    <row r="60" ht="12.75" customHeight="1" spans="2:39" x14ac:dyDescent="0.25">
      <c r="B60" s="20"/>
      <c r="C60" s="21"/>
      <c r="D60" s="21" t="s">
        <v>45</v>
      </c>
      <c r="E60" s="21"/>
      <c r="F60" s="21"/>
      <c r="G60" s="25">
        <f>G56+G57+G58+G59</f>
      </c>
      <c r="H60" s="25">
        <f>H56+H57+H58+H59</f>
      </c>
      <c r="I60" s="25">
        <f>I56+I57+I58+I59</f>
      </c>
      <c r="J60" s="25">
        <f>J56+J57+J58+J59</f>
      </c>
      <c r="K60" s="25">
        <f>K56+K57+K58+K59</f>
      </c>
      <c r="L60" s="25">
        <f>L56+L57+L58+L59</f>
      </c>
      <c r="M60" s="25">
        <f>M56+M57+M58+M59</f>
      </c>
      <c r="N60" s="25">
        <f>N56+N57+N58+N59</f>
      </c>
      <c r="O60" s="25">
        <f>O56+O57+O58+O59</f>
      </c>
      <c r="P60" s="25">
        <f>P56+P57+P58+P59</f>
      </c>
      <c r="Q60" s="25">
        <f>Q56+Q57+Q58+Q59</f>
      </c>
      <c r="R60" s="25">
        <f>R56+R57+R58+R59</f>
      </c>
      <c r="S60" s="25">
        <f>S56+S57+S58+S59</f>
      </c>
      <c r="T60" s="25">
        <f>T56+T57+T58+T59</f>
      </c>
      <c r="U60" s="25">
        <f>U56+U57+U58+U59</f>
      </c>
      <c r="V60" s="25">
        <f>V56+V57+V58+V59</f>
      </c>
      <c r="W60" s="25">
        <f>W56+W57+W58+W59</f>
      </c>
      <c r="X60" s="25">
        <f>X56+X57+X58+X59</f>
      </c>
      <c r="Y60" s="25">
        <f>Y56+Y57+Y58+Y59</f>
      </c>
      <c r="Z60" s="25">
        <f>Z56+Z57+Z58+Z59</f>
      </c>
      <c r="AA60" s="25">
        <f>AA56+AA57+AA58+AA59</f>
      </c>
      <c r="AB60" s="25">
        <f>AB56+AB57+AB58+AB59</f>
      </c>
      <c r="AC60" s="25">
        <f>AC56+AC57+AC58+AC59</f>
      </c>
      <c r="AD60" s="25">
        <f>AD56+AD57+AD58+AD59</f>
      </c>
      <c r="AE60" s="25">
        <f>AE56+AE57+AE58+AE59</f>
      </c>
      <c r="AF60" s="25">
        <f>AF56+AF57+AF58+AF59</f>
      </c>
      <c r="AG60" s="25">
        <f>AG56+AG57+AG58+AG59</f>
      </c>
      <c r="AH60" s="25">
        <f>AH56+AH57+AH58+AH59</f>
      </c>
      <c r="AI60" s="25">
        <f>AI56+AI57+AI58+AI59</f>
      </c>
      <c r="AJ60" s="25">
        <f>AJ56+AJ57+AJ58+AJ59</f>
      </c>
      <c r="AK60" s="25">
        <f>AK56+AK57+AK58+AK59</f>
      </c>
      <c r="AL60" s="25">
        <f>AL56+AL57+AL58+AL59</f>
      </c>
      <c r="AM60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2548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2549</v>
      </c>
      <c r="E9" s="32"/>
      <c r="F9" s="32"/>
      <c r="G9" s="32"/>
      <c r="H9" s="32"/>
      <c r="I9" s="33">
        <v>3188.77</v>
      </c>
      <c r="J9" s="33">
        <v>2917.65</v>
      </c>
      <c r="K9" s="33">
        <v>2102.12</v>
      </c>
      <c r="L9" s="33">
        <v>1502.59</v>
      </c>
      <c r="M9" s="33">
        <v>798.9</v>
      </c>
      <c r="N9" s="33">
        <v>402.89</v>
      </c>
      <c r="O9" s="33">
        <v>230.9</v>
      </c>
      <c r="P9" s="33">
        <v>105.05</v>
      </c>
      <c r="Q9" s="33">
        <v>88.3</v>
      </c>
      <c r="R9" s="33">
        <v>544.32</v>
      </c>
      <c r="S9" s="33">
        <v>1673.96</v>
      </c>
      <c r="T9" s="33">
        <v>2217.69</v>
      </c>
      <c r="U9" s="33">
        <v>2415.15</v>
      </c>
      <c r="V9" s="33">
        <v>1665.25</v>
      </c>
      <c r="W9" s="33">
        <v>1315.02</v>
      </c>
      <c r="X9" s="33">
        <v>988.88</v>
      </c>
      <c r="Y9" s="33">
        <v>680.1</v>
      </c>
      <c r="Z9" s="33">
        <v>302.63</v>
      </c>
      <c r="AA9" s="33">
        <v>237.07</v>
      </c>
      <c r="AB9" s="33">
        <v>231.57</v>
      </c>
      <c r="AC9" s="33">
        <v>333.66</v>
      </c>
      <c r="AD9" s="33">
        <v>873.99</v>
      </c>
      <c r="AE9" s="33">
        <v>1506.61</v>
      </c>
      <c r="AF9" s="33">
        <v>1769.33</v>
      </c>
      <c r="AG9" s="33">
        <v>2151.48</v>
      </c>
      <c r="AH9" s="33">
        <v>1623.11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2550</v>
      </c>
      <c r="E10" s="32"/>
      <c r="F10" s="32"/>
      <c r="G10" s="32"/>
      <c r="H10" s="32"/>
      <c r="I10" s="33">
        <v>189.25</v>
      </c>
      <c r="J10" s="33">
        <v>219.04</v>
      </c>
      <c r="K10" s="33">
        <v>193.4</v>
      </c>
      <c r="L10" s="33">
        <v>111.86</v>
      </c>
      <c r="M10" s="33">
        <v>81.55</v>
      </c>
      <c r="N10" s="33">
        <v>65.32</v>
      </c>
      <c r="O10" s="33">
        <v>51.33</v>
      </c>
      <c r="P10" s="33">
        <v>27.64</v>
      </c>
      <c r="Q10" s="33">
        <v>59.13</v>
      </c>
      <c r="R10" s="33">
        <v>62.27</v>
      </c>
      <c r="S10" s="33">
        <v>87.74</v>
      </c>
      <c r="T10" s="33">
        <v>136.35</v>
      </c>
      <c r="U10" s="33">
        <v>155.36</v>
      </c>
      <c r="V10" s="33">
        <v>168.59</v>
      </c>
      <c r="W10" s="33">
        <v>159.38</v>
      </c>
      <c r="X10" s="33">
        <v>101.99</v>
      </c>
      <c r="Y10" s="33">
        <v>61.07</v>
      </c>
      <c r="Z10" s="33">
        <v>48.94</v>
      </c>
      <c r="AA10" s="33">
        <v>46.87</v>
      </c>
      <c r="AB10" s="33">
        <v>53.71</v>
      </c>
      <c r="AC10" s="33">
        <v>45.7</v>
      </c>
      <c r="AD10" s="33">
        <v>52.28</v>
      </c>
      <c r="AE10" s="33">
        <v>72.06</v>
      </c>
      <c r="AF10" s="33">
        <v>91.81</v>
      </c>
      <c r="AG10" s="33">
        <v>108.99</v>
      </c>
      <c r="AH10" s="33">
        <v>103.52</v>
      </c>
      <c r="AI10" s="32"/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3</v>
      </c>
      <c r="D15" s="32" t="s">
        <v>2551</v>
      </c>
      <c r="E15" s="32"/>
      <c r="F15" s="32"/>
      <c r="G15" s="32"/>
      <c r="H15" s="33">
        <v>1222.35</v>
      </c>
      <c r="I15" s="33">
        <v>1921.16</v>
      </c>
      <c r="J15" s="33">
        <v>1425.25</v>
      </c>
      <c r="K15" s="33">
        <v>1112.97</v>
      </c>
      <c r="L15" s="33">
        <v>750.86</v>
      </c>
      <c r="M15" s="33">
        <v>998.66</v>
      </c>
      <c r="N15" s="33">
        <v>1769.86</v>
      </c>
      <c r="O15" s="33">
        <v>1727.85</v>
      </c>
      <c r="P15" s="33">
        <v>1416</v>
      </c>
      <c r="Q15" s="33">
        <v>1315.05</v>
      </c>
      <c r="R15" s="33">
        <v>592.32</v>
      </c>
      <c r="S15" s="33">
        <v>958.34</v>
      </c>
      <c r="T15" s="33">
        <v>1257.02</v>
      </c>
      <c r="U15" s="33">
        <v>2318.56</v>
      </c>
      <c r="V15" s="33">
        <v>1231.87</v>
      </c>
      <c r="W15" s="33">
        <v>1505.57</v>
      </c>
      <c r="X15" s="33">
        <v>834.18</v>
      </c>
      <c r="Y15" s="33">
        <v>941.76</v>
      </c>
      <c r="Z15" s="33">
        <v>1686.88</v>
      </c>
      <c r="AA15" s="33">
        <v>1772.66</v>
      </c>
      <c r="AB15" s="33">
        <v>1560.82</v>
      </c>
      <c r="AC15" s="33">
        <v>1181.59</v>
      </c>
      <c r="AD15" s="33">
        <v>670.56</v>
      </c>
      <c r="AE15" s="33">
        <v>818.52</v>
      </c>
      <c r="AF15" s="33">
        <v>1100.31</v>
      </c>
      <c r="AG15" s="33">
        <v>1598.03</v>
      </c>
      <c r="AH15" s="33">
        <v>1263.26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2552</v>
      </c>
      <c r="E16" s="32"/>
      <c r="F16" s="32"/>
      <c r="G16" s="32"/>
      <c r="H16" s="33">
        <v>426.06</v>
      </c>
      <c r="I16" s="33">
        <v>429.54</v>
      </c>
      <c r="J16" s="33">
        <v>423.52</v>
      </c>
      <c r="K16" s="33">
        <v>437.07</v>
      </c>
      <c r="L16" s="33">
        <v>469.84</v>
      </c>
      <c r="M16" s="33">
        <v>408.98</v>
      </c>
      <c r="N16" s="33">
        <v>494.48</v>
      </c>
      <c r="O16" s="33">
        <v>487.9</v>
      </c>
      <c r="P16" s="33">
        <v>345.26</v>
      </c>
      <c r="Q16" s="33">
        <v>351.04</v>
      </c>
      <c r="R16" s="33">
        <v>390.89</v>
      </c>
      <c r="S16" s="33">
        <v>506.34</v>
      </c>
      <c r="T16" s="33">
        <v>529.3</v>
      </c>
      <c r="U16" s="33">
        <v>545.72</v>
      </c>
      <c r="V16" s="33">
        <v>539.93</v>
      </c>
      <c r="W16" s="33">
        <v>551.85</v>
      </c>
      <c r="X16" s="33">
        <v>584.46</v>
      </c>
      <c r="Y16" s="33">
        <v>400.16</v>
      </c>
      <c r="Z16" s="33">
        <v>551.05</v>
      </c>
      <c r="AA16" s="33">
        <v>567.07</v>
      </c>
      <c r="AB16" s="33">
        <v>491.19</v>
      </c>
      <c r="AC16" s="33">
        <v>490.98</v>
      </c>
      <c r="AD16" s="33">
        <v>472.18</v>
      </c>
      <c r="AE16" s="33">
        <v>465.61</v>
      </c>
      <c r="AF16" s="33">
        <v>516.25</v>
      </c>
      <c r="AG16" s="33">
        <v>518.68</v>
      </c>
      <c r="AH16" s="33">
        <v>495.03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2553</v>
      </c>
      <c r="E17" s="32"/>
      <c r="F17" s="32"/>
      <c r="G17" s="32"/>
      <c r="H17" s="33">
        <v>1512.29</v>
      </c>
      <c r="I17" s="33">
        <v>2437.03</v>
      </c>
      <c r="J17" s="33">
        <v>1874.36</v>
      </c>
      <c r="K17" s="33">
        <v>1502.75</v>
      </c>
      <c r="L17" s="33">
        <v>951.74</v>
      </c>
      <c r="M17" s="33">
        <v>538.33</v>
      </c>
      <c r="N17" s="33">
        <v>705.86</v>
      </c>
      <c r="O17" s="33">
        <v>845.87</v>
      </c>
      <c r="P17" s="33">
        <v>679.71</v>
      </c>
      <c r="Q17" s="33">
        <v>821.39</v>
      </c>
      <c r="R17" s="33">
        <v>634.18</v>
      </c>
      <c r="S17" s="33">
        <v>971.48</v>
      </c>
      <c r="T17" s="33">
        <v>1456.05</v>
      </c>
      <c r="U17" s="33">
        <v>2463.95</v>
      </c>
      <c r="V17" s="33">
        <v>1469.17</v>
      </c>
      <c r="W17" s="33">
        <v>1693.21</v>
      </c>
      <c r="X17" s="33">
        <v>929.81</v>
      </c>
      <c r="Y17" s="33">
        <v>687.61</v>
      </c>
      <c r="Z17" s="33">
        <v>1126.57</v>
      </c>
      <c r="AA17" s="33">
        <v>1260.11</v>
      </c>
      <c r="AB17" s="33">
        <v>1154.02</v>
      </c>
      <c r="AC17" s="33">
        <v>1069.95</v>
      </c>
      <c r="AD17" s="33">
        <v>772.63</v>
      </c>
      <c r="AE17" s="33">
        <v>1158.45</v>
      </c>
      <c r="AF17" s="33">
        <v>1581.8</v>
      </c>
      <c r="AG17" s="33">
        <v>1854.19</v>
      </c>
      <c r="AH17" s="33">
        <v>1630.56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2554</v>
      </c>
      <c r="E18" s="32"/>
      <c r="F18" s="32"/>
      <c r="G18" s="32"/>
      <c r="H18" s="33">
        <v>1992.13</v>
      </c>
      <c r="I18" s="33">
        <v>2644.42</v>
      </c>
      <c r="J18" s="33">
        <v>2306.72</v>
      </c>
      <c r="K18" s="33">
        <v>1993.58</v>
      </c>
      <c r="L18" s="33">
        <v>1147.17</v>
      </c>
      <c r="M18" s="33">
        <v>688.44</v>
      </c>
      <c r="N18" s="33">
        <v>817.85</v>
      </c>
      <c r="O18" s="33">
        <v>715.18</v>
      </c>
      <c r="P18" s="33">
        <v>534.77</v>
      </c>
      <c r="Q18" s="33">
        <v>571.99</v>
      </c>
      <c r="R18" s="33">
        <v>729.23</v>
      </c>
      <c r="S18" s="33">
        <v>1116.88</v>
      </c>
      <c r="T18" s="33">
        <v>1624.87</v>
      </c>
      <c r="U18" s="33">
        <v>2656.01</v>
      </c>
      <c r="V18" s="33">
        <v>1598.43</v>
      </c>
      <c r="W18" s="33">
        <v>1875.92</v>
      </c>
      <c r="X18" s="33">
        <v>1322.41</v>
      </c>
      <c r="Y18" s="33">
        <v>670.35</v>
      </c>
      <c r="Z18" s="33">
        <v>1040.08</v>
      </c>
      <c r="AA18" s="33">
        <v>1012.58</v>
      </c>
      <c r="AB18" s="33">
        <v>892.95</v>
      </c>
      <c r="AC18" s="33">
        <v>782.57</v>
      </c>
      <c r="AD18" s="33">
        <v>681.76</v>
      </c>
      <c r="AE18" s="33">
        <v>955.57</v>
      </c>
      <c r="AF18" s="33">
        <v>1359.88</v>
      </c>
      <c r="AG18" s="33">
        <v>2143.25</v>
      </c>
      <c r="AH18" s="33">
        <v>1776.15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2555</v>
      </c>
      <c r="E19" s="32"/>
      <c r="F19" s="32"/>
      <c r="G19" s="32"/>
      <c r="H19" s="33">
        <v>1162.17</v>
      </c>
      <c r="I19" s="33">
        <v>1768.04</v>
      </c>
      <c r="J19" s="33">
        <v>1409.5</v>
      </c>
      <c r="K19" s="33">
        <v>1052.21</v>
      </c>
      <c r="L19" s="33">
        <v>792.93</v>
      </c>
      <c r="M19" s="33">
        <v>907.44</v>
      </c>
      <c r="N19" s="33">
        <v>1456.58</v>
      </c>
      <c r="O19" s="33">
        <v>1718.23</v>
      </c>
      <c r="P19" s="33">
        <v>1189.1</v>
      </c>
      <c r="Q19" s="33">
        <v>1192.13</v>
      </c>
      <c r="R19" s="33">
        <v>791.22</v>
      </c>
      <c r="S19" s="33">
        <v>1048.98</v>
      </c>
      <c r="T19" s="33">
        <v>1079.21</v>
      </c>
      <c r="U19" s="33">
        <v>1656.48</v>
      </c>
      <c r="V19" s="33">
        <v>1148.03</v>
      </c>
      <c r="W19" s="33">
        <v>1253.86</v>
      </c>
      <c r="X19" s="33">
        <v>851.18</v>
      </c>
      <c r="Y19" s="33">
        <v>762.89</v>
      </c>
      <c r="Z19" s="33">
        <v>1506.94</v>
      </c>
      <c r="AA19" s="33">
        <v>1745.68</v>
      </c>
      <c r="AB19" s="33">
        <v>1476.35</v>
      </c>
      <c r="AC19" s="33">
        <v>970.06</v>
      </c>
      <c r="AD19" s="33">
        <v>718.55</v>
      </c>
      <c r="AE19" s="33">
        <v>789.87</v>
      </c>
      <c r="AF19" s="33">
        <v>925.51</v>
      </c>
      <c r="AG19" s="33">
        <v>1212.47</v>
      </c>
      <c r="AH19" s="33">
        <v>982.43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2556</v>
      </c>
      <c r="E20" s="32"/>
      <c r="F20" s="32"/>
      <c r="G20" s="32"/>
      <c r="H20" s="33">
        <v>626.53</v>
      </c>
      <c r="I20" s="33">
        <v>923.73</v>
      </c>
      <c r="J20" s="33">
        <v>690.79</v>
      </c>
      <c r="K20" s="33">
        <v>538.17</v>
      </c>
      <c r="L20" s="33">
        <v>367.56</v>
      </c>
      <c r="M20" s="33">
        <v>250.34</v>
      </c>
      <c r="N20" s="33">
        <v>179.97</v>
      </c>
      <c r="O20" s="33">
        <v>256.62</v>
      </c>
      <c r="P20" s="33">
        <v>133.09</v>
      </c>
      <c r="Q20" s="33">
        <v>209.13</v>
      </c>
      <c r="R20" s="33">
        <v>135.51</v>
      </c>
      <c r="S20" s="33">
        <v>337.31</v>
      </c>
      <c r="T20" s="33">
        <v>545.22</v>
      </c>
      <c r="U20" s="33">
        <v>915.96</v>
      </c>
      <c r="V20" s="33">
        <v>535.93</v>
      </c>
      <c r="W20" s="33">
        <v>632.95</v>
      </c>
      <c r="X20" s="33">
        <v>417.61</v>
      </c>
      <c r="Y20" s="33">
        <v>204.32</v>
      </c>
      <c r="Z20" s="33">
        <v>193.51</v>
      </c>
      <c r="AA20" s="33">
        <v>356.91</v>
      </c>
      <c r="AB20" s="33">
        <v>400.82</v>
      </c>
      <c r="AC20" s="33">
        <v>259.59</v>
      </c>
      <c r="AD20" s="33">
        <v>150.01</v>
      </c>
      <c r="AE20" s="33">
        <v>321.81</v>
      </c>
      <c r="AF20" s="33">
        <v>457.59</v>
      </c>
      <c r="AG20" s="33">
        <v>585.9</v>
      </c>
      <c r="AH20" s="33">
        <v>476.39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2557</v>
      </c>
      <c r="E21" s="32"/>
      <c r="F21" s="32"/>
      <c r="G21" s="32"/>
      <c r="H21" s="33">
        <v>234.71</v>
      </c>
      <c r="I21" s="33">
        <v>431.12</v>
      </c>
      <c r="J21" s="33">
        <v>277.57</v>
      </c>
      <c r="K21" s="33">
        <v>203.48</v>
      </c>
      <c r="L21" s="33">
        <v>369.36</v>
      </c>
      <c r="M21" s="33">
        <v>342.2</v>
      </c>
      <c r="N21" s="33">
        <v>596.45</v>
      </c>
      <c r="O21" s="33">
        <v>842.63</v>
      </c>
      <c r="P21" s="33">
        <v>685.3</v>
      </c>
      <c r="Q21" s="33">
        <v>551.77</v>
      </c>
      <c r="R21" s="33">
        <v>245.75</v>
      </c>
      <c r="S21" s="33">
        <v>133.29</v>
      </c>
      <c r="T21" s="33">
        <v>180.69</v>
      </c>
      <c r="U21" s="33">
        <v>194.96</v>
      </c>
      <c r="V21" s="33">
        <v>203.3</v>
      </c>
      <c r="W21" s="33">
        <v>256.8</v>
      </c>
      <c r="X21" s="33">
        <v>250.65</v>
      </c>
      <c r="Y21" s="33">
        <v>272.24</v>
      </c>
      <c r="Z21" s="33">
        <v>645.41</v>
      </c>
      <c r="AA21" s="33">
        <v>735.52</v>
      </c>
      <c r="AB21" s="33">
        <v>738</v>
      </c>
      <c r="AC21" s="33">
        <v>576.2</v>
      </c>
      <c r="AD21" s="33">
        <v>276.57</v>
      </c>
      <c r="AE21" s="33">
        <v>237.62</v>
      </c>
      <c r="AF21" s="33">
        <v>277.28</v>
      </c>
      <c r="AG21" s="33">
        <v>165.94</v>
      </c>
      <c r="AH21" s="33">
        <v>221.4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2558</v>
      </c>
      <c r="E22" s="32"/>
      <c r="F22" s="32"/>
      <c r="G22" s="32"/>
      <c r="H22" s="33">
        <v>137</v>
      </c>
      <c r="I22" s="33">
        <v>239.33</v>
      </c>
      <c r="J22" s="33">
        <v>175.97</v>
      </c>
      <c r="K22" s="33">
        <v>171.56</v>
      </c>
      <c r="L22" s="33">
        <v>117.03</v>
      </c>
      <c r="M22" s="33">
        <v>31.74</v>
      </c>
      <c r="N22" s="33">
        <v>31.74</v>
      </c>
      <c r="O22" s="33">
        <v>31.74</v>
      </c>
      <c r="P22" s="33">
        <v>31.74</v>
      </c>
      <c r="Q22" s="33">
        <v>43.98</v>
      </c>
      <c r="R22" s="33">
        <v>107.15</v>
      </c>
      <c r="S22" s="33">
        <v>89.49</v>
      </c>
      <c r="T22" s="33">
        <v>124.81</v>
      </c>
      <c r="U22" s="33">
        <v>247.1</v>
      </c>
      <c r="V22" s="33">
        <v>156.77</v>
      </c>
      <c r="W22" s="33">
        <v>178.56</v>
      </c>
      <c r="X22" s="33">
        <v>106.81</v>
      </c>
      <c r="Y22" s="33">
        <v>31.74</v>
      </c>
      <c r="Z22" s="33">
        <v>31.74</v>
      </c>
      <c r="AA22" s="33">
        <v>31.74</v>
      </c>
      <c r="AB22" s="33">
        <v>31.74</v>
      </c>
      <c r="AC22" s="33">
        <v>54.26</v>
      </c>
      <c r="AD22" s="33">
        <v>114.55</v>
      </c>
      <c r="AE22" s="33">
        <v>104.47</v>
      </c>
      <c r="AF22" s="33">
        <v>94.67</v>
      </c>
      <c r="AG22" s="33">
        <v>178.6</v>
      </c>
      <c r="AH22" s="33">
        <v>150.43</v>
      </c>
      <c r="AI22" s="32"/>
      <c r="AJ22" s="34">
        <f>SUM(E22:AI22)</f>
      </c>
      <c r="AK22" s="35"/>
    </row>
    <row r="23" ht="12.75" customHeight="1" spans="2:37" x14ac:dyDescent="0.25"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</row>
    <row r="24" ht="12.75" customHeight="1" spans="2:37" x14ac:dyDescent="0.25">
      <c r="B24" s="20" t="s">
        <v>85</v>
      </c>
      <c r="C24" s="21"/>
      <c r="D24" s="21"/>
      <c r="E24" s="22">
        <f>SUM(E15:E22)</f>
      </c>
      <c r="F24" s="22">
        <f>SUM(F15:F22)</f>
      </c>
      <c r="G24" s="22">
        <f>SUM(G15:G22)</f>
      </c>
      <c r="H24" s="22">
        <f>SUM(H15:H22)</f>
      </c>
      <c r="I24" s="22">
        <f>SUM(I15:I22)</f>
      </c>
      <c r="J24" s="22">
        <f>SUM(J15:J22)</f>
      </c>
      <c r="K24" s="22">
        <f>SUM(K15:K22)</f>
      </c>
      <c r="L24" s="22">
        <f>SUM(L15:L22)</f>
      </c>
      <c r="M24" s="22">
        <f>SUM(M15:M22)</f>
      </c>
      <c r="N24" s="22">
        <f>SUM(N15:N22)</f>
      </c>
      <c r="O24" s="22">
        <f>SUM(O15:O22)</f>
      </c>
      <c r="P24" s="22">
        <f>SUM(P15:P22)</f>
      </c>
      <c r="Q24" s="22">
        <f>SUM(Q15:Q22)</f>
      </c>
      <c r="R24" s="22">
        <f>SUM(R15:R22)</f>
      </c>
      <c r="S24" s="22">
        <f>SUM(S15:S22)</f>
      </c>
      <c r="T24" s="22">
        <f>SUM(T15:T22)</f>
      </c>
      <c r="U24" s="22">
        <f>SUM(U15:U22)</f>
      </c>
      <c r="V24" s="22">
        <f>SUM(V15:V22)</f>
      </c>
      <c r="W24" s="22">
        <f>SUM(W15:W22)</f>
      </c>
      <c r="X24" s="22">
        <f>SUM(X15:X22)</f>
      </c>
      <c r="Y24" s="22">
        <f>SUM(Y15:Y22)</f>
      </c>
      <c r="Z24" s="22">
        <f>SUM(Z15:Z22)</f>
      </c>
      <c r="AA24" s="22">
        <f>SUM(AA15:AA22)</f>
      </c>
      <c r="AB24" s="22">
        <f>SUM(AB15:AB22)</f>
      </c>
      <c r="AC24" s="22">
        <f>SUM(AC15:AC22)</f>
      </c>
      <c r="AD24" s="22">
        <f>SUM(AD15:AD22)</f>
      </c>
      <c r="AE24" s="22">
        <f>SUM(AE15:AE22)</f>
      </c>
      <c r="AF24" s="22">
        <f>SUM(AF15:AF22)</f>
      </c>
      <c r="AG24" s="22">
        <f>SUM(AG15:AG22)</f>
      </c>
      <c r="AH24" s="22">
        <f>SUM(AH15:AH22)</f>
      </c>
      <c r="AI24" s="22">
        <f>SUM(AI15:AI22)</f>
      </c>
      <c r="AJ24" s="22">
        <f>SUM(AJ15:AJ22)</f>
      </c>
      <c r="AK24" s="23"/>
    </row>
    <row r="26" ht="12.75" customHeight="1" spans="2:37" x14ac:dyDescent="0.25">
      <c r="B26" s="26" t="s">
        <v>43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9"/>
    </row>
    <row r="27" ht="12.75" customHeight="1" spans="2:37" x14ac:dyDescent="0.25">
      <c r="B27" s="30" t="s">
        <v>43</v>
      </c>
      <c r="C27" s="31" t="s">
        <v>3</v>
      </c>
      <c r="D27" s="32" t="s">
        <v>2559</v>
      </c>
      <c r="E27" s="32"/>
      <c r="F27" s="32"/>
      <c r="G27" s="32"/>
      <c r="H27" s="33">
        <v>3110.36</v>
      </c>
      <c r="I27" s="33">
        <v>3037.02</v>
      </c>
      <c r="J27" s="33">
        <v>3046.47</v>
      </c>
      <c r="K27" s="33">
        <v>2814.76</v>
      </c>
      <c r="L27" s="33">
        <v>2579.52</v>
      </c>
      <c r="M27" s="33">
        <v>2380.95</v>
      </c>
      <c r="N27" s="33">
        <v>1990.97</v>
      </c>
      <c r="O27" s="33">
        <v>1237.78</v>
      </c>
      <c r="P27" s="33">
        <v>1968.65</v>
      </c>
      <c r="Q27" s="33">
        <v>2174.97</v>
      </c>
      <c r="R27" s="33">
        <v>2653.45</v>
      </c>
      <c r="S27" s="33">
        <v>2573.72</v>
      </c>
      <c r="T27" s="33">
        <v>2979.03</v>
      </c>
      <c r="U27" s="33">
        <v>2429.58</v>
      </c>
      <c r="V27" s="33">
        <v>2469.49</v>
      </c>
      <c r="W27" s="33">
        <v>2103.81</v>
      </c>
      <c r="X27" s="33">
        <v>1680.79</v>
      </c>
      <c r="Y27" s="33">
        <v>1322.03</v>
      </c>
      <c r="Z27" s="33">
        <v>1878.86</v>
      </c>
      <c r="AA27" s="33">
        <v>1684.4</v>
      </c>
      <c r="AB27" s="33">
        <v>2308.42</v>
      </c>
      <c r="AC27" s="33">
        <v>1975.37</v>
      </c>
      <c r="AD27" s="33">
        <v>1869.45</v>
      </c>
      <c r="AE27" s="33">
        <v>2462.26</v>
      </c>
      <c r="AF27" s="33">
        <v>2040.27</v>
      </c>
      <c r="AG27" s="33">
        <v>2276.1</v>
      </c>
      <c r="AH27" s="33">
        <v>2281.92</v>
      </c>
      <c r="AI27" s="32"/>
      <c r="AJ27" s="34">
        <f>SUM(E27:AI27)</f>
      </c>
      <c r="AK27" s="35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89</v>
      </c>
      <c r="C29" s="21"/>
      <c r="D29" s="21"/>
      <c r="E29" s="22">
        <f>SUM(E27:E27)</f>
      </c>
      <c r="F29" s="22">
        <f>SUM(F27:F27)</f>
      </c>
      <c r="G29" s="22">
        <f>SUM(G27:G27)</f>
      </c>
      <c r="H29" s="22">
        <f>SUM(H27:H27)</f>
      </c>
      <c r="I29" s="22">
        <f>SUM(I27:I27)</f>
      </c>
      <c r="J29" s="22">
        <f>SUM(J27:J27)</f>
      </c>
      <c r="K29" s="22">
        <f>SUM(K27:K27)</f>
      </c>
      <c r="L29" s="22">
        <f>SUM(L27:L27)</f>
      </c>
      <c r="M29" s="22">
        <f>SUM(M27:M27)</f>
      </c>
      <c r="N29" s="22">
        <f>SUM(N27:N27)</f>
      </c>
      <c r="O29" s="22">
        <f>SUM(O27:O27)</f>
      </c>
      <c r="P29" s="22">
        <f>SUM(P27:P27)</f>
      </c>
      <c r="Q29" s="22">
        <f>SUM(Q27:Q27)</f>
      </c>
      <c r="R29" s="22">
        <f>SUM(R27:R27)</f>
      </c>
      <c r="S29" s="22">
        <f>SUM(S27:S27)</f>
      </c>
      <c r="T29" s="22">
        <f>SUM(T27:T27)</f>
      </c>
      <c r="U29" s="22">
        <f>SUM(U27:U27)</f>
      </c>
      <c r="V29" s="22">
        <f>SUM(V27:V27)</f>
      </c>
      <c r="W29" s="22">
        <f>SUM(W27:W27)</f>
      </c>
      <c r="X29" s="22">
        <f>SUM(X27:X27)</f>
      </c>
      <c r="Y29" s="22">
        <f>SUM(Y27:Y27)</f>
      </c>
      <c r="Z29" s="22">
        <f>SUM(Z27:Z27)</f>
      </c>
      <c r="AA29" s="22">
        <f>SUM(AA27:AA27)</f>
      </c>
      <c r="AB29" s="22">
        <f>SUM(AB27:AB27)</f>
      </c>
      <c r="AC29" s="22">
        <f>SUM(AC27:AC27)</f>
      </c>
      <c r="AD29" s="22">
        <f>SUM(AD27:AD27)</f>
      </c>
      <c r="AE29" s="22">
        <f>SUM(AE27:AE27)</f>
      </c>
      <c r="AF29" s="22">
        <f>SUM(AF27:AF27)</f>
      </c>
      <c r="AG29" s="22">
        <f>SUM(AG27:AG27)</f>
      </c>
      <c r="AH29" s="22">
        <f>SUM(AH27:AH27)</f>
      </c>
      <c r="AI29" s="22">
        <f>SUM(AI27:AI27)</f>
      </c>
      <c r="AJ29" s="22">
        <f>SUM(AJ27:AJ27)</f>
      </c>
      <c r="AK29" s="23"/>
    </row>
    <row r="31" ht="12.75" customHeight="1" spans="2:37" x14ac:dyDescent="0.25">
      <c r="B31" s="26" t="s">
        <v>44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90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3"/>
    </row>
    <row r="36" ht="12.75" customHeight="1" spans="2:37" x14ac:dyDescent="0.25">
      <c r="B36" s="11" t="s">
        <v>40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>
        <f>E12</f>
      </c>
      <c r="F37" s="18">
        <f>F12</f>
      </c>
      <c r="G37" s="18">
        <f>G12</f>
      </c>
      <c r="H37" s="18">
        <f>H12</f>
      </c>
      <c r="I37" s="18">
        <f>I12</f>
      </c>
      <c r="J37" s="18">
        <f>J12</f>
      </c>
      <c r="K37" s="18">
        <f>K12</f>
      </c>
      <c r="L37" s="18">
        <f>L12</f>
      </c>
      <c r="M37" s="18">
        <f>M12</f>
      </c>
      <c r="N37" s="18">
        <f>N12</f>
      </c>
      <c r="O37" s="18">
        <f>O12</f>
      </c>
      <c r="P37" s="18">
        <f>P12</f>
      </c>
      <c r="Q37" s="18">
        <f>Q12</f>
      </c>
      <c r="R37" s="18">
        <f>R12</f>
      </c>
      <c r="S37" s="18">
        <f>S12</f>
      </c>
      <c r="T37" s="18">
        <f>T12</f>
      </c>
      <c r="U37" s="18">
        <f>U12</f>
      </c>
      <c r="V37" s="18">
        <f>V12</f>
      </c>
      <c r="W37" s="18">
        <f>W12</f>
      </c>
      <c r="X37" s="18">
        <f>X12</f>
      </c>
      <c r="Y37" s="18">
        <f>Y12</f>
      </c>
      <c r="Z37" s="18">
        <f>Z12</f>
      </c>
      <c r="AA37" s="18">
        <f>AA12</f>
      </c>
      <c r="AB37" s="18">
        <f>AB12</f>
      </c>
      <c r="AC37" s="18">
        <f>AC12</f>
      </c>
      <c r="AD37" s="18">
        <f>AD12</f>
      </c>
      <c r="AE37" s="18">
        <f>AE12</f>
      </c>
      <c r="AF37" s="18">
        <f>AF12</f>
      </c>
      <c r="AG37" s="18">
        <f>AG12</f>
      </c>
      <c r="AH37" s="18">
        <f>AH12</f>
      </c>
      <c r="AI37" s="18">
        <f>AI12</f>
      </c>
      <c r="AJ37" s="18">
        <f>AJ12</f>
      </c>
      <c r="AK37" s="19"/>
    </row>
    <row r="38" ht="12.75" customHeight="1" spans="2:37" x14ac:dyDescent="0.25">
      <c r="B38" s="16" t="s">
        <v>42</v>
      </c>
      <c r="C38" s="17"/>
      <c r="D38" s="17"/>
      <c r="E38" s="18">
        <f>E24</f>
      </c>
      <c r="F38" s="18">
        <f>F24</f>
      </c>
      <c r="G38" s="18">
        <f>G24</f>
      </c>
      <c r="H38" s="18">
        <f>H24</f>
      </c>
      <c r="I38" s="18">
        <f>I24</f>
      </c>
      <c r="J38" s="18">
        <f>J24</f>
      </c>
      <c r="K38" s="18">
        <f>K24</f>
      </c>
      <c r="L38" s="18">
        <f>L24</f>
      </c>
      <c r="M38" s="18">
        <f>M24</f>
      </c>
      <c r="N38" s="18">
        <f>N24</f>
      </c>
      <c r="O38" s="18">
        <f>O24</f>
      </c>
      <c r="P38" s="18">
        <f>P24</f>
      </c>
      <c r="Q38" s="18">
        <f>Q24</f>
      </c>
      <c r="R38" s="18">
        <f>R24</f>
      </c>
      <c r="S38" s="18">
        <f>S24</f>
      </c>
      <c r="T38" s="18">
        <f>T24</f>
      </c>
      <c r="U38" s="18">
        <f>U24</f>
      </c>
      <c r="V38" s="18">
        <f>V24</f>
      </c>
      <c r="W38" s="18">
        <f>W24</f>
      </c>
      <c r="X38" s="18">
        <f>X24</f>
      </c>
      <c r="Y38" s="18">
        <f>Y24</f>
      </c>
      <c r="Z38" s="18">
        <f>Z24</f>
      </c>
      <c r="AA38" s="18">
        <f>AA24</f>
      </c>
      <c r="AB38" s="18">
        <f>AB24</f>
      </c>
      <c r="AC38" s="18">
        <f>AC24</f>
      </c>
      <c r="AD38" s="18">
        <f>AD24</f>
      </c>
      <c r="AE38" s="18">
        <f>AE24</f>
      </c>
      <c r="AF38" s="18">
        <f>AF24</f>
      </c>
      <c r="AG38" s="18">
        <f>AG24</f>
      </c>
      <c r="AH38" s="18">
        <f>AH24</f>
      </c>
      <c r="AI38" s="18">
        <f>AI24</f>
      </c>
      <c r="AJ38" s="18">
        <f>AJ24</f>
      </c>
      <c r="AK38" s="19"/>
    </row>
    <row r="39" ht="12.75" customHeight="1" spans="2:37" x14ac:dyDescent="0.25">
      <c r="B39" s="16" t="s">
        <v>43</v>
      </c>
      <c r="C39" s="17"/>
      <c r="D39" s="17"/>
      <c r="E39" s="18">
        <f>E29</f>
      </c>
      <c r="F39" s="18">
        <f>F29</f>
      </c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9"/>
    </row>
    <row r="40" ht="12.75" customHeight="1" spans="2:37" x14ac:dyDescent="0.25">
      <c r="B40" s="16" t="s">
        <v>44</v>
      </c>
      <c r="C40" s="17"/>
      <c r="D40" s="17"/>
      <c r="E40" s="18">
        <f>E33</f>
      </c>
      <c r="F40" s="18">
        <f>F33</f>
      </c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46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42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43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16" t="s">
        <v>44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47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42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43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16" t="s">
        <v>44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20" t="s">
        <v>45</v>
      </c>
      <c r="C55" s="21"/>
      <c r="D55" s="21"/>
      <c r="E55" s="25">
        <f>E51+E52+E53+E54</f>
      </c>
      <c r="F55" s="25">
        <f>F51+F52+F53+F54</f>
      </c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2548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2560</v>
      </c>
      <c r="K8" s="44" t="s">
        <v>2561</v>
      </c>
      <c r="L8" s="44" t="s">
        <v>2562</v>
      </c>
      <c r="M8" s="44" t="s">
        <v>2563</v>
      </c>
      <c r="N8" s="44" t="s">
        <v>2564</v>
      </c>
      <c r="O8" s="44" t="s">
        <v>2565</v>
      </c>
      <c r="P8" s="44" t="s">
        <v>2566</v>
      </c>
      <c r="Q8" s="44" t="s">
        <v>2567</v>
      </c>
      <c r="R8" s="44" t="s">
        <v>2568</v>
      </c>
      <c r="S8" s="44" t="s">
        <v>2569</v>
      </c>
      <c r="T8" s="44" t="s">
        <v>2570</v>
      </c>
      <c r="U8" s="44" t="s">
        <v>2571</v>
      </c>
      <c r="V8" s="44" t="s">
        <v>2572</v>
      </c>
      <c r="W8" s="44" t="s">
        <v>2573</v>
      </c>
      <c r="X8" s="44" t="s">
        <v>2574</v>
      </c>
      <c r="Y8" s="44" t="s">
        <v>2575</v>
      </c>
      <c r="Z8" s="44" t="s">
        <v>2576</v>
      </c>
      <c r="AA8" s="44" t="s">
        <v>2577</v>
      </c>
      <c r="AB8" s="44" t="s">
        <v>2578</v>
      </c>
      <c r="AC8" s="44" t="s">
        <v>2579</v>
      </c>
      <c r="AD8" s="44" t="s">
        <v>2580</v>
      </c>
      <c r="AE8" s="44" t="s">
        <v>2581</v>
      </c>
      <c r="AF8" s="44" t="s">
        <v>2582</v>
      </c>
      <c r="AG8" s="44" t="s">
        <v>2583</v>
      </c>
      <c r="AH8" s="44" t="s">
        <v>2584</v>
      </c>
      <c r="AI8" s="44" t="s">
        <v>2585</v>
      </c>
      <c r="AJ8" s="44" t="s">
        <v>2586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2548</v>
      </c>
      <c r="D10" s="50" t="s">
        <v>41</v>
      </c>
      <c r="E10" s="32" t="s">
        <v>3</v>
      </c>
      <c r="F10" s="32" t="s">
        <v>2549</v>
      </c>
      <c r="G10" s="32"/>
      <c r="H10" s="32"/>
      <c r="I10" s="32"/>
      <c r="J10" s="32"/>
      <c r="K10" s="33">
        <v>3188.77</v>
      </c>
      <c r="L10" s="33">
        <v>2917.65</v>
      </c>
      <c r="M10" s="33">
        <v>2102.12</v>
      </c>
      <c r="N10" s="33">
        <v>1502.59</v>
      </c>
      <c r="O10" s="33">
        <v>798.9</v>
      </c>
      <c r="P10" s="33">
        <v>402.89</v>
      </c>
      <c r="Q10" s="33">
        <v>230.9</v>
      </c>
      <c r="R10" s="33">
        <v>105.05</v>
      </c>
      <c r="S10" s="33">
        <v>88.3</v>
      </c>
      <c r="T10" s="33">
        <v>544.32</v>
      </c>
      <c r="U10" s="33">
        <v>1673.96</v>
      </c>
      <c r="V10" s="33">
        <v>2217.69</v>
      </c>
      <c r="W10" s="33">
        <v>2415.15</v>
      </c>
      <c r="X10" s="33">
        <v>1665.25</v>
      </c>
      <c r="Y10" s="33">
        <v>1315.02</v>
      </c>
      <c r="Z10" s="33">
        <v>988.88</v>
      </c>
      <c r="AA10" s="33">
        <v>680.1</v>
      </c>
      <c r="AB10" s="33">
        <v>302.63</v>
      </c>
      <c r="AC10" s="33">
        <v>237.07</v>
      </c>
      <c r="AD10" s="33">
        <v>231.57</v>
      </c>
      <c r="AE10" s="33">
        <v>333.66</v>
      </c>
      <c r="AF10" s="33">
        <v>873.99</v>
      </c>
      <c r="AG10" s="33">
        <v>1506.61</v>
      </c>
      <c r="AH10" s="33">
        <v>1769.33</v>
      </c>
      <c r="AI10" s="33">
        <v>2151.48</v>
      </c>
      <c r="AJ10" s="33">
        <v>1623.11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2548</v>
      </c>
      <c r="D11" s="50" t="s">
        <v>41</v>
      </c>
      <c r="E11" s="32" t="s">
        <v>3</v>
      </c>
      <c r="F11" s="32" t="s">
        <v>2550</v>
      </c>
      <c r="G11" s="32"/>
      <c r="H11" s="32"/>
      <c r="I11" s="32"/>
      <c r="J11" s="32"/>
      <c r="K11" s="33">
        <v>189.25</v>
      </c>
      <c r="L11" s="33">
        <v>219.04</v>
      </c>
      <c r="M11" s="33">
        <v>193.4</v>
      </c>
      <c r="N11" s="33">
        <v>111.86</v>
      </c>
      <c r="O11" s="33">
        <v>81.55</v>
      </c>
      <c r="P11" s="33">
        <v>65.32</v>
      </c>
      <c r="Q11" s="33">
        <v>51.33</v>
      </c>
      <c r="R11" s="33">
        <v>27.64</v>
      </c>
      <c r="S11" s="33">
        <v>59.13</v>
      </c>
      <c r="T11" s="33">
        <v>62.27</v>
      </c>
      <c r="U11" s="33">
        <v>87.74</v>
      </c>
      <c r="V11" s="33">
        <v>136.35</v>
      </c>
      <c r="W11" s="33">
        <v>155.36</v>
      </c>
      <c r="X11" s="33">
        <v>168.59</v>
      </c>
      <c r="Y11" s="33">
        <v>159.38</v>
      </c>
      <c r="Z11" s="33">
        <v>101.99</v>
      </c>
      <c r="AA11" s="33">
        <v>61.07</v>
      </c>
      <c r="AB11" s="33">
        <v>48.94</v>
      </c>
      <c r="AC11" s="33">
        <v>46.87</v>
      </c>
      <c r="AD11" s="33">
        <v>53.71</v>
      </c>
      <c r="AE11" s="33">
        <v>45.7</v>
      </c>
      <c r="AF11" s="33">
        <v>52.28</v>
      </c>
      <c r="AG11" s="33">
        <v>72.06</v>
      </c>
      <c r="AH11" s="33">
        <v>91.81</v>
      </c>
      <c r="AI11" s="33">
        <v>108.99</v>
      </c>
      <c r="AJ11" s="33">
        <v>103.52</v>
      </c>
      <c r="AK11" s="32"/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2548</v>
      </c>
      <c r="D16" s="50" t="s">
        <v>42</v>
      </c>
      <c r="E16" s="32" t="s">
        <v>3</v>
      </c>
      <c r="F16" s="32" t="s">
        <v>2551</v>
      </c>
      <c r="G16" s="32"/>
      <c r="H16" s="32"/>
      <c r="I16" s="32"/>
      <c r="J16" s="33">
        <v>1222.35</v>
      </c>
      <c r="K16" s="33">
        <v>1921.16</v>
      </c>
      <c r="L16" s="33">
        <v>1425.25</v>
      </c>
      <c r="M16" s="33">
        <v>1112.97</v>
      </c>
      <c r="N16" s="33">
        <v>750.86</v>
      </c>
      <c r="O16" s="33">
        <v>998.66</v>
      </c>
      <c r="P16" s="33">
        <v>1769.86</v>
      </c>
      <c r="Q16" s="33">
        <v>1727.85</v>
      </c>
      <c r="R16" s="33">
        <v>1416</v>
      </c>
      <c r="S16" s="33">
        <v>1315.05</v>
      </c>
      <c r="T16" s="33">
        <v>592.32</v>
      </c>
      <c r="U16" s="33">
        <v>958.34</v>
      </c>
      <c r="V16" s="33">
        <v>1257.02</v>
      </c>
      <c r="W16" s="33">
        <v>2318.56</v>
      </c>
      <c r="X16" s="33">
        <v>1231.87</v>
      </c>
      <c r="Y16" s="33">
        <v>1505.57</v>
      </c>
      <c r="Z16" s="33">
        <v>834.18</v>
      </c>
      <c r="AA16" s="33">
        <v>941.76</v>
      </c>
      <c r="AB16" s="33">
        <v>1686.88</v>
      </c>
      <c r="AC16" s="33">
        <v>1772.66</v>
      </c>
      <c r="AD16" s="33">
        <v>1560.82</v>
      </c>
      <c r="AE16" s="33">
        <v>1181.59</v>
      </c>
      <c r="AF16" s="33">
        <v>670.56</v>
      </c>
      <c r="AG16" s="33">
        <v>818.52</v>
      </c>
      <c r="AH16" s="33">
        <v>1100.31</v>
      </c>
      <c r="AI16" s="33">
        <v>1598.03</v>
      </c>
      <c r="AJ16" s="33">
        <v>1263.26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2548</v>
      </c>
      <c r="D17" s="50" t="s">
        <v>42</v>
      </c>
      <c r="E17" s="32" t="s">
        <v>3</v>
      </c>
      <c r="F17" s="32" t="s">
        <v>2552</v>
      </c>
      <c r="G17" s="32"/>
      <c r="H17" s="32"/>
      <c r="I17" s="32"/>
      <c r="J17" s="33">
        <v>426.06</v>
      </c>
      <c r="K17" s="33">
        <v>429.54</v>
      </c>
      <c r="L17" s="33">
        <v>423.52</v>
      </c>
      <c r="M17" s="33">
        <v>437.07</v>
      </c>
      <c r="N17" s="33">
        <v>469.84</v>
      </c>
      <c r="O17" s="33">
        <v>408.98</v>
      </c>
      <c r="P17" s="33">
        <v>494.48</v>
      </c>
      <c r="Q17" s="33">
        <v>487.9</v>
      </c>
      <c r="R17" s="33">
        <v>345.26</v>
      </c>
      <c r="S17" s="33">
        <v>351.04</v>
      </c>
      <c r="T17" s="33">
        <v>390.89</v>
      </c>
      <c r="U17" s="33">
        <v>506.34</v>
      </c>
      <c r="V17" s="33">
        <v>529.3</v>
      </c>
      <c r="W17" s="33">
        <v>545.72</v>
      </c>
      <c r="X17" s="33">
        <v>539.93</v>
      </c>
      <c r="Y17" s="33">
        <v>551.85</v>
      </c>
      <c r="Z17" s="33">
        <v>584.46</v>
      </c>
      <c r="AA17" s="33">
        <v>400.16</v>
      </c>
      <c r="AB17" s="33">
        <v>551.05</v>
      </c>
      <c r="AC17" s="33">
        <v>567.07</v>
      </c>
      <c r="AD17" s="33">
        <v>491.19</v>
      </c>
      <c r="AE17" s="33">
        <v>490.98</v>
      </c>
      <c r="AF17" s="33">
        <v>472.18</v>
      </c>
      <c r="AG17" s="33">
        <v>465.61</v>
      </c>
      <c r="AH17" s="33">
        <v>516.25</v>
      </c>
      <c r="AI17" s="33">
        <v>518.68</v>
      </c>
      <c r="AJ17" s="33">
        <v>495.03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2548</v>
      </c>
      <c r="D18" s="50" t="s">
        <v>42</v>
      </c>
      <c r="E18" s="32" t="s">
        <v>3</v>
      </c>
      <c r="F18" s="32" t="s">
        <v>2553</v>
      </c>
      <c r="G18" s="32"/>
      <c r="H18" s="32"/>
      <c r="I18" s="32"/>
      <c r="J18" s="33">
        <v>1512.29</v>
      </c>
      <c r="K18" s="33">
        <v>2437.03</v>
      </c>
      <c r="L18" s="33">
        <v>1874.36</v>
      </c>
      <c r="M18" s="33">
        <v>1502.75</v>
      </c>
      <c r="N18" s="33">
        <v>951.74</v>
      </c>
      <c r="O18" s="33">
        <v>538.33</v>
      </c>
      <c r="P18" s="33">
        <v>705.86</v>
      </c>
      <c r="Q18" s="33">
        <v>845.87</v>
      </c>
      <c r="R18" s="33">
        <v>679.71</v>
      </c>
      <c r="S18" s="33">
        <v>821.39</v>
      </c>
      <c r="T18" s="33">
        <v>634.18</v>
      </c>
      <c r="U18" s="33">
        <v>971.48</v>
      </c>
      <c r="V18" s="33">
        <v>1456.05</v>
      </c>
      <c r="W18" s="33">
        <v>2463.95</v>
      </c>
      <c r="X18" s="33">
        <v>1469.17</v>
      </c>
      <c r="Y18" s="33">
        <v>1693.21</v>
      </c>
      <c r="Z18" s="33">
        <v>929.81</v>
      </c>
      <c r="AA18" s="33">
        <v>687.61</v>
      </c>
      <c r="AB18" s="33">
        <v>1126.57</v>
      </c>
      <c r="AC18" s="33">
        <v>1260.11</v>
      </c>
      <c r="AD18" s="33">
        <v>1154.02</v>
      </c>
      <c r="AE18" s="33">
        <v>1069.95</v>
      </c>
      <c r="AF18" s="33">
        <v>772.63</v>
      </c>
      <c r="AG18" s="33">
        <v>1158.45</v>
      </c>
      <c r="AH18" s="33">
        <v>1581.8</v>
      </c>
      <c r="AI18" s="33">
        <v>1854.19</v>
      </c>
      <c r="AJ18" s="33">
        <v>1630.56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2548</v>
      </c>
      <c r="D19" s="50" t="s">
        <v>42</v>
      </c>
      <c r="E19" s="32" t="s">
        <v>3</v>
      </c>
      <c r="F19" s="32" t="s">
        <v>2554</v>
      </c>
      <c r="G19" s="32"/>
      <c r="H19" s="32"/>
      <c r="I19" s="32"/>
      <c r="J19" s="33">
        <v>1992.13</v>
      </c>
      <c r="K19" s="33">
        <v>2644.42</v>
      </c>
      <c r="L19" s="33">
        <v>2306.72</v>
      </c>
      <c r="M19" s="33">
        <v>1993.58</v>
      </c>
      <c r="N19" s="33">
        <v>1147.17</v>
      </c>
      <c r="O19" s="33">
        <v>688.44</v>
      </c>
      <c r="P19" s="33">
        <v>817.85</v>
      </c>
      <c r="Q19" s="33">
        <v>715.18</v>
      </c>
      <c r="R19" s="33">
        <v>534.77</v>
      </c>
      <c r="S19" s="33">
        <v>571.99</v>
      </c>
      <c r="T19" s="33">
        <v>729.23</v>
      </c>
      <c r="U19" s="33">
        <v>1116.88</v>
      </c>
      <c r="V19" s="33">
        <v>1624.87</v>
      </c>
      <c r="W19" s="33">
        <v>2656.01</v>
      </c>
      <c r="X19" s="33">
        <v>1598.43</v>
      </c>
      <c r="Y19" s="33">
        <v>1875.92</v>
      </c>
      <c r="Z19" s="33">
        <v>1322.41</v>
      </c>
      <c r="AA19" s="33">
        <v>670.35</v>
      </c>
      <c r="AB19" s="33">
        <v>1040.08</v>
      </c>
      <c r="AC19" s="33">
        <v>1012.58</v>
      </c>
      <c r="AD19" s="33">
        <v>892.95</v>
      </c>
      <c r="AE19" s="33">
        <v>782.57</v>
      </c>
      <c r="AF19" s="33">
        <v>681.76</v>
      </c>
      <c r="AG19" s="33">
        <v>955.57</v>
      </c>
      <c r="AH19" s="33">
        <v>1359.88</v>
      </c>
      <c r="AI19" s="33">
        <v>2143.25</v>
      </c>
      <c r="AJ19" s="33">
        <v>1776.15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2548</v>
      </c>
      <c r="D20" s="50" t="s">
        <v>42</v>
      </c>
      <c r="E20" s="32" t="s">
        <v>3</v>
      </c>
      <c r="F20" s="32" t="s">
        <v>2555</v>
      </c>
      <c r="G20" s="32"/>
      <c r="H20" s="32"/>
      <c r="I20" s="32"/>
      <c r="J20" s="33">
        <v>1162.17</v>
      </c>
      <c r="K20" s="33">
        <v>1768.04</v>
      </c>
      <c r="L20" s="33">
        <v>1409.5</v>
      </c>
      <c r="M20" s="33">
        <v>1052.21</v>
      </c>
      <c r="N20" s="33">
        <v>792.93</v>
      </c>
      <c r="O20" s="33">
        <v>907.44</v>
      </c>
      <c r="P20" s="33">
        <v>1456.58</v>
      </c>
      <c r="Q20" s="33">
        <v>1718.23</v>
      </c>
      <c r="R20" s="33">
        <v>1189.1</v>
      </c>
      <c r="S20" s="33">
        <v>1192.13</v>
      </c>
      <c r="T20" s="33">
        <v>791.22</v>
      </c>
      <c r="U20" s="33">
        <v>1048.98</v>
      </c>
      <c r="V20" s="33">
        <v>1079.21</v>
      </c>
      <c r="W20" s="33">
        <v>1656.48</v>
      </c>
      <c r="X20" s="33">
        <v>1148.03</v>
      </c>
      <c r="Y20" s="33">
        <v>1253.86</v>
      </c>
      <c r="Z20" s="33">
        <v>851.18</v>
      </c>
      <c r="AA20" s="33">
        <v>762.89</v>
      </c>
      <c r="AB20" s="33">
        <v>1506.94</v>
      </c>
      <c r="AC20" s="33">
        <v>1745.68</v>
      </c>
      <c r="AD20" s="33">
        <v>1476.35</v>
      </c>
      <c r="AE20" s="33">
        <v>970.06</v>
      </c>
      <c r="AF20" s="33">
        <v>718.55</v>
      </c>
      <c r="AG20" s="33">
        <v>789.87</v>
      </c>
      <c r="AH20" s="33">
        <v>925.51</v>
      </c>
      <c r="AI20" s="33">
        <v>1212.47</v>
      </c>
      <c r="AJ20" s="33">
        <v>982.43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2548</v>
      </c>
      <c r="D21" s="50" t="s">
        <v>42</v>
      </c>
      <c r="E21" s="32" t="s">
        <v>3</v>
      </c>
      <c r="F21" s="32" t="s">
        <v>2556</v>
      </c>
      <c r="G21" s="32"/>
      <c r="H21" s="32"/>
      <c r="I21" s="32"/>
      <c r="J21" s="33">
        <v>626.53</v>
      </c>
      <c r="K21" s="33">
        <v>923.73</v>
      </c>
      <c r="L21" s="33">
        <v>690.79</v>
      </c>
      <c r="M21" s="33">
        <v>538.17</v>
      </c>
      <c r="N21" s="33">
        <v>367.56</v>
      </c>
      <c r="O21" s="33">
        <v>250.34</v>
      </c>
      <c r="P21" s="33">
        <v>179.97</v>
      </c>
      <c r="Q21" s="33">
        <v>256.62</v>
      </c>
      <c r="R21" s="33">
        <v>133.09</v>
      </c>
      <c r="S21" s="33">
        <v>209.13</v>
      </c>
      <c r="T21" s="33">
        <v>135.51</v>
      </c>
      <c r="U21" s="33">
        <v>337.31</v>
      </c>
      <c r="V21" s="33">
        <v>545.22</v>
      </c>
      <c r="W21" s="33">
        <v>915.96</v>
      </c>
      <c r="X21" s="33">
        <v>535.93</v>
      </c>
      <c r="Y21" s="33">
        <v>632.95</v>
      </c>
      <c r="Z21" s="33">
        <v>417.61</v>
      </c>
      <c r="AA21" s="33">
        <v>204.32</v>
      </c>
      <c r="AB21" s="33">
        <v>193.51</v>
      </c>
      <c r="AC21" s="33">
        <v>356.91</v>
      </c>
      <c r="AD21" s="33">
        <v>400.82</v>
      </c>
      <c r="AE21" s="33">
        <v>259.59</v>
      </c>
      <c r="AF21" s="33">
        <v>150.01</v>
      </c>
      <c r="AG21" s="33">
        <v>321.81</v>
      </c>
      <c r="AH21" s="33">
        <v>457.59</v>
      </c>
      <c r="AI21" s="33">
        <v>585.9</v>
      </c>
      <c r="AJ21" s="33">
        <v>476.39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2548</v>
      </c>
      <c r="D22" s="50" t="s">
        <v>42</v>
      </c>
      <c r="E22" s="32" t="s">
        <v>3</v>
      </c>
      <c r="F22" s="32" t="s">
        <v>2557</v>
      </c>
      <c r="G22" s="32"/>
      <c r="H22" s="32"/>
      <c r="I22" s="32"/>
      <c r="J22" s="33">
        <v>234.71</v>
      </c>
      <c r="K22" s="33">
        <v>431.12</v>
      </c>
      <c r="L22" s="33">
        <v>277.57</v>
      </c>
      <c r="M22" s="33">
        <v>203.48</v>
      </c>
      <c r="N22" s="33">
        <v>369.36</v>
      </c>
      <c r="O22" s="33">
        <v>342.2</v>
      </c>
      <c r="P22" s="33">
        <v>596.45</v>
      </c>
      <c r="Q22" s="33">
        <v>842.63</v>
      </c>
      <c r="R22" s="33">
        <v>685.3</v>
      </c>
      <c r="S22" s="33">
        <v>551.77</v>
      </c>
      <c r="T22" s="33">
        <v>245.75</v>
      </c>
      <c r="U22" s="33">
        <v>133.29</v>
      </c>
      <c r="V22" s="33">
        <v>180.69</v>
      </c>
      <c r="W22" s="33">
        <v>194.96</v>
      </c>
      <c r="X22" s="33">
        <v>203.3</v>
      </c>
      <c r="Y22" s="33">
        <v>256.8</v>
      </c>
      <c r="Z22" s="33">
        <v>250.65</v>
      </c>
      <c r="AA22" s="33">
        <v>272.24</v>
      </c>
      <c r="AB22" s="33">
        <v>645.41</v>
      </c>
      <c r="AC22" s="33">
        <v>735.52</v>
      </c>
      <c r="AD22" s="33">
        <v>738</v>
      </c>
      <c r="AE22" s="33">
        <v>576.2</v>
      </c>
      <c r="AF22" s="33">
        <v>276.57</v>
      </c>
      <c r="AG22" s="33">
        <v>237.62</v>
      </c>
      <c r="AH22" s="33">
        <v>277.28</v>
      </c>
      <c r="AI22" s="33">
        <v>165.94</v>
      </c>
      <c r="AJ22" s="33">
        <v>221.4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2548</v>
      </c>
      <c r="D23" s="50" t="s">
        <v>42</v>
      </c>
      <c r="E23" s="32" t="s">
        <v>3</v>
      </c>
      <c r="F23" s="32" t="s">
        <v>2558</v>
      </c>
      <c r="G23" s="32"/>
      <c r="H23" s="32"/>
      <c r="I23" s="32"/>
      <c r="J23" s="33">
        <v>137</v>
      </c>
      <c r="K23" s="33">
        <v>239.33</v>
      </c>
      <c r="L23" s="33">
        <v>175.97</v>
      </c>
      <c r="M23" s="33">
        <v>171.56</v>
      </c>
      <c r="N23" s="33">
        <v>117.03</v>
      </c>
      <c r="O23" s="33">
        <v>31.74</v>
      </c>
      <c r="P23" s="33">
        <v>31.74</v>
      </c>
      <c r="Q23" s="33">
        <v>31.74</v>
      </c>
      <c r="R23" s="33">
        <v>31.74</v>
      </c>
      <c r="S23" s="33">
        <v>43.98</v>
      </c>
      <c r="T23" s="33">
        <v>107.15</v>
      </c>
      <c r="U23" s="33">
        <v>89.49</v>
      </c>
      <c r="V23" s="33">
        <v>124.81</v>
      </c>
      <c r="W23" s="33">
        <v>247.1</v>
      </c>
      <c r="X23" s="33">
        <v>156.77</v>
      </c>
      <c r="Y23" s="33">
        <v>178.56</v>
      </c>
      <c r="Z23" s="33">
        <v>106.81</v>
      </c>
      <c r="AA23" s="33">
        <v>31.74</v>
      </c>
      <c r="AB23" s="33">
        <v>31.74</v>
      </c>
      <c r="AC23" s="33">
        <v>31.74</v>
      </c>
      <c r="AD23" s="33">
        <v>31.74</v>
      </c>
      <c r="AE23" s="33">
        <v>54.26</v>
      </c>
      <c r="AF23" s="33">
        <v>114.55</v>
      </c>
      <c r="AG23" s="33">
        <v>104.47</v>
      </c>
      <c r="AH23" s="33">
        <v>94.67</v>
      </c>
      <c r="AI23" s="33">
        <v>178.6</v>
      </c>
      <c r="AJ23" s="33">
        <v>150.43</v>
      </c>
      <c r="AK23" s="32"/>
      <c r="AL23" s="34">
        <f>SUM(G23:AK23)</f>
      </c>
      <c r="AM23" s="35"/>
    </row>
    <row r="24" ht="13.5" customHeight="1" spans="2:39" x14ac:dyDescent="0.25">
      <c r="B24" s="51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0"/>
    </row>
    <row r="25" ht="13.5" customHeight="1" spans="2:39" x14ac:dyDescent="0.25">
      <c r="B25" s="20"/>
      <c r="C25" s="21"/>
      <c r="D25" s="21" t="s">
        <v>85</v>
      </c>
      <c r="E25" s="21"/>
      <c r="F25" s="21"/>
      <c r="G25" s="22">
        <f>SUM(G16:G23)</f>
      </c>
      <c r="H25" s="22">
        <f>SUM(H16:H23)</f>
      </c>
      <c r="I25" s="22">
        <f>SUM(I16:I23)</f>
      </c>
      <c r="J25" s="22">
        <f>SUM(J16:J23)</f>
      </c>
      <c r="K25" s="22">
        <f>SUM(K16:K23)</f>
      </c>
      <c r="L25" s="22">
        <f>SUM(L16:L23)</f>
      </c>
      <c r="M25" s="22">
        <f>SUM(M16:M23)</f>
      </c>
      <c r="N25" s="22">
        <f>SUM(N16:N23)</f>
      </c>
      <c r="O25" s="22">
        <f>SUM(O16:O23)</f>
      </c>
      <c r="P25" s="22">
        <f>SUM(P16:P23)</f>
      </c>
      <c r="Q25" s="22">
        <f>SUM(Q16:Q23)</f>
      </c>
      <c r="R25" s="22">
        <f>SUM(R16:R23)</f>
      </c>
      <c r="S25" s="22">
        <f>SUM(S16:S23)</f>
      </c>
      <c r="T25" s="22">
        <f>SUM(T16:T23)</f>
      </c>
      <c r="U25" s="22">
        <f>SUM(U16:U23)</f>
      </c>
      <c r="V25" s="22">
        <f>SUM(V16:V23)</f>
      </c>
      <c r="W25" s="22">
        <f>SUM(W16:W23)</f>
      </c>
      <c r="X25" s="22">
        <f>SUM(X16:X23)</f>
      </c>
      <c r="Y25" s="22">
        <f>SUM(Y16:Y23)</f>
      </c>
      <c r="Z25" s="22">
        <f>SUM(Z16:Z23)</f>
      </c>
      <c r="AA25" s="22">
        <f>SUM(AA16:AA23)</f>
      </c>
      <c r="AB25" s="22">
        <f>SUM(AB16:AB23)</f>
      </c>
      <c r="AC25" s="22">
        <f>SUM(AC16:AC23)</f>
      </c>
      <c r="AD25" s="22">
        <f>SUM(AD16:AD23)</f>
      </c>
      <c r="AE25" s="22">
        <f>SUM(AE16:AE23)</f>
      </c>
      <c r="AF25" s="22">
        <f>SUM(AF16:AF23)</f>
      </c>
      <c r="AG25" s="22">
        <f>SUM(AG16:AG23)</f>
      </c>
      <c r="AH25" s="22">
        <f>SUM(AH16:AH23)</f>
      </c>
      <c r="AI25" s="22">
        <f>SUM(AI16:AI23)</f>
      </c>
      <c r="AJ25" s="22">
        <f>SUM(AJ16:AJ23)</f>
      </c>
      <c r="AK25" s="22">
        <f>SUM(AK16:AK23)</f>
      </c>
      <c r="AL25" s="22">
        <f>SUM(AL16:AL23)</f>
      </c>
      <c r="AM25" s="23"/>
    </row>
    <row r="27" ht="13.5" customHeight="1" spans="2:39" x14ac:dyDescent="0.25">
      <c r="B27" s="46"/>
      <c r="C27" s="28"/>
      <c r="D27" s="47" t="s">
        <v>43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</row>
    <row r="28" ht="13.5" customHeight="1" spans="2:39" x14ac:dyDescent="0.25">
      <c r="B28" s="48" t="s">
        <v>3</v>
      </c>
      <c r="C28" s="49" t="s">
        <v>2548</v>
      </c>
      <c r="D28" s="50" t="s">
        <v>43</v>
      </c>
      <c r="E28" s="32" t="s">
        <v>3</v>
      </c>
      <c r="F28" s="32" t="s">
        <v>2559</v>
      </c>
      <c r="G28" s="32"/>
      <c r="H28" s="32"/>
      <c r="I28" s="32"/>
      <c r="J28" s="33">
        <v>3110.36</v>
      </c>
      <c r="K28" s="33">
        <v>3037.02</v>
      </c>
      <c r="L28" s="33">
        <v>3046.47</v>
      </c>
      <c r="M28" s="33">
        <v>2814.76</v>
      </c>
      <c r="N28" s="33">
        <v>2579.52</v>
      </c>
      <c r="O28" s="33">
        <v>2380.95</v>
      </c>
      <c r="P28" s="33">
        <v>1990.97</v>
      </c>
      <c r="Q28" s="33">
        <v>1237.78</v>
      </c>
      <c r="R28" s="33">
        <v>1968.65</v>
      </c>
      <c r="S28" s="33">
        <v>2174.97</v>
      </c>
      <c r="T28" s="33">
        <v>2653.45</v>
      </c>
      <c r="U28" s="33">
        <v>2573.72</v>
      </c>
      <c r="V28" s="33">
        <v>2979.03</v>
      </c>
      <c r="W28" s="33">
        <v>2429.58</v>
      </c>
      <c r="X28" s="33">
        <v>2469.49</v>
      </c>
      <c r="Y28" s="33">
        <v>2103.81</v>
      </c>
      <c r="Z28" s="33">
        <v>1680.79</v>
      </c>
      <c r="AA28" s="33">
        <v>1322.03</v>
      </c>
      <c r="AB28" s="33">
        <v>1878.86</v>
      </c>
      <c r="AC28" s="33">
        <v>1684.4</v>
      </c>
      <c r="AD28" s="33">
        <v>2308.42</v>
      </c>
      <c r="AE28" s="33">
        <v>1975.37</v>
      </c>
      <c r="AF28" s="33">
        <v>1869.45</v>
      </c>
      <c r="AG28" s="33">
        <v>2462.26</v>
      </c>
      <c r="AH28" s="33">
        <v>2040.27</v>
      </c>
      <c r="AI28" s="33">
        <v>2276.1</v>
      </c>
      <c r="AJ28" s="33">
        <v>2281.92</v>
      </c>
      <c r="AK28" s="32"/>
      <c r="AL28" s="34">
        <f>SUM(G28:AK28)</f>
      </c>
      <c r="AM28" s="35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89</v>
      </c>
      <c r="E30" s="21"/>
      <c r="F30" s="21"/>
      <c r="G30" s="22">
        <f>SUM(G28:G28)</f>
      </c>
      <c r="H30" s="22">
        <f>SUM(H28:H28)</f>
      </c>
      <c r="I30" s="22">
        <f>SUM(I28:I28)</f>
      </c>
      <c r="J30" s="22">
        <f>SUM(J28:J28)</f>
      </c>
      <c r="K30" s="22">
        <f>SUM(K28:K28)</f>
      </c>
      <c r="L30" s="22">
        <f>SUM(L28:L28)</f>
      </c>
      <c r="M30" s="22">
        <f>SUM(M28:M28)</f>
      </c>
      <c r="N30" s="22">
        <f>SUM(N28:N28)</f>
      </c>
      <c r="O30" s="22">
        <f>SUM(O28:O28)</f>
      </c>
      <c r="P30" s="22">
        <f>SUM(P28:P28)</f>
      </c>
      <c r="Q30" s="22">
        <f>SUM(Q28:Q28)</f>
      </c>
      <c r="R30" s="22">
        <f>SUM(R28:R28)</f>
      </c>
      <c r="S30" s="22">
        <f>SUM(S28:S28)</f>
      </c>
      <c r="T30" s="22">
        <f>SUM(T28:T28)</f>
      </c>
      <c r="U30" s="22">
        <f>SUM(U28:U28)</f>
      </c>
      <c r="V30" s="22">
        <f>SUM(V28:V28)</f>
      </c>
      <c r="W30" s="22">
        <f>SUM(W28:W28)</f>
      </c>
      <c r="X30" s="22">
        <f>SUM(X28:X28)</f>
      </c>
      <c r="Y30" s="22">
        <f>SUM(Y28:Y28)</f>
      </c>
      <c r="Z30" s="22">
        <f>SUM(Z28:Z28)</f>
      </c>
      <c r="AA30" s="22">
        <f>SUM(AA28:AA28)</f>
      </c>
      <c r="AB30" s="22">
        <f>SUM(AB28:AB28)</f>
      </c>
      <c r="AC30" s="22">
        <f>SUM(AC28:AC28)</f>
      </c>
      <c r="AD30" s="22">
        <f>SUM(AD28:AD28)</f>
      </c>
      <c r="AE30" s="22">
        <f>SUM(AE28:AE28)</f>
      </c>
      <c r="AF30" s="22">
        <f>SUM(AF28:AF28)</f>
      </c>
      <c r="AG30" s="22">
        <f>SUM(AG28:AG28)</f>
      </c>
      <c r="AH30" s="22">
        <f>SUM(AH28:AH28)</f>
      </c>
      <c r="AI30" s="22">
        <f>SUM(AI28:AI28)</f>
      </c>
      <c r="AJ30" s="22">
        <f>SUM(AJ28:AJ28)</f>
      </c>
      <c r="AK30" s="22">
        <f>SUM(AK28:AK28)</f>
      </c>
      <c r="AL30" s="22">
        <f>SUM(AL28:AL28)</f>
      </c>
      <c r="AM30" s="23"/>
    </row>
    <row r="32" ht="13.5" customHeight="1" spans="2:39" x14ac:dyDescent="0.25">
      <c r="B32" s="46"/>
      <c r="C32" s="28"/>
      <c r="D32" s="47" t="s">
        <v>44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90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3"/>
    </row>
    <row r="37" ht="12.75" customHeight="1" spans="2:39" x14ac:dyDescent="0.25">
      <c r="B37" s="11" t="s">
        <v>40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>
        <f>G13</f>
      </c>
      <c r="H38" s="18">
        <f>H13</f>
      </c>
      <c r="I38" s="18">
        <f>I13</f>
      </c>
      <c r="J38" s="18">
        <f>J13</f>
      </c>
      <c r="K38" s="18">
        <f>K13</f>
      </c>
      <c r="L38" s="18">
        <f>L13</f>
      </c>
      <c r="M38" s="18">
        <f>M13</f>
      </c>
      <c r="N38" s="18">
        <f>N13</f>
      </c>
      <c r="O38" s="18">
        <f>O13</f>
      </c>
      <c r="P38" s="18">
        <f>P13</f>
      </c>
      <c r="Q38" s="18">
        <f>Q13</f>
      </c>
      <c r="R38" s="18">
        <f>R13</f>
      </c>
      <c r="S38" s="18">
        <f>S13</f>
      </c>
      <c r="T38" s="18">
        <f>T13</f>
      </c>
      <c r="U38" s="18">
        <f>U13</f>
      </c>
      <c r="V38" s="18">
        <f>V13</f>
      </c>
      <c r="W38" s="18">
        <f>W13</f>
      </c>
      <c r="X38" s="18">
        <f>X13</f>
      </c>
      <c r="Y38" s="18">
        <f>Y13</f>
      </c>
      <c r="Z38" s="18">
        <f>Z13</f>
      </c>
      <c r="AA38" s="18">
        <f>AA13</f>
      </c>
      <c r="AB38" s="18">
        <f>AB13</f>
      </c>
      <c r="AC38" s="18">
        <f>AC13</f>
      </c>
      <c r="AD38" s="18">
        <f>AD13</f>
      </c>
      <c r="AE38" s="18">
        <f>AE13</f>
      </c>
      <c r="AF38" s="18">
        <f>AF13</f>
      </c>
      <c r="AG38" s="18">
        <f>AG13</f>
      </c>
      <c r="AH38" s="18">
        <f>AH13</f>
      </c>
      <c r="AI38" s="18">
        <f>AI13</f>
      </c>
      <c r="AJ38" s="18">
        <f>AJ13</f>
      </c>
      <c r="AK38" s="18">
        <f>AK13</f>
      </c>
      <c r="AL38" s="18">
        <f>AL13</f>
      </c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>
        <f>G25</f>
      </c>
      <c r="H39" s="18">
        <f>H25</f>
      </c>
      <c r="I39" s="18">
        <f>I25</f>
      </c>
      <c r="J39" s="18">
        <f>J25</f>
      </c>
      <c r="K39" s="18">
        <f>K25</f>
      </c>
      <c r="L39" s="18">
        <f>L25</f>
      </c>
      <c r="M39" s="18">
        <f>M25</f>
      </c>
      <c r="N39" s="18">
        <f>N25</f>
      </c>
      <c r="O39" s="18">
        <f>O25</f>
      </c>
      <c r="P39" s="18">
        <f>P25</f>
      </c>
      <c r="Q39" s="18">
        <f>Q25</f>
      </c>
      <c r="R39" s="18">
        <f>R25</f>
      </c>
      <c r="S39" s="18">
        <f>S25</f>
      </c>
      <c r="T39" s="18">
        <f>T25</f>
      </c>
      <c r="U39" s="18">
        <f>U25</f>
      </c>
      <c r="V39" s="18">
        <f>V25</f>
      </c>
      <c r="W39" s="18">
        <f>W25</f>
      </c>
      <c r="X39" s="18">
        <f>X25</f>
      </c>
      <c r="Y39" s="18">
        <f>Y25</f>
      </c>
      <c r="Z39" s="18">
        <f>Z25</f>
      </c>
      <c r="AA39" s="18">
        <f>AA25</f>
      </c>
      <c r="AB39" s="18">
        <f>AB25</f>
      </c>
      <c r="AC39" s="18">
        <f>AC25</f>
      </c>
      <c r="AD39" s="18">
        <f>AD25</f>
      </c>
      <c r="AE39" s="18">
        <f>AE25</f>
      </c>
      <c r="AF39" s="18">
        <f>AF25</f>
      </c>
      <c r="AG39" s="18">
        <f>AG25</f>
      </c>
      <c r="AH39" s="18">
        <f>AH25</f>
      </c>
      <c r="AI39" s="18">
        <f>AI25</f>
      </c>
      <c r="AJ39" s="18">
        <f>AJ25</f>
      </c>
      <c r="AK39" s="18">
        <f>AK25</f>
      </c>
      <c r="AL39" s="18">
        <f>AL25</f>
      </c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>
        <f>G30</f>
      </c>
      <c r="H40" s="18">
        <f>H30</f>
      </c>
      <c r="I40" s="18">
        <f>I30</f>
      </c>
      <c r="J40" s="18">
        <f>J30</f>
      </c>
      <c r="K40" s="18">
        <f>K30</f>
      </c>
      <c r="L40" s="18">
        <f>L30</f>
      </c>
      <c r="M40" s="18">
        <f>M30</f>
      </c>
      <c r="N40" s="18">
        <f>N30</f>
      </c>
      <c r="O40" s="18">
        <f>O30</f>
      </c>
      <c r="P40" s="18">
        <f>P30</f>
      </c>
      <c r="Q40" s="18">
        <f>Q30</f>
      </c>
      <c r="R40" s="18">
        <f>R30</f>
      </c>
      <c r="S40" s="18">
        <f>S30</f>
      </c>
      <c r="T40" s="18">
        <f>T30</f>
      </c>
      <c r="U40" s="18">
        <f>U30</f>
      </c>
      <c r="V40" s="18">
        <f>V30</f>
      </c>
      <c r="W40" s="18">
        <f>W30</f>
      </c>
      <c r="X40" s="18">
        <f>X30</f>
      </c>
      <c r="Y40" s="18">
        <f>Y30</f>
      </c>
      <c r="Z40" s="18">
        <f>Z30</f>
      </c>
      <c r="AA40" s="18">
        <f>AA30</f>
      </c>
      <c r="AB40" s="18">
        <f>AB30</f>
      </c>
      <c r="AC40" s="18">
        <f>AC30</f>
      </c>
      <c r="AD40" s="18">
        <f>AD30</f>
      </c>
      <c r="AE40" s="18">
        <f>AE30</f>
      </c>
      <c r="AF40" s="18">
        <f>AF30</f>
      </c>
      <c r="AG40" s="18">
        <f>AG30</f>
      </c>
      <c r="AH40" s="18">
        <f>AH30</f>
      </c>
      <c r="AI40" s="18">
        <f>AI30</f>
      </c>
      <c r="AJ40" s="18">
        <f>AJ30</f>
      </c>
      <c r="AK40" s="18">
        <f>AK30</f>
      </c>
      <c r="AL40" s="18">
        <f>AL30</f>
      </c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>
        <f>G34</f>
      </c>
      <c r="H41" s="18">
        <f>H34</f>
      </c>
      <c r="I41" s="18">
        <f>I34</f>
      </c>
      <c r="J41" s="18">
        <f>J34</f>
      </c>
      <c r="K41" s="18">
        <f>K34</f>
      </c>
      <c r="L41" s="18">
        <f>L34</f>
      </c>
      <c r="M41" s="18">
        <f>M34</f>
      </c>
      <c r="N41" s="18">
        <f>N34</f>
      </c>
      <c r="O41" s="18">
        <f>O34</f>
      </c>
      <c r="P41" s="18">
        <f>P34</f>
      </c>
      <c r="Q41" s="18">
        <f>Q34</f>
      </c>
      <c r="R41" s="18">
        <f>R34</f>
      </c>
      <c r="S41" s="18">
        <f>S34</f>
      </c>
      <c r="T41" s="18">
        <f>T34</f>
      </c>
      <c r="U41" s="18">
        <f>U34</f>
      </c>
      <c r="V41" s="18">
        <f>V34</f>
      </c>
      <c r="W41" s="18">
        <f>W34</f>
      </c>
      <c r="X41" s="18">
        <f>X34</f>
      </c>
      <c r="Y41" s="18">
        <f>Y34</f>
      </c>
      <c r="Z41" s="18">
        <f>Z34</f>
      </c>
      <c r="AA41" s="18">
        <f>AA34</f>
      </c>
      <c r="AB41" s="18">
        <f>AB34</f>
      </c>
      <c r="AC41" s="18">
        <f>AC34</f>
      </c>
      <c r="AD41" s="18">
        <f>AD34</f>
      </c>
      <c r="AE41" s="18">
        <f>AE34</f>
      </c>
      <c r="AF41" s="18">
        <f>AF34</f>
      </c>
      <c r="AG41" s="18">
        <f>AG34</f>
      </c>
      <c r="AH41" s="18">
        <f>AH34</f>
      </c>
      <c r="AI41" s="18">
        <f>AI34</f>
      </c>
      <c r="AJ41" s="18">
        <f>AJ34</f>
      </c>
      <c r="AK41" s="18">
        <f>AK34</f>
      </c>
      <c r="AL41" s="18">
        <f>AL34</f>
      </c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46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47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5">
        <f>G52+G53+G54+G55</f>
      </c>
      <c r="H56" s="25">
        <f>H52+H53+H54+H55</f>
      </c>
      <c r="I56" s="25">
        <f>I52+I53+I54+I55</f>
      </c>
      <c r="J56" s="25">
        <f>J52+J53+J54+J55</f>
      </c>
      <c r="K56" s="25">
        <f>K52+K53+K54+K55</f>
      </c>
      <c r="L56" s="25">
        <f>L52+L53+L54+L55</f>
      </c>
      <c r="M56" s="25">
        <f>M52+M53+M54+M55</f>
      </c>
      <c r="N56" s="25">
        <f>N52+N53+N54+N55</f>
      </c>
      <c r="O56" s="25">
        <f>O52+O53+O54+O55</f>
      </c>
      <c r="P56" s="25">
        <f>P52+P53+P54+P55</f>
      </c>
      <c r="Q56" s="25">
        <f>Q52+Q53+Q54+Q55</f>
      </c>
      <c r="R56" s="25">
        <f>R52+R53+R54+R55</f>
      </c>
      <c r="S56" s="25">
        <f>S52+S53+S54+S55</f>
      </c>
      <c r="T56" s="25">
        <f>T52+T53+T54+T55</f>
      </c>
      <c r="U56" s="25">
        <f>U52+U53+U54+U55</f>
      </c>
      <c r="V56" s="25">
        <f>V52+V53+V54+V55</f>
      </c>
      <c r="W56" s="25">
        <f>W52+W53+W54+W55</f>
      </c>
      <c r="X56" s="25">
        <f>X52+X53+X54+X55</f>
      </c>
      <c r="Y56" s="25">
        <f>Y52+Y53+Y54+Y55</f>
      </c>
      <c r="Z56" s="25">
        <f>Z52+Z53+Z54+Z55</f>
      </c>
      <c r="AA56" s="25">
        <f>AA52+AA53+AA54+AA55</f>
      </c>
      <c r="AB56" s="25">
        <f>AB52+AB53+AB54+AB55</f>
      </c>
      <c r="AC56" s="25">
        <f>AC52+AC53+AC54+AC55</f>
      </c>
      <c r="AD56" s="25">
        <f>AD52+AD53+AD54+AD55</f>
      </c>
      <c r="AE56" s="25">
        <f>AE52+AE53+AE54+AE55</f>
      </c>
      <c r="AF56" s="25">
        <f>AF52+AF53+AF54+AF55</f>
      </c>
      <c r="AG56" s="25">
        <f>AG52+AG53+AG54+AG55</f>
      </c>
      <c r="AH56" s="25">
        <f>AH52+AH53+AH54+AH55</f>
      </c>
      <c r="AI56" s="25">
        <f>AI52+AI53+AI54+AI55</f>
      </c>
      <c r="AJ56" s="25">
        <f>AJ52+AJ53+AJ54+AJ55</f>
      </c>
      <c r="AK56" s="25">
        <f>AK52+AK53+AK54+AK55</f>
      </c>
      <c r="AL56" s="25">
        <f>AL52+AL53+AL54+AL55</f>
      </c>
      <c r="AM56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2587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2588</v>
      </c>
      <c r="E9" s="32"/>
      <c r="F9" s="32"/>
      <c r="G9" s="32"/>
      <c r="H9" s="32"/>
      <c r="I9" s="33">
        <v>58.25</v>
      </c>
      <c r="J9" s="33">
        <v>58.45</v>
      </c>
      <c r="K9" s="33">
        <v>58.55</v>
      </c>
      <c r="L9" s="33">
        <v>51.35</v>
      </c>
      <c r="M9" s="33">
        <v>47.13</v>
      </c>
      <c r="N9" s="33">
        <v>42.71</v>
      </c>
      <c r="O9" s="33">
        <v>45.6</v>
      </c>
      <c r="P9" s="33">
        <v>45.26</v>
      </c>
      <c r="Q9" s="33">
        <v>42.28</v>
      </c>
      <c r="R9" s="33">
        <v>43.51</v>
      </c>
      <c r="S9" s="33">
        <v>41.1</v>
      </c>
      <c r="T9" s="33">
        <v>45.55</v>
      </c>
      <c r="U9" s="33">
        <v>48.81</v>
      </c>
      <c r="V9" s="33">
        <v>54.87</v>
      </c>
      <c r="W9" s="33">
        <v>51.55</v>
      </c>
      <c r="X9" s="33">
        <v>46.17</v>
      </c>
      <c r="Y9" s="33">
        <v>47.37</v>
      </c>
      <c r="Z9" s="33">
        <v>44.9</v>
      </c>
      <c r="AA9" s="33">
        <v>49.97</v>
      </c>
      <c r="AB9" s="33">
        <v>45.98</v>
      </c>
      <c r="AC9" s="33">
        <v>50.55</v>
      </c>
      <c r="AD9" s="33">
        <v>54.12</v>
      </c>
      <c r="AE9" s="33">
        <v>52.69</v>
      </c>
      <c r="AF9" s="33">
        <v>54.13</v>
      </c>
      <c r="AG9" s="33">
        <v>66.82</v>
      </c>
      <c r="AH9" s="33">
        <v>68.44</v>
      </c>
      <c r="AI9" s="33">
        <v>57.84</v>
      </c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2589</v>
      </c>
      <c r="E10" s="36">
        <f>0.00+0.00+0.00+0.00+0.00+0.00+0.00+0.00</f>
        <v>0</v>
      </c>
      <c r="F10" s="32"/>
      <c r="G10" s="32"/>
      <c r="H10" s="32"/>
      <c r="I10" s="33">
        <v>35.12</v>
      </c>
      <c r="J10" s="33">
        <v>36.59</v>
      </c>
      <c r="K10" s="33">
        <v>33.46</v>
      </c>
      <c r="L10" s="33">
        <v>33.46</v>
      </c>
      <c r="M10" s="33">
        <v>31.77</v>
      </c>
      <c r="N10" s="33">
        <v>32.71</v>
      </c>
      <c r="O10" s="33">
        <v>31.76</v>
      </c>
      <c r="P10" s="33">
        <v>30.42</v>
      </c>
      <c r="Q10" s="33">
        <v>31.8</v>
      </c>
      <c r="R10" s="33">
        <v>33.08</v>
      </c>
      <c r="S10" s="33">
        <v>30.42</v>
      </c>
      <c r="T10" s="33">
        <v>34.36</v>
      </c>
      <c r="U10" s="33">
        <v>34.36</v>
      </c>
      <c r="V10" s="33">
        <v>34.21</v>
      </c>
      <c r="W10" s="33">
        <v>34.21</v>
      </c>
      <c r="X10" s="33">
        <v>32.97</v>
      </c>
      <c r="Y10" s="33">
        <v>32.21</v>
      </c>
      <c r="Z10" s="33">
        <v>32.21</v>
      </c>
      <c r="AA10" s="33">
        <v>32.23</v>
      </c>
      <c r="AB10" s="33">
        <v>32.45</v>
      </c>
      <c r="AC10" s="33">
        <v>32.45</v>
      </c>
      <c r="AD10" s="33">
        <v>32.32</v>
      </c>
      <c r="AE10" s="33">
        <v>32.32</v>
      </c>
      <c r="AF10" s="33">
        <v>34.07</v>
      </c>
      <c r="AG10" s="33">
        <v>37.42</v>
      </c>
      <c r="AH10" s="33">
        <v>110.61</v>
      </c>
      <c r="AI10" s="33">
        <v>34.18</v>
      </c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3</v>
      </c>
      <c r="D15" s="32" t="s">
        <v>2590</v>
      </c>
      <c r="E15" s="32"/>
      <c r="F15" s="32"/>
      <c r="G15" s="32"/>
      <c r="H15" s="33">
        <v>38.09</v>
      </c>
      <c r="I15" s="33">
        <v>38.08</v>
      </c>
      <c r="J15" s="33">
        <v>38.12</v>
      </c>
      <c r="K15" s="33">
        <v>38.01</v>
      </c>
      <c r="L15" s="33">
        <v>38.03</v>
      </c>
      <c r="M15" s="33">
        <v>37.94</v>
      </c>
      <c r="N15" s="33">
        <v>38.16</v>
      </c>
      <c r="O15" s="33">
        <v>37.98</v>
      </c>
      <c r="P15" s="33">
        <v>38.11</v>
      </c>
      <c r="Q15" s="33">
        <v>38.13</v>
      </c>
      <c r="R15" s="33">
        <v>38.19</v>
      </c>
      <c r="S15" s="33">
        <v>38.22</v>
      </c>
      <c r="T15" s="32"/>
      <c r="U15" s="33">
        <v>38.23</v>
      </c>
      <c r="V15" s="33">
        <v>38.26</v>
      </c>
      <c r="W15" s="33">
        <v>38.21</v>
      </c>
      <c r="X15" s="36">
        <f>0.00+38.23</f>
        <v>38.23</v>
      </c>
      <c r="Y15" s="33">
        <v>38.11</v>
      </c>
      <c r="Z15" s="33">
        <v>38.12</v>
      </c>
      <c r="AA15" s="33">
        <v>38.1</v>
      </c>
      <c r="AB15" s="33">
        <v>38.66</v>
      </c>
      <c r="AC15" s="32"/>
      <c r="AD15" s="32"/>
      <c r="AE15" s="33">
        <v>38.13</v>
      </c>
      <c r="AF15" s="33">
        <v>38.88</v>
      </c>
      <c r="AG15" s="33">
        <v>38.04</v>
      </c>
      <c r="AH15" s="33">
        <v>38.27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2591</v>
      </c>
      <c r="E16" s="32"/>
      <c r="F16" s="32"/>
      <c r="G16" s="32"/>
      <c r="H16" s="36">
        <f>137.30+216.53</f>
        <v>353.83000000000004</v>
      </c>
      <c r="I16" s="36">
        <f>167.67+213.44</f>
        <v>381.11</v>
      </c>
      <c r="J16" s="36">
        <f>135.05+212.68</f>
        <v>347.73</v>
      </c>
      <c r="K16" s="36">
        <f>91.73+210.64</f>
        <v>302.37</v>
      </c>
      <c r="L16" s="36">
        <f>211.59+122.81</f>
        <v>334.4</v>
      </c>
      <c r="M16" s="36">
        <f>254.74+214.02</f>
        <v>468.76</v>
      </c>
      <c r="N16" s="36">
        <f>212.04+231.66</f>
        <v>443.7</v>
      </c>
      <c r="O16" s="36">
        <f>212.39+257.22</f>
        <v>469.61</v>
      </c>
      <c r="P16" s="36">
        <f>228.20+211.99</f>
        <v>440.19</v>
      </c>
      <c r="Q16" s="36">
        <f>211.88+219.63</f>
        <v>431.51</v>
      </c>
      <c r="R16" s="36">
        <f>200.21+211.58</f>
        <v>411.79</v>
      </c>
      <c r="S16" s="36">
        <f>210.45+144.51</f>
        <v>354.96</v>
      </c>
      <c r="T16" s="36">
        <f>188.41+172.33</f>
        <v>360.74</v>
      </c>
      <c r="U16" s="36">
        <f>218.62+213.30</f>
        <v>431.92</v>
      </c>
      <c r="V16" s="36">
        <f>216.32+117.07</f>
        <v>333.39</v>
      </c>
      <c r="W16" s="36">
        <f>104.82+226.48</f>
        <v>331.29999999999995</v>
      </c>
      <c r="X16" s="36">
        <f>155.34+227.99</f>
        <v>383.33000000000004</v>
      </c>
      <c r="Y16" s="36">
        <f>236.18+229.64</f>
        <v>465.82</v>
      </c>
      <c r="Z16" s="36">
        <f>229.88+251.55</f>
        <v>481.43</v>
      </c>
      <c r="AA16" s="36">
        <f>335.23+230.96</f>
        <v>566.19</v>
      </c>
      <c r="AB16" s="36">
        <f>230.81+316.31</f>
        <v>547.12</v>
      </c>
      <c r="AC16" s="36">
        <f>230.07+255.86</f>
        <v>485.93</v>
      </c>
      <c r="AD16" s="36">
        <f>228.12+155.61</f>
        <v>383.73</v>
      </c>
      <c r="AE16" s="36">
        <f>94.14+226.24</f>
        <v>320.38</v>
      </c>
      <c r="AF16" s="36">
        <f>122.64+227.26</f>
        <v>349.9</v>
      </c>
      <c r="AG16" s="36">
        <f>184.16+231.26</f>
        <v>415.41999999999996</v>
      </c>
      <c r="AH16" s="36">
        <f>166.73+220.78</f>
        <v>387.51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2592</v>
      </c>
      <c r="E17" s="32"/>
      <c r="F17" s="32"/>
      <c r="G17" s="32"/>
      <c r="H17" s="33">
        <v>109.58</v>
      </c>
      <c r="I17" s="33">
        <v>74.34</v>
      </c>
      <c r="J17" s="33">
        <v>89.52</v>
      </c>
      <c r="K17" s="33">
        <v>145.8</v>
      </c>
      <c r="L17" s="33">
        <v>173.97</v>
      </c>
      <c r="M17" s="33">
        <v>351.08</v>
      </c>
      <c r="N17" s="33">
        <v>369.66</v>
      </c>
      <c r="O17" s="33">
        <v>417.64</v>
      </c>
      <c r="P17" s="33">
        <v>386.41</v>
      </c>
      <c r="Q17" s="33">
        <v>371.79</v>
      </c>
      <c r="R17" s="33">
        <v>301.7</v>
      </c>
      <c r="S17" s="33">
        <v>198.8</v>
      </c>
      <c r="T17" s="32"/>
      <c r="U17" s="33">
        <v>64.17</v>
      </c>
      <c r="V17" s="33">
        <v>91.93</v>
      </c>
      <c r="W17" s="36">
        <f>0.00+132.38</f>
        <v>132.38</v>
      </c>
      <c r="X17" s="33">
        <v>272.79</v>
      </c>
      <c r="Y17" s="33">
        <v>324.4</v>
      </c>
      <c r="Z17" s="33">
        <v>326.43</v>
      </c>
      <c r="AA17" s="33">
        <v>400.29</v>
      </c>
      <c r="AB17" s="33">
        <v>352.33</v>
      </c>
      <c r="AC17" s="32"/>
      <c r="AD17" s="32"/>
      <c r="AE17" s="33">
        <v>133.86</v>
      </c>
      <c r="AF17" s="33">
        <v>95.18</v>
      </c>
      <c r="AG17" s="33">
        <v>67.89</v>
      </c>
      <c r="AH17" s="33">
        <v>57.23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2593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>
        <v>230.98</v>
      </c>
      <c r="AC18" s="33">
        <v>158.03</v>
      </c>
      <c r="AD18" s="33">
        <v>159.52</v>
      </c>
      <c r="AE18" s="33">
        <v>117.88</v>
      </c>
      <c r="AF18" s="36">
        <f>149.73+149.73</f>
        <v>299.46</v>
      </c>
      <c r="AG18" s="32"/>
      <c r="AH18" s="32"/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2594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>
        <v>292.96</v>
      </c>
      <c r="AH19" s="36">
        <f>0.00+254.48</f>
        <v>254.48</v>
      </c>
      <c r="AI19" s="32"/>
      <c r="AJ19" s="34">
        <f>SUM(E19:AI19)</f>
      </c>
      <c r="AK19" s="35"/>
    </row>
    <row r="20" ht="12.75" customHeight="1" spans="2:37" x14ac:dyDescent="0.25">
      <c r="B20" s="37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40"/>
    </row>
    <row r="21" ht="12.75" customHeight="1" spans="2:37" x14ac:dyDescent="0.25">
      <c r="B21" s="20" t="s">
        <v>85</v>
      </c>
      <c r="C21" s="21"/>
      <c r="D21" s="21"/>
      <c r="E21" s="22">
        <f>SUM(E15:E19)</f>
      </c>
      <c r="F21" s="22">
        <f>SUM(F15:F19)</f>
      </c>
      <c r="G21" s="22">
        <f>SUM(G15:G19)</f>
      </c>
      <c r="H21" s="22">
        <f>SUM(H15:H19)</f>
      </c>
      <c r="I21" s="22">
        <f>SUM(I15:I19)</f>
      </c>
      <c r="J21" s="22">
        <f>SUM(J15:J19)</f>
      </c>
      <c r="K21" s="22">
        <f>SUM(K15:K19)</f>
      </c>
      <c r="L21" s="22">
        <f>SUM(L15:L19)</f>
      </c>
      <c r="M21" s="22">
        <f>SUM(M15:M19)</f>
      </c>
      <c r="N21" s="22">
        <f>SUM(N15:N19)</f>
      </c>
      <c r="O21" s="22">
        <f>SUM(O15:O19)</f>
      </c>
      <c r="P21" s="22">
        <f>SUM(P15:P19)</f>
      </c>
      <c r="Q21" s="22">
        <f>SUM(Q15:Q19)</f>
      </c>
      <c r="R21" s="22">
        <f>SUM(R15:R19)</f>
      </c>
      <c r="S21" s="22">
        <f>SUM(S15:S19)</f>
      </c>
      <c r="T21" s="22">
        <f>SUM(T15:T19)</f>
      </c>
      <c r="U21" s="22">
        <f>SUM(U15:U19)</f>
      </c>
      <c r="V21" s="22">
        <f>SUM(V15:V19)</f>
      </c>
      <c r="W21" s="22">
        <f>SUM(W15:W19)</f>
      </c>
      <c r="X21" s="22">
        <f>SUM(X15:X19)</f>
      </c>
      <c r="Y21" s="22">
        <f>SUM(Y15:Y19)</f>
      </c>
      <c r="Z21" s="22">
        <f>SUM(Z15:Z19)</f>
      </c>
      <c r="AA21" s="22">
        <f>SUM(AA15:AA19)</f>
      </c>
      <c r="AB21" s="22">
        <f>SUM(AB15:AB19)</f>
      </c>
      <c r="AC21" s="22">
        <f>SUM(AC15:AC19)</f>
      </c>
      <c r="AD21" s="22">
        <f>SUM(AD15:AD19)</f>
      </c>
      <c r="AE21" s="22">
        <f>SUM(AE15:AE19)</f>
      </c>
      <c r="AF21" s="22">
        <f>SUM(AF15:AF19)</f>
      </c>
      <c r="AG21" s="22">
        <f>SUM(AG15:AG19)</f>
      </c>
      <c r="AH21" s="22">
        <f>SUM(AH15:AH19)</f>
      </c>
      <c r="AI21" s="22">
        <f>SUM(AI15:AI19)</f>
      </c>
      <c r="AJ21" s="22">
        <f>SUM(AJ15:AJ19)</f>
      </c>
      <c r="AK21" s="23"/>
    </row>
    <row r="23" ht="12.75" customHeight="1" spans="2:37" x14ac:dyDescent="0.25">
      <c r="B23" s="26" t="s">
        <v>43</v>
      </c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9"/>
    </row>
    <row r="24" ht="12.75" customHeight="1" spans="2:37" x14ac:dyDescent="0.25">
      <c r="B24" s="30" t="s">
        <v>43</v>
      </c>
      <c r="C24" s="31" t="s">
        <v>3</v>
      </c>
      <c r="D24" s="32" t="s">
        <v>2588</v>
      </c>
      <c r="E24" s="32"/>
      <c r="F24" s="32"/>
      <c r="G24" s="32"/>
      <c r="H24" s="32"/>
      <c r="I24" s="36">
        <f>1582.58+9.73+1201.33</f>
        <v>2793.64</v>
      </c>
      <c r="J24" s="36">
        <f>1781.77+9.74+1383.10</f>
        <v>3174.6099999999997</v>
      </c>
      <c r="K24" s="36">
        <f>1818.18+10.44+1583.26</f>
        <v>3411.88</v>
      </c>
      <c r="L24" s="36">
        <f>1494.93+9.70+1124.39</f>
        <v>2629.0200000000004</v>
      </c>
      <c r="M24" s="36">
        <f>1248.51+9.68+907.10</f>
        <v>2165.29</v>
      </c>
      <c r="N24" s="36">
        <f>1720.20+1323.24+9.71</f>
        <v>3053.15</v>
      </c>
      <c r="O24" s="36">
        <f>2318.00+2200.26+9.48</f>
        <v>4527.74</v>
      </c>
      <c r="P24" s="36">
        <f>1661.45+1407.12+35.76</f>
        <v>3104.33</v>
      </c>
      <c r="Q24" s="36">
        <f>1484.44+1115.17+9.70</f>
        <v>2609.31</v>
      </c>
      <c r="R24" s="36">
        <f>1637.47+10.01+1244.23</f>
        <v>2891.71</v>
      </c>
      <c r="S24" s="36">
        <f>1283.34+9.97+932.13</f>
        <v>2225.44</v>
      </c>
      <c r="T24" s="33">
        <v>1283.54</v>
      </c>
      <c r="U24" s="36">
        <f>1296.69+9.98+943.84</f>
        <v>2250.51</v>
      </c>
      <c r="V24" s="36">
        <f>1705.84+1304.43+10.01</f>
        <v>3020.28</v>
      </c>
      <c r="W24" s="36">
        <f>1598.78+10.01+1210.07</f>
        <v>2818.8599999999997</v>
      </c>
      <c r="X24" s="36">
        <f>1598.51+1209.87+10.00</f>
        <v>2818.38</v>
      </c>
      <c r="Y24" s="36">
        <f>1461.72+1089.30+9.99</f>
        <v>2561.0099999999998</v>
      </c>
      <c r="Z24" s="36">
        <f>1767.34+1365.39+9.77</f>
        <v>3142.5</v>
      </c>
      <c r="AA24" s="36">
        <f>1283.82+932.48+18.48</f>
        <v>2234.78</v>
      </c>
      <c r="AB24" s="36">
        <f>1283.44+9.98+932.20</f>
        <v>2225.62</v>
      </c>
      <c r="AC24" s="36">
        <f>1449.10+10.76+1190.74</f>
        <v>2650.6</v>
      </c>
      <c r="AD24" s="36">
        <f>2002.98+1736.27+11.62</f>
        <v>3750.87</v>
      </c>
      <c r="AE24" s="36">
        <f>1372.67+1099.72+10.56</f>
        <v>2482.9500000000003</v>
      </c>
      <c r="AF24" s="36">
        <f>1358.68+1085.49+11.62</f>
        <v>2455.79</v>
      </c>
      <c r="AG24" s="36">
        <f>1616.23+11.62+1335.16</f>
        <v>2963.01</v>
      </c>
      <c r="AH24" s="36">
        <f>1454.60+11.62+1178.17</f>
        <v>2644.39</v>
      </c>
      <c r="AI24" s="36">
        <f>1687.97+11.62+1404.89</f>
        <v>3104.48</v>
      </c>
      <c r="AJ24" s="34">
        <f>SUM(E24:AI24)</f>
      </c>
      <c r="AK24" s="35"/>
    </row>
    <row r="25" ht="12.75" customHeight="1" spans="2:37" x14ac:dyDescent="0.25">
      <c r="B25" s="30" t="s">
        <v>43</v>
      </c>
      <c r="C25" s="31" t="s">
        <v>3</v>
      </c>
      <c r="D25" s="32" t="s">
        <v>2595</v>
      </c>
      <c r="E25" s="32"/>
      <c r="F25" s="32"/>
      <c r="G25" s="32"/>
      <c r="H25" s="32"/>
      <c r="I25" s="36">
        <f>500.88+1719.59+430.06</f>
        <v>2650.5299999999997</v>
      </c>
      <c r="J25" s="36">
        <f>604.16+1724.22+544.69</f>
        <v>2873.07</v>
      </c>
      <c r="K25" s="36">
        <f>529.48+1692.14+510.32</f>
        <v>2731.94</v>
      </c>
      <c r="L25" s="36">
        <f>547.44+1721.77+481.73</f>
        <v>2750.94</v>
      </c>
      <c r="M25" s="36">
        <f>652.12+1726.14+597.93</f>
        <v>2976.19</v>
      </c>
      <c r="N25" s="36">
        <f>698.88+1727.88+649.84</f>
        <v>3076.6000000000004</v>
      </c>
      <c r="O25" s="36">
        <f>639.28+1692.14+644.77</f>
        <v>2976.19</v>
      </c>
      <c r="P25" s="36">
        <f>547.78+1692.14+532.73</f>
        <v>2772.65</v>
      </c>
      <c r="Q25" s="36">
        <f>509.68+1720.02+439.83</f>
        <v>2669.5299999999997</v>
      </c>
      <c r="R25" s="36">
        <f>563.76+1858.61+495.86</f>
        <v>2918.23</v>
      </c>
      <c r="S25" s="36">
        <f>574.13+1859.09+507.37</f>
        <v>2940.5899999999997</v>
      </c>
      <c r="T25" s="36">
        <f>468.09+1854.37</f>
        <v>2322.46</v>
      </c>
      <c r="U25" s="36">
        <f>477.11+1854.74+407.32</f>
        <v>2739.17</v>
      </c>
      <c r="V25" s="36">
        <f>516.63+1827.56+490.16</f>
        <v>2834.35</v>
      </c>
      <c r="W25" s="36">
        <f>496.44+1855.50+424.39</f>
        <v>2776.33</v>
      </c>
      <c r="X25" s="36">
        <f>516.63+1827.56+490.16</f>
        <v>2834.35</v>
      </c>
      <c r="Y25" s="36">
        <f>583.25+1827.56+571.73</f>
        <v>2982.54</v>
      </c>
      <c r="Z25" s="36">
        <f>526.68+1827.56+502.47</f>
        <v>2856.71</v>
      </c>
      <c r="AA25" s="36">
        <f>524.88+1856.75+452.72</f>
        <v>2834.3500000000004</v>
      </c>
      <c r="AB25" s="36">
        <f>451.26+1827.56+423.17</f>
        <v>2701.99</v>
      </c>
      <c r="AC25" s="36">
        <f>470.12+1827.56+441.49</f>
        <v>2739.17</v>
      </c>
      <c r="AD25" s="36">
        <f>721.10+1973.96+728.89</f>
        <v>3423.95</v>
      </c>
      <c r="AE25" s="36">
        <f>537.77+1973.96+505.88</f>
        <v>3017.61</v>
      </c>
      <c r="AF25" s="36">
        <f>598.88+1973.96+579.30</f>
        <v>3152.1400000000003</v>
      </c>
      <c r="AG25" s="36">
        <f>791.71+1973.96+815.32</f>
        <v>3580.9900000000002</v>
      </c>
      <c r="AH25" s="36">
        <f>670.85+1973.96+667.39</f>
        <v>3312.2</v>
      </c>
      <c r="AI25" s="36">
        <f>639.62+1973.96+629.17</f>
        <v>3242.75</v>
      </c>
      <c r="AJ25" s="34">
        <f>SUM(E25:AI25)</f>
      </c>
      <c r="AK25" s="35"/>
    </row>
    <row r="26" ht="12.75" customHeight="1" spans="2:37" x14ac:dyDescent="0.25"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</row>
    <row r="27" ht="12.75" customHeight="1" spans="2:37" x14ac:dyDescent="0.25">
      <c r="B27" s="20" t="s">
        <v>89</v>
      </c>
      <c r="C27" s="21"/>
      <c r="D27" s="21"/>
      <c r="E27" s="22">
        <f>SUM(E24:E25)</f>
      </c>
      <c r="F27" s="22">
        <f>SUM(F24:F25)</f>
      </c>
      <c r="G27" s="22">
        <f>SUM(G24:G25)</f>
      </c>
      <c r="H27" s="22">
        <f>SUM(H24:H25)</f>
      </c>
      <c r="I27" s="22">
        <f>SUM(I24:I25)</f>
      </c>
      <c r="J27" s="22">
        <f>SUM(J24:J25)</f>
      </c>
      <c r="K27" s="22">
        <f>SUM(K24:K25)</f>
      </c>
      <c r="L27" s="22">
        <f>SUM(L24:L25)</f>
      </c>
      <c r="M27" s="22">
        <f>SUM(M24:M25)</f>
      </c>
      <c r="N27" s="22">
        <f>SUM(N24:N25)</f>
      </c>
      <c r="O27" s="22">
        <f>SUM(O24:O25)</f>
      </c>
      <c r="P27" s="22">
        <f>SUM(P24:P25)</f>
      </c>
      <c r="Q27" s="22">
        <f>SUM(Q24:Q25)</f>
      </c>
      <c r="R27" s="22">
        <f>SUM(R24:R25)</f>
      </c>
      <c r="S27" s="22">
        <f>SUM(S24:S25)</f>
      </c>
      <c r="T27" s="22">
        <f>SUM(T24:T25)</f>
      </c>
      <c r="U27" s="22">
        <f>SUM(U24:U25)</f>
      </c>
      <c r="V27" s="22">
        <f>SUM(V24:V25)</f>
      </c>
      <c r="W27" s="22">
        <f>SUM(W24:W25)</f>
      </c>
      <c r="X27" s="22">
        <f>SUM(X24:X25)</f>
      </c>
      <c r="Y27" s="22">
        <f>SUM(Y24:Y25)</f>
      </c>
      <c r="Z27" s="22">
        <f>SUM(Z24:Z25)</f>
      </c>
      <c r="AA27" s="22">
        <f>SUM(AA24:AA25)</f>
      </c>
      <c r="AB27" s="22">
        <f>SUM(AB24:AB25)</f>
      </c>
      <c r="AC27" s="22">
        <f>SUM(AC24:AC25)</f>
      </c>
      <c r="AD27" s="22">
        <f>SUM(AD24:AD25)</f>
      </c>
      <c r="AE27" s="22">
        <f>SUM(AE24:AE25)</f>
      </c>
      <c r="AF27" s="22">
        <f>SUM(AF24:AF25)</f>
      </c>
      <c r="AG27" s="22">
        <f>SUM(AG24:AG25)</f>
      </c>
      <c r="AH27" s="22">
        <f>SUM(AH24:AH25)</f>
      </c>
      <c r="AI27" s="22">
        <f>SUM(AI24:AI25)</f>
      </c>
      <c r="AJ27" s="22">
        <f>SUM(AJ24:AJ25)</f>
      </c>
      <c r="AK27" s="23"/>
    </row>
    <row r="29" ht="12.75" customHeight="1" spans="2:37" x14ac:dyDescent="0.25">
      <c r="B29" s="26" t="s">
        <v>44</v>
      </c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9"/>
    </row>
    <row r="30" ht="12.75" customHeight="1" spans="2:37" x14ac:dyDescent="0.25">
      <c r="B30" s="30" t="s">
        <v>44</v>
      </c>
      <c r="C30" s="31" t="s">
        <v>3</v>
      </c>
      <c r="D30" s="32" t="s">
        <v>2588</v>
      </c>
      <c r="E30" s="32"/>
      <c r="F30" s="32"/>
      <c r="G30" s="32"/>
      <c r="H30" s="32"/>
      <c r="I30" s="33">
        <v>2139.61</v>
      </c>
      <c r="J30" s="33">
        <v>2142.75</v>
      </c>
      <c r="K30" s="33">
        <v>2086.68</v>
      </c>
      <c r="L30" s="33">
        <v>2492.27</v>
      </c>
      <c r="M30" s="33">
        <v>2486.51</v>
      </c>
      <c r="N30" s="33">
        <v>2494.74</v>
      </c>
      <c r="O30" s="33">
        <v>2434.59</v>
      </c>
      <c r="P30" s="33">
        <v>2436.11</v>
      </c>
      <c r="Q30" s="33">
        <v>2491.42</v>
      </c>
      <c r="R30" s="33">
        <v>2587.11</v>
      </c>
      <c r="S30" s="33">
        <v>2579.12</v>
      </c>
      <c r="T30" s="33">
        <v>2579.51</v>
      </c>
      <c r="U30" s="33">
        <v>2580.14</v>
      </c>
      <c r="V30" s="33">
        <v>2589.28</v>
      </c>
      <c r="W30" s="33">
        <v>2587</v>
      </c>
      <c r="X30" s="33">
        <v>2586.57</v>
      </c>
      <c r="Y30" s="33">
        <v>2583.65</v>
      </c>
      <c r="Z30" s="33">
        <v>2671.44</v>
      </c>
      <c r="AA30" s="33">
        <v>2580.09</v>
      </c>
      <c r="AB30" s="33">
        <v>2579.31</v>
      </c>
      <c r="AC30" s="33">
        <v>2630.53</v>
      </c>
      <c r="AD30" s="33">
        <v>2728.77</v>
      </c>
      <c r="AE30" s="33">
        <v>2622.76</v>
      </c>
      <c r="AF30" s="33">
        <v>2622.85</v>
      </c>
      <c r="AG30" s="33">
        <v>2623.24</v>
      </c>
      <c r="AH30" s="33">
        <v>2623.46</v>
      </c>
      <c r="AI30" s="33">
        <v>2622.75</v>
      </c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90</v>
      </c>
      <c r="C32" s="21"/>
      <c r="D32" s="21"/>
      <c r="E32" s="22">
        <f>SUM(E30:E30)</f>
      </c>
      <c r="F32" s="22">
        <f>SUM(F30:F30)</f>
      </c>
      <c r="G32" s="22">
        <f>SUM(G30:G30)</f>
      </c>
      <c r="H32" s="22">
        <f>SUM(H30:H30)</f>
      </c>
      <c r="I32" s="22">
        <f>SUM(I30:I30)</f>
      </c>
      <c r="J32" s="22">
        <f>SUM(J30:J30)</f>
      </c>
      <c r="K32" s="22">
        <f>SUM(K30:K30)</f>
      </c>
      <c r="L32" s="22">
        <f>SUM(L30:L30)</f>
      </c>
      <c r="M32" s="22">
        <f>SUM(M30:M30)</f>
      </c>
      <c r="N32" s="22">
        <f>SUM(N30:N30)</f>
      </c>
      <c r="O32" s="22">
        <f>SUM(O30:O30)</f>
      </c>
      <c r="P32" s="22">
        <f>SUM(P30:P30)</f>
      </c>
      <c r="Q32" s="22">
        <f>SUM(Q30:Q30)</f>
      </c>
      <c r="R32" s="22">
        <f>SUM(R30:R30)</f>
      </c>
      <c r="S32" s="22">
        <f>SUM(S30:S30)</f>
      </c>
      <c r="T32" s="22">
        <f>SUM(T30:T30)</f>
      </c>
      <c r="U32" s="22">
        <f>SUM(U30:U30)</f>
      </c>
      <c r="V32" s="22">
        <f>SUM(V30:V30)</f>
      </c>
      <c r="W32" s="22">
        <f>SUM(W30:W30)</f>
      </c>
      <c r="X32" s="22">
        <f>SUM(X30:X30)</f>
      </c>
      <c r="Y32" s="22">
        <f>SUM(Y30:Y30)</f>
      </c>
      <c r="Z32" s="22">
        <f>SUM(Z30:Z30)</f>
      </c>
      <c r="AA32" s="22">
        <f>SUM(AA30:AA30)</f>
      </c>
      <c r="AB32" s="22">
        <f>SUM(AB30:AB30)</f>
      </c>
      <c r="AC32" s="22">
        <f>SUM(AC30:AC30)</f>
      </c>
      <c r="AD32" s="22">
        <f>SUM(AD30:AD30)</f>
      </c>
      <c r="AE32" s="22">
        <f>SUM(AE30:AE30)</f>
      </c>
      <c r="AF32" s="22">
        <f>SUM(AF30:AF30)</f>
      </c>
      <c r="AG32" s="22">
        <f>SUM(AG30:AG30)</f>
      </c>
      <c r="AH32" s="22">
        <f>SUM(AH30:AH30)</f>
      </c>
      <c r="AI32" s="22">
        <f>SUM(AI30:AI30)</f>
      </c>
      <c r="AJ32" s="22">
        <f>SUM(AJ30:AJ30)</f>
      </c>
      <c r="AK32" s="23"/>
    </row>
    <row r="35" ht="12.75" customHeight="1" spans="2:37" x14ac:dyDescent="0.25">
      <c r="B35" s="11" t="s">
        <v>40</v>
      </c>
      <c r="C35" s="12"/>
      <c r="D35" s="13"/>
      <c r="E35" s="14" t="s">
        <v>7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  <c r="K35" s="14" t="s">
        <v>13</v>
      </c>
      <c r="L35" s="14" t="s">
        <v>14</v>
      </c>
      <c r="M35" s="14" t="s">
        <v>15</v>
      </c>
      <c r="N35" s="14" t="s">
        <v>16</v>
      </c>
      <c r="O35" s="14" t="s">
        <v>17</v>
      </c>
      <c r="P35" s="14" t="s">
        <v>18</v>
      </c>
      <c r="Q35" s="14" t="s">
        <v>19</v>
      </c>
      <c r="R35" s="14" t="s">
        <v>20</v>
      </c>
      <c r="S35" s="14" t="s">
        <v>21</v>
      </c>
      <c r="T35" s="14" t="s">
        <v>22</v>
      </c>
      <c r="U35" s="14" t="s">
        <v>23</v>
      </c>
      <c r="V35" s="14" t="s">
        <v>24</v>
      </c>
      <c r="W35" s="14" t="s">
        <v>25</v>
      </c>
      <c r="X35" s="14" t="s">
        <v>26</v>
      </c>
      <c r="Y35" s="14" t="s">
        <v>27</v>
      </c>
      <c r="Z35" s="14" t="s">
        <v>28</v>
      </c>
      <c r="AA35" s="14" t="s">
        <v>29</v>
      </c>
      <c r="AB35" s="14" t="s">
        <v>30</v>
      </c>
      <c r="AC35" s="14" t="s">
        <v>31</v>
      </c>
      <c r="AD35" s="14" t="s">
        <v>32</v>
      </c>
      <c r="AE35" s="14" t="s">
        <v>33</v>
      </c>
      <c r="AF35" s="14" t="s">
        <v>34</v>
      </c>
      <c r="AG35" s="14" t="s">
        <v>35</v>
      </c>
      <c r="AH35" s="14" t="s">
        <v>36</v>
      </c>
      <c r="AI35" s="14" t="s">
        <v>37</v>
      </c>
      <c r="AJ35" s="14" t="s">
        <v>38</v>
      </c>
      <c r="AK35" s="15"/>
    </row>
    <row r="36" ht="12.75" customHeight="1" spans="2:37" x14ac:dyDescent="0.25">
      <c r="B36" s="16" t="s">
        <v>41</v>
      </c>
      <c r="C36" s="17"/>
      <c r="D36" s="17"/>
      <c r="E36" s="18">
        <f>E12</f>
      </c>
      <c r="F36" s="18">
        <f>F12</f>
      </c>
      <c r="G36" s="18">
        <f>G12</f>
      </c>
      <c r="H36" s="18">
        <f>H12</f>
      </c>
      <c r="I36" s="18">
        <f>I12</f>
      </c>
      <c r="J36" s="18">
        <f>J12</f>
      </c>
      <c r="K36" s="18">
        <f>K12</f>
      </c>
      <c r="L36" s="18">
        <f>L12</f>
      </c>
      <c r="M36" s="18">
        <f>M12</f>
      </c>
      <c r="N36" s="18">
        <f>N12</f>
      </c>
      <c r="O36" s="18">
        <f>O12</f>
      </c>
      <c r="P36" s="18">
        <f>P12</f>
      </c>
      <c r="Q36" s="18">
        <f>Q12</f>
      </c>
      <c r="R36" s="18">
        <f>R12</f>
      </c>
      <c r="S36" s="18">
        <f>S12</f>
      </c>
      <c r="T36" s="18">
        <f>T12</f>
      </c>
      <c r="U36" s="18">
        <f>U12</f>
      </c>
      <c r="V36" s="18">
        <f>V12</f>
      </c>
      <c r="W36" s="18">
        <f>W12</f>
      </c>
      <c r="X36" s="18">
        <f>X12</f>
      </c>
      <c r="Y36" s="18">
        <f>Y12</f>
      </c>
      <c r="Z36" s="18">
        <f>Z12</f>
      </c>
      <c r="AA36" s="18">
        <f>AA12</f>
      </c>
      <c r="AB36" s="18">
        <f>AB12</f>
      </c>
      <c r="AC36" s="18">
        <f>AC12</f>
      </c>
      <c r="AD36" s="18">
        <f>AD12</f>
      </c>
      <c r="AE36" s="18">
        <f>AE12</f>
      </c>
      <c r="AF36" s="18">
        <f>AF12</f>
      </c>
      <c r="AG36" s="18">
        <f>AG12</f>
      </c>
      <c r="AH36" s="18">
        <f>AH12</f>
      </c>
      <c r="AI36" s="18">
        <f>AI12</f>
      </c>
      <c r="AJ36" s="18">
        <f>AJ12</f>
      </c>
      <c r="AK36" s="19"/>
    </row>
    <row r="37" ht="12.75" customHeight="1" spans="2:37" x14ac:dyDescent="0.25">
      <c r="B37" s="16" t="s">
        <v>42</v>
      </c>
      <c r="C37" s="17"/>
      <c r="D37" s="17"/>
      <c r="E37" s="18">
        <f>E21</f>
      </c>
      <c r="F37" s="18">
        <f>F21</f>
      </c>
      <c r="G37" s="18">
        <f>G21</f>
      </c>
      <c r="H37" s="18">
        <f>H21</f>
      </c>
      <c r="I37" s="18">
        <f>I21</f>
      </c>
      <c r="J37" s="18">
        <f>J21</f>
      </c>
      <c r="K37" s="18">
        <f>K21</f>
      </c>
      <c r="L37" s="18">
        <f>L21</f>
      </c>
      <c r="M37" s="18">
        <f>M21</f>
      </c>
      <c r="N37" s="18">
        <f>N21</f>
      </c>
      <c r="O37" s="18">
        <f>O21</f>
      </c>
      <c r="P37" s="18">
        <f>P21</f>
      </c>
      <c r="Q37" s="18">
        <f>Q21</f>
      </c>
      <c r="R37" s="18">
        <f>R21</f>
      </c>
      <c r="S37" s="18">
        <f>S21</f>
      </c>
      <c r="T37" s="18">
        <f>T21</f>
      </c>
      <c r="U37" s="18">
        <f>U21</f>
      </c>
      <c r="V37" s="18">
        <f>V21</f>
      </c>
      <c r="W37" s="18">
        <f>W21</f>
      </c>
      <c r="X37" s="18">
        <f>X21</f>
      </c>
      <c r="Y37" s="18">
        <f>Y21</f>
      </c>
      <c r="Z37" s="18">
        <f>Z21</f>
      </c>
      <c r="AA37" s="18">
        <f>AA21</f>
      </c>
      <c r="AB37" s="18">
        <f>AB21</f>
      </c>
      <c r="AC37" s="18">
        <f>AC21</f>
      </c>
      <c r="AD37" s="18">
        <f>AD21</f>
      </c>
      <c r="AE37" s="18">
        <f>AE21</f>
      </c>
      <c r="AF37" s="18">
        <f>AF21</f>
      </c>
      <c r="AG37" s="18">
        <f>AG21</f>
      </c>
      <c r="AH37" s="18">
        <f>AH21</f>
      </c>
      <c r="AI37" s="18">
        <f>AI21</f>
      </c>
      <c r="AJ37" s="18">
        <f>AJ21</f>
      </c>
      <c r="AK37" s="19"/>
    </row>
    <row r="38" ht="12.75" customHeight="1" spans="2:37" x14ac:dyDescent="0.25">
      <c r="B38" s="16" t="s">
        <v>43</v>
      </c>
      <c r="C38" s="17"/>
      <c r="D38" s="17"/>
      <c r="E38" s="18">
        <f>E27</f>
      </c>
      <c r="F38" s="18">
        <f>F27</f>
      </c>
      <c r="G38" s="18">
        <f>G27</f>
      </c>
      <c r="H38" s="18">
        <f>H27</f>
      </c>
      <c r="I38" s="18">
        <f>I27</f>
      </c>
      <c r="J38" s="18">
        <f>J27</f>
      </c>
      <c r="K38" s="18">
        <f>K27</f>
      </c>
      <c r="L38" s="18">
        <f>L27</f>
      </c>
      <c r="M38" s="18">
        <f>M27</f>
      </c>
      <c r="N38" s="18">
        <f>N27</f>
      </c>
      <c r="O38" s="18">
        <f>O27</f>
      </c>
      <c r="P38" s="18">
        <f>P27</f>
      </c>
      <c r="Q38" s="18">
        <f>Q27</f>
      </c>
      <c r="R38" s="18">
        <f>R27</f>
      </c>
      <c r="S38" s="18">
        <f>S27</f>
      </c>
      <c r="T38" s="18">
        <f>T27</f>
      </c>
      <c r="U38" s="18">
        <f>U27</f>
      </c>
      <c r="V38" s="18">
        <f>V27</f>
      </c>
      <c r="W38" s="18">
        <f>W27</f>
      </c>
      <c r="X38" s="18">
        <f>X27</f>
      </c>
      <c r="Y38" s="18">
        <f>Y27</f>
      </c>
      <c r="Z38" s="18">
        <f>Z27</f>
      </c>
      <c r="AA38" s="18">
        <f>AA27</f>
      </c>
      <c r="AB38" s="18">
        <f>AB27</f>
      </c>
      <c r="AC38" s="18">
        <f>AC27</f>
      </c>
      <c r="AD38" s="18">
        <f>AD27</f>
      </c>
      <c r="AE38" s="18">
        <f>AE27</f>
      </c>
      <c r="AF38" s="18">
        <f>AF27</f>
      </c>
      <c r="AG38" s="18">
        <f>AG27</f>
      </c>
      <c r="AH38" s="18">
        <f>AH27</f>
      </c>
      <c r="AI38" s="18">
        <f>AI27</f>
      </c>
      <c r="AJ38" s="18">
        <f>AJ27</f>
      </c>
      <c r="AK38" s="19"/>
    </row>
    <row r="39" ht="12.75" customHeight="1" spans="2:37" x14ac:dyDescent="0.25">
      <c r="B39" s="16" t="s">
        <v>44</v>
      </c>
      <c r="C39" s="17"/>
      <c r="D39" s="17"/>
      <c r="E39" s="18">
        <f>E32</f>
      </c>
      <c r="F39" s="18">
        <f>F32</f>
      </c>
      <c r="G39" s="18">
        <f>G32</f>
      </c>
      <c r="H39" s="18">
        <f>H32</f>
      </c>
      <c r="I39" s="18">
        <f>I32</f>
      </c>
      <c r="J39" s="18">
        <f>J32</f>
      </c>
      <c r="K39" s="18">
        <f>K32</f>
      </c>
      <c r="L39" s="18">
        <f>L32</f>
      </c>
      <c r="M39" s="18">
        <f>M32</f>
      </c>
      <c r="N39" s="18">
        <f>N32</f>
      </c>
      <c r="O39" s="18">
        <f>O32</f>
      </c>
      <c r="P39" s="18">
        <f>P32</f>
      </c>
      <c r="Q39" s="18">
        <f>Q32</f>
      </c>
      <c r="R39" s="18">
        <f>R32</f>
      </c>
      <c r="S39" s="18">
        <f>S32</f>
      </c>
      <c r="T39" s="18">
        <f>T32</f>
      </c>
      <c r="U39" s="18">
        <f>U32</f>
      </c>
      <c r="V39" s="18">
        <f>V32</f>
      </c>
      <c r="W39" s="18">
        <f>W32</f>
      </c>
      <c r="X39" s="18">
        <f>X32</f>
      </c>
      <c r="Y39" s="18">
        <f>Y32</f>
      </c>
      <c r="Z39" s="18">
        <f>Z32</f>
      </c>
      <c r="AA39" s="18">
        <f>AA32</f>
      </c>
      <c r="AB39" s="18">
        <f>AB32</f>
      </c>
      <c r="AC39" s="18">
        <f>AC32</f>
      </c>
      <c r="AD39" s="18">
        <f>AD32</f>
      </c>
      <c r="AE39" s="18">
        <f>AE32</f>
      </c>
      <c r="AF39" s="18">
        <f>AF32</f>
      </c>
      <c r="AG39" s="18">
        <f>AG32</f>
      </c>
      <c r="AH39" s="18">
        <f>AH32</f>
      </c>
      <c r="AI39" s="18">
        <f>AI32</f>
      </c>
      <c r="AJ39" s="18">
        <f>AJ32</f>
      </c>
      <c r="AK39" s="19"/>
    </row>
    <row r="40" ht="12.75" customHeight="1" spans="2:37" x14ac:dyDescent="0.25">
      <c r="B40" s="20" t="s">
        <v>45</v>
      </c>
      <c r="C40" s="21"/>
      <c r="D40" s="21"/>
      <c r="E40" s="22">
        <f>E36+E37+E38+E39</f>
      </c>
      <c r="F40" s="22">
        <f>F36+F37+F38+F39</f>
      </c>
      <c r="G40" s="22">
        <f>G36+G37+G38+G39</f>
      </c>
      <c r="H40" s="22">
        <f>H36+H37+H38+H39</f>
      </c>
      <c r="I40" s="22">
        <f>I36+I37+I38+I39</f>
      </c>
      <c r="J40" s="22">
        <f>J36+J37+J38+J39</f>
      </c>
      <c r="K40" s="22">
        <f>K36+K37+K38+K39</f>
      </c>
      <c r="L40" s="22">
        <f>L36+L37+L38+L39</f>
      </c>
      <c r="M40" s="22">
        <f>M36+M37+M38+M39</f>
      </c>
      <c r="N40" s="22">
        <f>N36+N37+N38+N39</f>
      </c>
      <c r="O40" s="22">
        <f>O36+O37+O38+O39</f>
      </c>
      <c r="P40" s="22">
        <f>P36+P37+P38+P39</f>
      </c>
      <c r="Q40" s="22">
        <f>Q36+Q37+Q38+Q39</f>
      </c>
      <c r="R40" s="22">
        <f>R36+R37+R38+R39</f>
      </c>
      <c r="S40" s="22">
        <f>S36+S37+S38+S39</f>
      </c>
      <c r="T40" s="22">
        <f>T36+T37+T38+T39</f>
      </c>
      <c r="U40" s="22">
        <f>U36+U37+U38+U39</f>
      </c>
      <c r="V40" s="22">
        <f>V36+V37+V38+V39</f>
      </c>
      <c r="W40" s="22">
        <f>W36+W37+W38+W39</f>
      </c>
      <c r="X40" s="22">
        <f>X36+X37+X38+X39</f>
      </c>
      <c r="Y40" s="22">
        <f>Y36+Y37+Y38+Y39</f>
      </c>
      <c r="Z40" s="22">
        <f>Z36+Z37+Z38+Z39</f>
      </c>
      <c r="AA40" s="22">
        <f>AA36+AA37+AA38+AA39</f>
      </c>
      <c r="AB40" s="22">
        <f>AB36+AB37+AB38+AB39</f>
      </c>
      <c r="AC40" s="22">
        <f>AC36+AC37+AC38+AC39</f>
      </c>
      <c r="AD40" s="22">
        <f>AD36+AD37+AD38+AD39</f>
      </c>
      <c r="AE40" s="22">
        <f>AE36+AE37+AE38+AE39</f>
      </c>
      <c r="AF40" s="22">
        <f>AF36+AF37+AF38+AF39</f>
      </c>
      <c r="AG40" s="22">
        <f>AG36+AG37+AG38+AG39</f>
      </c>
      <c r="AH40" s="22">
        <f>AH36+AH37+AH38+AH39</f>
      </c>
      <c r="AI40" s="22">
        <f>AI36+AI37+AI38+AI39</f>
      </c>
      <c r="AJ40" s="22">
        <f>AJ36+AJ37+AJ38+AJ39</f>
      </c>
      <c r="AK40" s="23"/>
    </row>
    <row r="42" ht="12.75" customHeight="1" spans="2:37" x14ac:dyDescent="0.25">
      <c r="B42" s="11" t="s">
        <v>46</v>
      </c>
      <c r="C42" s="12"/>
      <c r="D42" s="13"/>
      <c r="E42" s="14" t="s">
        <v>7</v>
      </c>
      <c r="F42" s="14" t="s">
        <v>8</v>
      </c>
      <c r="G42" s="14" t="s">
        <v>9</v>
      </c>
      <c r="H42" s="14" t="s">
        <v>10</v>
      </c>
      <c r="I42" s="14" t="s">
        <v>11</v>
      </c>
      <c r="J42" s="14" t="s">
        <v>12</v>
      </c>
      <c r="K42" s="14" t="s">
        <v>13</v>
      </c>
      <c r="L42" s="14" t="s">
        <v>14</v>
      </c>
      <c r="M42" s="14" t="s">
        <v>15</v>
      </c>
      <c r="N42" s="14" t="s">
        <v>16</v>
      </c>
      <c r="O42" s="14" t="s">
        <v>17</v>
      </c>
      <c r="P42" s="14" t="s">
        <v>18</v>
      </c>
      <c r="Q42" s="14" t="s">
        <v>19</v>
      </c>
      <c r="R42" s="14" t="s">
        <v>20</v>
      </c>
      <c r="S42" s="14" t="s">
        <v>21</v>
      </c>
      <c r="T42" s="14" t="s">
        <v>22</v>
      </c>
      <c r="U42" s="14" t="s">
        <v>23</v>
      </c>
      <c r="V42" s="14" t="s">
        <v>24</v>
      </c>
      <c r="W42" s="14" t="s">
        <v>25</v>
      </c>
      <c r="X42" s="14" t="s">
        <v>26</v>
      </c>
      <c r="Y42" s="14" t="s">
        <v>27</v>
      </c>
      <c r="Z42" s="14" t="s">
        <v>28</v>
      </c>
      <c r="AA42" s="14" t="s">
        <v>29</v>
      </c>
      <c r="AB42" s="14" t="s">
        <v>30</v>
      </c>
      <c r="AC42" s="14" t="s">
        <v>31</v>
      </c>
      <c r="AD42" s="14" t="s">
        <v>32</v>
      </c>
      <c r="AE42" s="14" t="s">
        <v>33</v>
      </c>
      <c r="AF42" s="14" t="s">
        <v>34</v>
      </c>
      <c r="AG42" s="14" t="s">
        <v>35</v>
      </c>
      <c r="AH42" s="14" t="s">
        <v>36</v>
      </c>
      <c r="AI42" s="14" t="s">
        <v>37</v>
      </c>
      <c r="AJ42" s="14" t="s">
        <v>38</v>
      </c>
      <c r="AK42" s="15"/>
    </row>
    <row r="43" ht="12.75" customHeight="1" spans="2:37" x14ac:dyDescent="0.25">
      <c r="B43" s="16" t="s">
        <v>41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ht="12.75" customHeight="1" spans="2:37" x14ac:dyDescent="0.25">
      <c r="B44" s="16" t="s">
        <v>42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43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44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20" t="s">
        <v>45</v>
      </c>
      <c r="C47" s="21"/>
      <c r="D47" s="21"/>
      <c r="E47" s="22">
        <f>E43+E44+E45+E46</f>
      </c>
      <c r="F47" s="22">
        <f>F43+F44+F45+F46</f>
      </c>
      <c r="G47" s="22">
        <f>G43+G44+G45+G46</f>
      </c>
      <c r="H47" s="22">
        <f>H43+H44+H45+H46</f>
      </c>
      <c r="I47" s="22">
        <f>I43+I44+I45+I46</f>
      </c>
      <c r="J47" s="22">
        <f>J43+J44+J45+J46</f>
      </c>
      <c r="K47" s="22">
        <f>K43+K44+K45+K46</f>
      </c>
      <c r="L47" s="22">
        <f>L43+L44+L45+L46</f>
      </c>
      <c r="M47" s="22">
        <f>M43+M44+M45+M46</f>
      </c>
      <c r="N47" s="22">
        <f>N43+N44+N45+N46</f>
      </c>
      <c r="O47" s="22">
        <f>O43+O44+O45+O46</f>
      </c>
      <c r="P47" s="22">
        <f>P43+P44+P45+P46</f>
      </c>
      <c r="Q47" s="22">
        <f>Q43+Q44+Q45+Q46</f>
      </c>
      <c r="R47" s="22">
        <f>R43+R44+R45+R46</f>
      </c>
      <c r="S47" s="22">
        <f>S43+S44+S45+S46</f>
      </c>
      <c r="T47" s="22">
        <f>T43+T44+T45+T46</f>
      </c>
      <c r="U47" s="22">
        <f>U43+U44+U45+U46</f>
      </c>
      <c r="V47" s="22">
        <f>V43+V44+V45+V46</f>
      </c>
      <c r="W47" s="22">
        <f>W43+W44+W45+W46</f>
      </c>
      <c r="X47" s="22">
        <f>X43+X44+X45+X46</f>
      </c>
      <c r="Y47" s="22">
        <f>Y43+Y44+Y45+Y46</f>
      </c>
      <c r="Z47" s="22">
        <f>Z43+Z44+Z45+Z46</f>
      </c>
      <c r="AA47" s="22">
        <f>AA43+AA44+AA45+AA46</f>
      </c>
      <c r="AB47" s="22">
        <f>AB43+AB44+AB45+AB46</f>
      </c>
      <c r="AC47" s="22">
        <f>AC43+AC44+AC45+AC46</f>
      </c>
      <c r="AD47" s="22">
        <f>AD43+AD44+AD45+AD46</f>
      </c>
      <c r="AE47" s="22">
        <f>AE43+AE44+AE45+AE46</f>
      </c>
      <c r="AF47" s="22">
        <f>AF43+AF44+AF45+AF46</f>
      </c>
      <c r="AG47" s="22">
        <f>AG43+AG44+AG45+AG46</f>
      </c>
      <c r="AH47" s="22">
        <f>AH43+AH44+AH45+AH46</f>
      </c>
      <c r="AI47" s="22">
        <f>AI43+AI44+AI45+AI46</f>
      </c>
      <c r="AJ47" s="22">
        <f>AJ43+AJ44+AJ45+AJ46</f>
      </c>
      <c r="AK47" s="23"/>
    </row>
    <row r="49" ht="12.75" customHeight="1" spans="2:37" x14ac:dyDescent="0.25">
      <c r="B49" s="11" t="s">
        <v>47</v>
      </c>
      <c r="C49" s="12"/>
      <c r="D49" s="13"/>
      <c r="E49" s="14" t="s">
        <v>7</v>
      </c>
      <c r="F49" s="14" t="s">
        <v>8</v>
      </c>
      <c r="G49" s="14" t="s">
        <v>9</v>
      </c>
      <c r="H49" s="14" t="s">
        <v>10</v>
      </c>
      <c r="I49" s="14" t="s">
        <v>11</v>
      </c>
      <c r="J49" s="14" t="s">
        <v>12</v>
      </c>
      <c r="K49" s="14" t="s">
        <v>13</v>
      </c>
      <c r="L49" s="14" t="s">
        <v>14</v>
      </c>
      <c r="M49" s="14" t="s">
        <v>15</v>
      </c>
      <c r="N49" s="14" t="s">
        <v>16</v>
      </c>
      <c r="O49" s="14" t="s">
        <v>17</v>
      </c>
      <c r="P49" s="14" t="s">
        <v>18</v>
      </c>
      <c r="Q49" s="14" t="s">
        <v>19</v>
      </c>
      <c r="R49" s="14" t="s">
        <v>20</v>
      </c>
      <c r="S49" s="14" t="s">
        <v>21</v>
      </c>
      <c r="T49" s="14" t="s">
        <v>22</v>
      </c>
      <c r="U49" s="14" t="s">
        <v>23</v>
      </c>
      <c r="V49" s="14" t="s">
        <v>24</v>
      </c>
      <c r="W49" s="14" t="s">
        <v>25</v>
      </c>
      <c r="X49" s="14" t="s">
        <v>26</v>
      </c>
      <c r="Y49" s="14" t="s">
        <v>27</v>
      </c>
      <c r="Z49" s="14" t="s">
        <v>28</v>
      </c>
      <c r="AA49" s="14" t="s">
        <v>29</v>
      </c>
      <c r="AB49" s="14" t="s">
        <v>30</v>
      </c>
      <c r="AC49" s="14" t="s">
        <v>31</v>
      </c>
      <c r="AD49" s="14" t="s">
        <v>32</v>
      </c>
      <c r="AE49" s="14" t="s">
        <v>33</v>
      </c>
      <c r="AF49" s="14" t="s">
        <v>34</v>
      </c>
      <c r="AG49" s="14" t="s">
        <v>35</v>
      </c>
      <c r="AH49" s="14" t="s">
        <v>36</v>
      </c>
      <c r="AI49" s="14" t="s">
        <v>37</v>
      </c>
      <c r="AJ49" s="14" t="s">
        <v>38</v>
      </c>
      <c r="AK49" s="15"/>
    </row>
    <row r="50" ht="12.75" customHeight="1" spans="2:37" x14ac:dyDescent="0.25">
      <c r="B50" s="16" t="s">
        <v>41</v>
      </c>
      <c r="C50" s="17"/>
      <c r="D50" s="17"/>
      <c r="E50" s="24">
        <f>E43-E36</f>
      </c>
      <c r="F50" s="24">
        <f>F43-F36</f>
      </c>
      <c r="G50" s="24">
        <f>G43-G36</f>
      </c>
      <c r="H50" s="24">
        <f>H43-H36</f>
      </c>
      <c r="I50" s="24">
        <f>I43-I36</f>
      </c>
      <c r="J50" s="24">
        <f>J43-J36</f>
      </c>
      <c r="K50" s="24">
        <f>K43-K36</f>
      </c>
      <c r="L50" s="24">
        <f>L43-L36</f>
      </c>
      <c r="M50" s="24">
        <f>M43-M36</f>
      </c>
      <c r="N50" s="24">
        <f>N43-N36</f>
      </c>
      <c r="O50" s="24">
        <f>O43-O36</f>
      </c>
      <c r="P50" s="24">
        <f>P43-P36</f>
      </c>
      <c r="Q50" s="24">
        <f>Q43-Q36</f>
      </c>
      <c r="R50" s="24">
        <f>R43-R36</f>
      </c>
      <c r="S50" s="24">
        <f>S43-S36</f>
      </c>
      <c r="T50" s="24">
        <f>T43-T36</f>
      </c>
      <c r="U50" s="24">
        <f>U43-U36</f>
      </c>
      <c r="V50" s="24">
        <f>V43-V36</f>
      </c>
      <c r="W50" s="24">
        <f>W43-W36</f>
      </c>
      <c r="X50" s="24">
        <f>X43-X36</f>
      </c>
      <c r="Y50" s="24">
        <f>Y43-Y36</f>
      </c>
      <c r="Z50" s="24">
        <f>Z43-Z36</f>
      </c>
      <c r="AA50" s="24">
        <f>AA43-AA36</f>
      </c>
      <c r="AB50" s="24">
        <f>AB43-AB36</f>
      </c>
      <c r="AC50" s="24">
        <f>AC43-AC36</f>
      </c>
      <c r="AD50" s="24">
        <f>AD43-AD36</f>
      </c>
      <c r="AE50" s="24">
        <f>AE43-AE36</f>
      </c>
      <c r="AF50" s="24">
        <f>AF43-AF36</f>
      </c>
      <c r="AG50" s="24">
        <f>AG43-AG36</f>
      </c>
      <c r="AH50" s="24">
        <f>AH43-AH36</f>
      </c>
      <c r="AI50" s="24">
        <f>AI43-AI36</f>
      </c>
      <c r="AJ50" s="24">
        <f>AJ43-AJ36</f>
      </c>
      <c r="AK50" s="19"/>
    </row>
    <row r="51" ht="12.75" customHeight="1" spans="2:37" x14ac:dyDescent="0.25">
      <c r="B51" s="16" t="s">
        <v>42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43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44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20" t="s">
        <v>45</v>
      </c>
      <c r="C54" s="21"/>
      <c r="D54" s="21"/>
      <c r="E54" s="25">
        <f>E50+E51+E52+E53</f>
      </c>
      <c r="F54" s="25">
        <f>F50+F51+F52+F53</f>
      </c>
      <c r="G54" s="25">
        <f>G50+G51+G52+G53</f>
      </c>
      <c r="H54" s="25">
        <f>H50+H51+H52+H53</f>
      </c>
      <c r="I54" s="25">
        <f>I50+I51+I52+I53</f>
      </c>
      <c r="J54" s="25">
        <f>J50+J51+J52+J53</f>
      </c>
      <c r="K54" s="25">
        <f>K50+K51+K52+K53</f>
      </c>
      <c r="L54" s="25">
        <f>L50+L51+L52+L53</f>
      </c>
      <c r="M54" s="25">
        <f>M50+M51+M52+M53</f>
      </c>
      <c r="N54" s="25">
        <f>N50+N51+N52+N53</f>
      </c>
      <c r="O54" s="25">
        <f>O50+O51+O52+O53</f>
      </c>
      <c r="P54" s="25">
        <f>P50+P51+P52+P53</f>
      </c>
      <c r="Q54" s="25">
        <f>Q50+Q51+Q52+Q53</f>
      </c>
      <c r="R54" s="25">
        <f>R50+R51+R52+R53</f>
      </c>
      <c r="S54" s="25">
        <f>S50+S51+S52+S53</f>
      </c>
      <c r="T54" s="25">
        <f>T50+T51+T52+T53</f>
      </c>
      <c r="U54" s="25">
        <f>U50+U51+U52+U53</f>
      </c>
      <c r="V54" s="25">
        <f>V50+V51+V52+V53</f>
      </c>
      <c r="W54" s="25">
        <f>W50+W51+W52+W53</f>
      </c>
      <c r="X54" s="25">
        <f>X50+X51+X52+X53</f>
      </c>
      <c r="Y54" s="25">
        <f>Y50+Y51+Y52+Y53</f>
      </c>
      <c r="Z54" s="25">
        <f>Z50+Z51+Z52+Z53</f>
      </c>
      <c r="AA54" s="25">
        <f>AA50+AA51+AA52+AA53</f>
      </c>
      <c r="AB54" s="25">
        <f>AB50+AB51+AB52+AB53</f>
      </c>
      <c r="AC54" s="25">
        <f>AC50+AC51+AC52+AC53</f>
      </c>
      <c r="AD54" s="25">
        <f>AD50+AD51+AD52+AD53</f>
      </c>
      <c r="AE54" s="25">
        <f>AE50+AE51+AE52+AE53</f>
      </c>
      <c r="AF54" s="25">
        <f>AF50+AF51+AF52+AF53</f>
      </c>
      <c r="AG54" s="25">
        <f>AG50+AG51+AG52+AG53</f>
      </c>
      <c r="AH54" s="25">
        <f>AH50+AH51+AH52+AH53</f>
      </c>
      <c r="AI54" s="25">
        <f>AI50+AI51+AI52+AI53</f>
      </c>
      <c r="AJ54" s="25">
        <f>AJ50+AJ51+AJ52+AJ53</f>
      </c>
      <c r="AK5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2587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355</v>
      </c>
      <c r="H8" s="44" t="s">
        <v>3</v>
      </c>
      <c r="I8" s="44" t="s">
        <v>3</v>
      </c>
      <c r="J8" s="44" t="s">
        <v>2596</v>
      </c>
      <c r="K8" s="44" t="s">
        <v>2597</v>
      </c>
      <c r="L8" s="44" t="s">
        <v>2598</v>
      </c>
      <c r="M8" s="44" t="s">
        <v>2599</v>
      </c>
      <c r="N8" s="44" t="s">
        <v>2600</v>
      </c>
      <c r="O8" s="44" t="s">
        <v>2601</v>
      </c>
      <c r="P8" s="44" t="s">
        <v>2602</v>
      </c>
      <c r="Q8" s="44" t="s">
        <v>2603</v>
      </c>
      <c r="R8" s="44" t="s">
        <v>2604</v>
      </c>
      <c r="S8" s="44" t="s">
        <v>2605</v>
      </c>
      <c r="T8" s="44" t="s">
        <v>2606</v>
      </c>
      <c r="U8" s="44" t="s">
        <v>2607</v>
      </c>
      <c r="V8" s="44" t="s">
        <v>2608</v>
      </c>
      <c r="W8" s="44" t="s">
        <v>2609</v>
      </c>
      <c r="X8" s="44" t="s">
        <v>2610</v>
      </c>
      <c r="Y8" s="44" t="s">
        <v>2611</v>
      </c>
      <c r="Z8" s="44" t="s">
        <v>2612</v>
      </c>
      <c r="AA8" s="44" t="s">
        <v>2613</v>
      </c>
      <c r="AB8" s="44" t="s">
        <v>2614</v>
      </c>
      <c r="AC8" s="44" t="s">
        <v>2615</v>
      </c>
      <c r="AD8" s="44" t="s">
        <v>2616</v>
      </c>
      <c r="AE8" s="44" t="s">
        <v>2617</v>
      </c>
      <c r="AF8" s="44" t="s">
        <v>2618</v>
      </c>
      <c r="AG8" s="44" t="s">
        <v>2619</v>
      </c>
      <c r="AH8" s="44" t="s">
        <v>2620</v>
      </c>
      <c r="AI8" s="44" t="s">
        <v>2621</v>
      </c>
      <c r="AJ8" s="44" t="s">
        <v>2622</v>
      </c>
      <c r="AK8" s="44" t="s">
        <v>2623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2587</v>
      </c>
      <c r="D10" s="50" t="s">
        <v>41</v>
      </c>
      <c r="E10" s="32" t="s">
        <v>3</v>
      </c>
      <c r="F10" s="32" t="s">
        <v>2588</v>
      </c>
      <c r="G10" s="32"/>
      <c r="H10" s="32"/>
      <c r="I10" s="32"/>
      <c r="J10" s="32"/>
      <c r="K10" s="33">
        <v>58.25</v>
      </c>
      <c r="L10" s="33">
        <v>58.45</v>
      </c>
      <c r="M10" s="33">
        <v>58.55</v>
      </c>
      <c r="N10" s="33">
        <v>51.35</v>
      </c>
      <c r="O10" s="33">
        <v>47.13</v>
      </c>
      <c r="P10" s="33">
        <v>42.71</v>
      </c>
      <c r="Q10" s="33">
        <v>45.6</v>
      </c>
      <c r="R10" s="33">
        <v>45.26</v>
      </c>
      <c r="S10" s="33">
        <v>42.28</v>
      </c>
      <c r="T10" s="33">
        <v>43.51</v>
      </c>
      <c r="U10" s="33">
        <v>41.1</v>
      </c>
      <c r="V10" s="33">
        <v>45.55</v>
      </c>
      <c r="W10" s="33">
        <v>48.81</v>
      </c>
      <c r="X10" s="33">
        <v>54.87</v>
      </c>
      <c r="Y10" s="33">
        <v>51.55</v>
      </c>
      <c r="Z10" s="33">
        <v>46.17</v>
      </c>
      <c r="AA10" s="33">
        <v>47.37</v>
      </c>
      <c r="AB10" s="33">
        <v>44.9</v>
      </c>
      <c r="AC10" s="33">
        <v>49.97</v>
      </c>
      <c r="AD10" s="33">
        <v>45.98</v>
      </c>
      <c r="AE10" s="33">
        <v>50.55</v>
      </c>
      <c r="AF10" s="33">
        <v>54.12</v>
      </c>
      <c r="AG10" s="33">
        <v>52.69</v>
      </c>
      <c r="AH10" s="33">
        <v>54.13</v>
      </c>
      <c r="AI10" s="33">
        <v>66.82</v>
      </c>
      <c r="AJ10" s="33">
        <v>68.44</v>
      </c>
      <c r="AK10" s="33">
        <v>57.84</v>
      </c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2587</v>
      </c>
      <c r="D11" s="50" t="s">
        <v>41</v>
      </c>
      <c r="E11" s="32" t="s">
        <v>3</v>
      </c>
      <c r="F11" s="32" t="s">
        <v>2589</v>
      </c>
      <c r="G11" s="33">
        <f>0.00+0.00+0.00+0.00+0.00+0.00+0.00+0.00</f>
        <v>0</v>
      </c>
      <c r="H11" s="32"/>
      <c r="I11" s="32"/>
      <c r="J11" s="32"/>
      <c r="K11" s="33">
        <v>35.12</v>
      </c>
      <c r="L11" s="33">
        <v>36.59</v>
      </c>
      <c r="M11" s="33">
        <v>33.46</v>
      </c>
      <c r="N11" s="33">
        <v>33.46</v>
      </c>
      <c r="O11" s="33">
        <v>31.77</v>
      </c>
      <c r="P11" s="33">
        <v>32.71</v>
      </c>
      <c r="Q11" s="33">
        <v>31.76</v>
      </c>
      <c r="R11" s="33">
        <v>30.42</v>
      </c>
      <c r="S11" s="33">
        <v>31.8</v>
      </c>
      <c r="T11" s="33">
        <v>33.08</v>
      </c>
      <c r="U11" s="33">
        <v>30.42</v>
      </c>
      <c r="V11" s="33">
        <v>34.36</v>
      </c>
      <c r="W11" s="33">
        <v>34.36</v>
      </c>
      <c r="X11" s="33">
        <v>34.21</v>
      </c>
      <c r="Y11" s="33">
        <v>34.21</v>
      </c>
      <c r="Z11" s="33">
        <v>32.97</v>
      </c>
      <c r="AA11" s="33">
        <v>32.21</v>
      </c>
      <c r="AB11" s="33">
        <v>32.21</v>
      </c>
      <c r="AC11" s="33">
        <v>32.23</v>
      </c>
      <c r="AD11" s="33">
        <v>32.45</v>
      </c>
      <c r="AE11" s="33">
        <v>32.45</v>
      </c>
      <c r="AF11" s="33">
        <v>32.32</v>
      </c>
      <c r="AG11" s="33">
        <v>32.32</v>
      </c>
      <c r="AH11" s="33">
        <v>34.07</v>
      </c>
      <c r="AI11" s="33">
        <v>37.42</v>
      </c>
      <c r="AJ11" s="33">
        <v>110.61</v>
      </c>
      <c r="AK11" s="33">
        <v>34.18</v>
      </c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2587</v>
      </c>
      <c r="D16" s="50" t="s">
        <v>42</v>
      </c>
      <c r="E16" s="32" t="s">
        <v>3</v>
      </c>
      <c r="F16" s="32" t="s">
        <v>2590</v>
      </c>
      <c r="G16" s="32"/>
      <c r="H16" s="32"/>
      <c r="I16" s="32"/>
      <c r="J16" s="33">
        <v>38.09</v>
      </c>
      <c r="K16" s="33">
        <v>38.08</v>
      </c>
      <c r="L16" s="33">
        <v>38.12</v>
      </c>
      <c r="M16" s="33">
        <v>38.01</v>
      </c>
      <c r="N16" s="33">
        <v>38.03</v>
      </c>
      <c r="O16" s="33">
        <v>37.94</v>
      </c>
      <c r="P16" s="33">
        <v>38.16</v>
      </c>
      <c r="Q16" s="33">
        <v>37.98</v>
      </c>
      <c r="R16" s="33">
        <v>38.11</v>
      </c>
      <c r="S16" s="33">
        <v>38.13</v>
      </c>
      <c r="T16" s="33">
        <v>38.19</v>
      </c>
      <c r="U16" s="33">
        <v>38.22</v>
      </c>
      <c r="V16" s="32"/>
      <c r="W16" s="33">
        <v>38.23</v>
      </c>
      <c r="X16" s="33">
        <v>38.26</v>
      </c>
      <c r="Y16" s="33">
        <v>38.21</v>
      </c>
      <c r="Z16" s="33">
        <f>0.00+38.23</f>
        <v>38.23</v>
      </c>
      <c r="AA16" s="33">
        <v>38.11</v>
      </c>
      <c r="AB16" s="33">
        <v>38.12</v>
      </c>
      <c r="AC16" s="33">
        <v>38.1</v>
      </c>
      <c r="AD16" s="33">
        <v>38.66</v>
      </c>
      <c r="AE16" s="32"/>
      <c r="AF16" s="32"/>
      <c r="AG16" s="33">
        <v>38.13</v>
      </c>
      <c r="AH16" s="33">
        <v>38.88</v>
      </c>
      <c r="AI16" s="33">
        <v>38.04</v>
      </c>
      <c r="AJ16" s="33">
        <v>38.27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2587</v>
      </c>
      <c r="D17" s="50" t="s">
        <v>42</v>
      </c>
      <c r="E17" s="32" t="s">
        <v>3</v>
      </c>
      <c r="F17" s="32" t="s">
        <v>2591</v>
      </c>
      <c r="G17" s="32"/>
      <c r="H17" s="32"/>
      <c r="I17" s="32"/>
      <c r="J17" s="33">
        <f>137.30+216.53</f>
        <v>353.83000000000004</v>
      </c>
      <c r="K17" s="33">
        <f>167.67+213.44</f>
        <v>381.11</v>
      </c>
      <c r="L17" s="33">
        <f>135.05+212.68</f>
        <v>347.73</v>
      </c>
      <c r="M17" s="33">
        <f>91.73+210.64</f>
        <v>302.37</v>
      </c>
      <c r="N17" s="33">
        <f>211.59+122.81</f>
        <v>334.4</v>
      </c>
      <c r="O17" s="33">
        <f>254.74+214.02</f>
        <v>468.76</v>
      </c>
      <c r="P17" s="33">
        <f>212.04+231.66</f>
        <v>443.7</v>
      </c>
      <c r="Q17" s="33">
        <f>212.39+257.22</f>
        <v>469.61</v>
      </c>
      <c r="R17" s="33">
        <f>228.20+211.99</f>
        <v>440.19</v>
      </c>
      <c r="S17" s="33">
        <f>211.88+219.63</f>
        <v>431.51</v>
      </c>
      <c r="T17" s="33">
        <f>200.21+211.58</f>
        <v>411.79</v>
      </c>
      <c r="U17" s="33">
        <f>210.45+144.51</f>
        <v>354.96</v>
      </c>
      <c r="V17" s="33">
        <f>188.41+172.33</f>
        <v>360.74</v>
      </c>
      <c r="W17" s="33">
        <f>218.62+213.30</f>
        <v>431.92</v>
      </c>
      <c r="X17" s="33">
        <f>216.32+117.07</f>
        <v>333.39</v>
      </c>
      <c r="Y17" s="33">
        <f>104.82+226.48</f>
        <v>331.29999999999995</v>
      </c>
      <c r="Z17" s="33">
        <f>155.34+227.99</f>
        <v>383.33000000000004</v>
      </c>
      <c r="AA17" s="33">
        <f>236.18+229.64</f>
        <v>465.82</v>
      </c>
      <c r="AB17" s="33">
        <f>229.88+251.55</f>
        <v>481.43</v>
      </c>
      <c r="AC17" s="33">
        <f>335.23+230.96</f>
        <v>566.19</v>
      </c>
      <c r="AD17" s="33">
        <f>230.81+316.31</f>
        <v>547.12</v>
      </c>
      <c r="AE17" s="33">
        <f>230.07+255.86</f>
        <v>485.93</v>
      </c>
      <c r="AF17" s="33">
        <f>228.12+155.61</f>
        <v>383.73</v>
      </c>
      <c r="AG17" s="33">
        <f>94.14+226.24</f>
        <v>320.38</v>
      </c>
      <c r="AH17" s="33">
        <f>122.64+227.26</f>
        <v>349.9</v>
      </c>
      <c r="AI17" s="33">
        <f>184.16+231.26</f>
        <v>415.41999999999996</v>
      </c>
      <c r="AJ17" s="33">
        <f>166.73+220.78</f>
        <v>387.51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2587</v>
      </c>
      <c r="D18" s="50" t="s">
        <v>42</v>
      </c>
      <c r="E18" s="32" t="s">
        <v>3</v>
      </c>
      <c r="F18" s="32" t="s">
        <v>2592</v>
      </c>
      <c r="G18" s="32"/>
      <c r="H18" s="32"/>
      <c r="I18" s="32"/>
      <c r="J18" s="33">
        <v>109.58</v>
      </c>
      <c r="K18" s="33">
        <v>74.34</v>
      </c>
      <c r="L18" s="33">
        <v>89.52</v>
      </c>
      <c r="M18" s="33">
        <v>145.8</v>
      </c>
      <c r="N18" s="33">
        <v>173.97</v>
      </c>
      <c r="O18" s="33">
        <v>351.08</v>
      </c>
      <c r="P18" s="33">
        <v>369.66</v>
      </c>
      <c r="Q18" s="33">
        <v>417.64</v>
      </c>
      <c r="R18" s="33">
        <v>386.41</v>
      </c>
      <c r="S18" s="33">
        <v>371.79</v>
      </c>
      <c r="T18" s="33">
        <v>301.7</v>
      </c>
      <c r="U18" s="33">
        <v>198.8</v>
      </c>
      <c r="V18" s="32"/>
      <c r="W18" s="33">
        <v>64.17</v>
      </c>
      <c r="X18" s="33">
        <v>91.93</v>
      </c>
      <c r="Y18" s="33">
        <f>0.00+132.38</f>
        <v>132.38</v>
      </c>
      <c r="Z18" s="33">
        <v>272.79</v>
      </c>
      <c r="AA18" s="33">
        <v>324.4</v>
      </c>
      <c r="AB18" s="33">
        <v>326.43</v>
      </c>
      <c r="AC18" s="33">
        <v>400.29</v>
      </c>
      <c r="AD18" s="33">
        <v>352.33</v>
      </c>
      <c r="AE18" s="32"/>
      <c r="AF18" s="32"/>
      <c r="AG18" s="33">
        <v>133.86</v>
      </c>
      <c r="AH18" s="33">
        <v>95.18</v>
      </c>
      <c r="AI18" s="33">
        <v>67.89</v>
      </c>
      <c r="AJ18" s="33">
        <v>57.23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2587</v>
      </c>
      <c r="D19" s="50" t="s">
        <v>42</v>
      </c>
      <c r="E19" s="32" t="s">
        <v>3</v>
      </c>
      <c r="F19" s="32" t="s">
        <v>2593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>
        <v>230.98</v>
      </c>
      <c r="AE19" s="33">
        <v>158.03</v>
      </c>
      <c r="AF19" s="33">
        <v>159.52</v>
      </c>
      <c r="AG19" s="33">
        <v>117.88</v>
      </c>
      <c r="AH19" s="33">
        <f>149.73+149.73</f>
        <v>299.46</v>
      </c>
      <c r="AI19" s="32"/>
      <c r="AJ19" s="32"/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2587</v>
      </c>
      <c r="D20" s="50" t="s">
        <v>42</v>
      </c>
      <c r="E20" s="32" t="s">
        <v>3</v>
      </c>
      <c r="F20" s="32" t="s">
        <v>2594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3">
        <v>292.96</v>
      </c>
      <c r="AJ20" s="33">
        <f>0.00+254.48</f>
        <v>254.48</v>
      </c>
      <c r="AK20" s="32"/>
      <c r="AL20" s="34">
        <f>SUM(G20:AK20)</f>
      </c>
      <c r="AM20" s="35"/>
    </row>
    <row r="21" ht="13.5" customHeight="1" spans="2:39" x14ac:dyDescent="0.25">
      <c r="B21" s="51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0"/>
    </row>
    <row r="22" ht="13.5" customHeight="1" spans="2:39" x14ac:dyDescent="0.25">
      <c r="B22" s="20"/>
      <c r="C22" s="21"/>
      <c r="D22" s="21" t="s">
        <v>85</v>
      </c>
      <c r="E22" s="21"/>
      <c r="F22" s="21"/>
      <c r="G22" s="22">
        <f>SUM(G16:G20)</f>
      </c>
      <c r="H22" s="22">
        <f>SUM(H16:H20)</f>
      </c>
      <c r="I22" s="22">
        <f>SUM(I16:I20)</f>
      </c>
      <c r="J22" s="22">
        <f>SUM(J16:J20)</f>
      </c>
      <c r="K22" s="22">
        <f>SUM(K16:K20)</f>
      </c>
      <c r="L22" s="22">
        <f>SUM(L16:L20)</f>
      </c>
      <c r="M22" s="22">
        <f>SUM(M16:M20)</f>
      </c>
      <c r="N22" s="22">
        <f>SUM(N16:N20)</f>
      </c>
      <c r="O22" s="22">
        <f>SUM(O16:O20)</f>
      </c>
      <c r="P22" s="22">
        <f>SUM(P16:P20)</f>
      </c>
      <c r="Q22" s="22">
        <f>SUM(Q16:Q20)</f>
      </c>
      <c r="R22" s="22">
        <f>SUM(R16:R20)</f>
      </c>
      <c r="S22" s="22">
        <f>SUM(S16:S20)</f>
      </c>
      <c r="T22" s="22">
        <f>SUM(T16:T20)</f>
      </c>
      <c r="U22" s="22">
        <f>SUM(U16:U20)</f>
      </c>
      <c r="V22" s="22">
        <f>SUM(V16:V20)</f>
      </c>
      <c r="W22" s="22">
        <f>SUM(W16:W20)</f>
      </c>
      <c r="X22" s="22">
        <f>SUM(X16:X20)</f>
      </c>
      <c r="Y22" s="22">
        <f>SUM(Y16:Y20)</f>
      </c>
      <c r="Z22" s="22">
        <f>SUM(Z16:Z20)</f>
      </c>
      <c r="AA22" s="22">
        <f>SUM(AA16:AA20)</f>
      </c>
      <c r="AB22" s="22">
        <f>SUM(AB16:AB20)</f>
      </c>
      <c r="AC22" s="22">
        <f>SUM(AC16:AC20)</f>
      </c>
      <c r="AD22" s="22">
        <f>SUM(AD16:AD20)</f>
      </c>
      <c r="AE22" s="22">
        <f>SUM(AE16:AE20)</f>
      </c>
      <c r="AF22" s="22">
        <f>SUM(AF16:AF20)</f>
      </c>
      <c r="AG22" s="22">
        <f>SUM(AG16:AG20)</f>
      </c>
      <c r="AH22" s="22">
        <f>SUM(AH16:AH20)</f>
      </c>
      <c r="AI22" s="22">
        <f>SUM(AI16:AI20)</f>
      </c>
      <c r="AJ22" s="22">
        <f>SUM(AJ16:AJ20)</f>
      </c>
      <c r="AK22" s="22">
        <f>SUM(AK16:AK20)</f>
      </c>
      <c r="AL22" s="22">
        <f>SUM(AL16:AL20)</f>
      </c>
      <c r="AM22" s="23"/>
    </row>
    <row r="24" ht="13.5" customHeight="1" spans="2:39" x14ac:dyDescent="0.25">
      <c r="B24" s="46"/>
      <c r="C24" s="28"/>
      <c r="D24" s="47" t="s">
        <v>43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9"/>
    </row>
    <row r="25" ht="13.5" customHeight="1" spans="2:39" x14ac:dyDescent="0.25">
      <c r="B25" s="48" t="s">
        <v>3</v>
      </c>
      <c r="C25" s="49" t="s">
        <v>2587</v>
      </c>
      <c r="D25" s="50" t="s">
        <v>43</v>
      </c>
      <c r="E25" s="32" t="s">
        <v>3</v>
      </c>
      <c r="F25" s="32" t="s">
        <v>2588</v>
      </c>
      <c r="G25" s="32"/>
      <c r="H25" s="32"/>
      <c r="I25" s="32"/>
      <c r="J25" s="32"/>
      <c r="K25" s="33">
        <f>1582.58+9.73+1201.33</f>
        <v>2793.64</v>
      </c>
      <c r="L25" s="33">
        <f>1781.77+9.74+1383.10</f>
        <v>3174.6099999999997</v>
      </c>
      <c r="M25" s="33">
        <f>1818.18+10.44+1583.26</f>
        <v>3411.88</v>
      </c>
      <c r="N25" s="33">
        <f>1494.93+9.70+1124.39</f>
        <v>2629.0200000000004</v>
      </c>
      <c r="O25" s="33">
        <f>1248.51+9.68+907.10</f>
        <v>2165.29</v>
      </c>
      <c r="P25" s="33">
        <f>1720.20+1323.24+9.71</f>
        <v>3053.15</v>
      </c>
      <c r="Q25" s="33">
        <f>2318.00+2200.26+9.48</f>
        <v>4527.74</v>
      </c>
      <c r="R25" s="33">
        <f>1661.45+1407.12+35.76</f>
        <v>3104.33</v>
      </c>
      <c r="S25" s="33">
        <f>1484.44+1115.17+9.70</f>
        <v>2609.31</v>
      </c>
      <c r="T25" s="33">
        <f>1637.47+10.01+1244.23</f>
        <v>2891.71</v>
      </c>
      <c r="U25" s="33">
        <f>1283.34+9.97+932.13</f>
        <v>2225.44</v>
      </c>
      <c r="V25" s="33">
        <v>1283.54</v>
      </c>
      <c r="W25" s="33">
        <f>1296.69+9.98+943.84</f>
        <v>2250.51</v>
      </c>
      <c r="X25" s="33">
        <f>1705.84+1304.43+10.01</f>
        <v>3020.28</v>
      </c>
      <c r="Y25" s="33">
        <f>1598.78+10.01+1210.07</f>
        <v>2818.8599999999997</v>
      </c>
      <c r="Z25" s="33">
        <f>1598.51+1209.87+10.00</f>
        <v>2818.38</v>
      </c>
      <c r="AA25" s="33">
        <f>1461.72+1089.30+9.99</f>
        <v>2561.0099999999998</v>
      </c>
      <c r="AB25" s="33">
        <f>1767.34+1365.39+9.77</f>
        <v>3142.5</v>
      </c>
      <c r="AC25" s="33">
        <f>1283.82+932.48+18.48</f>
        <v>2234.78</v>
      </c>
      <c r="AD25" s="33">
        <f>1283.44+9.98+932.20</f>
        <v>2225.62</v>
      </c>
      <c r="AE25" s="33">
        <f>1449.10+10.76+1190.74</f>
        <v>2650.6</v>
      </c>
      <c r="AF25" s="33">
        <f>2002.98+1736.27+11.62</f>
        <v>3750.87</v>
      </c>
      <c r="AG25" s="33">
        <f>1372.67+1099.72+10.56</f>
        <v>2482.9500000000003</v>
      </c>
      <c r="AH25" s="33">
        <f>1358.68+1085.49+11.62</f>
        <v>2455.79</v>
      </c>
      <c r="AI25" s="33">
        <f>1616.23+11.62+1335.16</f>
        <v>2963.01</v>
      </c>
      <c r="AJ25" s="33">
        <f>1454.60+11.62+1178.17</f>
        <v>2644.39</v>
      </c>
      <c r="AK25" s="33">
        <f>1687.97+11.62+1404.89</f>
        <v>3104.48</v>
      </c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2587</v>
      </c>
      <c r="D26" s="50" t="s">
        <v>43</v>
      </c>
      <c r="E26" s="32" t="s">
        <v>3</v>
      </c>
      <c r="F26" s="32" t="s">
        <v>2595</v>
      </c>
      <c r="G26" s="32"/>
      <c r="H26" s="32"/>
      <c r="I26" s="32"/>
      <c r="J26" s="32"/>
      <c r="K26" s="33">
        <f>500.88+1719.59+430.06</f>
        <v>2650.5299999999997</v>
      </c>
      <c r="L26" s="33">
        <f>604.16+1724.22+544.69</f>
        <v>2873.07</v>
      </c>
      <c r="M26" s="33">
        <f>529.48+1692.14+510.32</f>
        <v>2731.94</v>
      </c>
      <c r="N26" s="33">
        <f>547.44+1721.77+481.73</f>
        <v>2750.94</v>
      </c>
      <c r="O26" s="33">
        <f>652.12+1726.14+597.93</f>
        <v>2976.19</v>
      </c>
      <c r="P26" s="33">
        <f>698.88+1727.88+649.84</f>
        <v>3076.6000000000004</v>
      </c>
      <c r="Q26" s="33">
        <f>639.28+1692.14+644.77</f>
        <v>2976.19</v>
      </c>
      <c r="R26" s="33">
        <f>547.78+1692.14+532.73</f>
        <v>2772.65</v>
      </c>
      <c r="S26" s="33">
        <f>509.68+1720.02+439.83</f>
        <v>2669.5299999999997</v>
      </c>
      <c r="T26" s="33">
        <f>563.76+1858.61+495.86</f>
        <v>2918.23</v>
      </c>
      <c r="U26" s="33">
        <f>574.13+1859.09+507.37</f>
        <v>2940.5899999999997</v>
      </c>
      <c r="V26" s="33">
        <f>468.09+1854.37</f>
        <v>2322.46</v>
      </c>
      <c r="W26" s="33">
        <f>477.11+1854.74+407.32</f>
        <v>2739.17</v>
      </c>
      <c r="X26" s="33">
        <f>516.63+1827.56+490.16</f>
        <v>2834.35</v>
      </c>
      <c r="Y26" s="33">
        <f>496.44+1855.50+424.39</f>
        <v>2776.33</v>
      </c>
      <c r="Z26" s="33">
        <f>516.63+1827.56+490.16</f>
        <v>2834.35</v>
      </c>
      <c r="AA26" s="33">
        <f>583.25+1827.56+571.73</f>
        <v>2982.54</v>
      </c>
      <c r="AB26" s="33">
        <f>526.68+1827.56+502.47</f>
        <v>2856.71</v>
      </c>
      <c r="AC26" s="33">
        <f>524.88+1856.75+452.72</f>
        <v>2834.3500000000004</v>
      </c>
      <c r="AD26" s="33">
        <f>451.26+1827.56+423.17</f>
        <v>2701.99</v>
      </c>
      <c r="AE26" s="33">
        <f>470.12+1827.56+441.49</f>
        <v>2739.17</v>
      </c>
      <c r="AF26" s="33">
        <f>721.10+1973.96+728.89</f>
        <v>3423.95</v>
      </c>
      <c r="AG26" s="33">
        <f>537.77+1973.96+505.88</f>
        <v>3017.61</v>
      </c>
      <c r="AH26" s="33">
        <f>598.88+1973.96+579.30</f>
        <v>3152.1400000000003</v>
      </c>
      <c r="AI26" s="33">
        <f>791.71+1973.96+815.32</f>
        <v>3580.9900000000002</v>
      </c>
      <c r="AJ26" s="33">
        <f>670.85+1973.96+667.39</f>
        <v>3312.2</v>
      </c>
      <c r="AK26" s="33">
        <f>639.62+1973.96+629.17</f>
        <v>3242.75</v>
      </c>
      <c r="AL26" s="34">
        <f>SUM(G26:AK26)</f>
      </c>
      <c r="AM26" s="35"/>
    </row>
    <row r="27" ht="13.5" customHeight="1" spans="2:39" x14ac:dyDescent="0.25">
      <c r="B27" s="51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0"/>
    </row>
    <row r="28" ht="13.5" customHeight="1" spans="2:39" x14ac:dyDescent="0.25">
      <c r="B28" s="20"/>
      <c r="C28" s="21"/>
      <c r="D28" s="21" t="s">
        <v>89</v>
      </c>
      <c r="E28" s="21"/>
      <c r="F28" s="21"/>
      <c r="G28" s="22">
        <f>SUM(G25:G26)</f>
      </c>
      <c r="H28" s="22">
        <f>SUM(H25:H26)</f>
      </c>
      <c r="I28" s="22">
        <f>SUM(I25:I26)</f>
      </c>
      <c r="J28" s="22">
        <f>SUM(J25:J26)</f>
      </c>
      <c r="K28" s="22">
        <f>SUM(K25:K26)</f>
      </c>
      <c r="L28" s="22">
        <f>SUM(L25:L26)</f>
      </c>
      <c r="M28" s="22">
        <f>SUM(M25:M26)</f>
      </c>
      <c r="N28" s="22">
        <f>SUM(N25:N26)</f>
      </c>
      <c r="O28" s="22">
        <f>SUM(O25:O26)</f>
      </c>
      <c r="P28" s="22">
        <f>SUM(P25:P26)</f>
      </c>
      <c r="Q28" s="22">
        <f>SUM(Q25:Q26)</f>
      </c>
      <c r="R28" s="22">
        <f>SUM(R25:R26)</f>
      </c>
      <c r="S28" s="22">
        <f>SUM(S25:S26)</f>
      </c>
      <c r="T28" s="22">
        <f>SUM(T25:T26)</f>
      </c>
      <c r="U28" s="22">
        <f>SUM(U25:U26)</f>
      </c>
      <c r="V28" s="22">
        <f>SUM(V25:V26)</f>
      </c>
      <c r="W28" s="22">
        <f>SUM(W25:W26)</f>
      </c>
      <c r="X28" s="22">
        <f>SUM(X25:X26)</f>
      </c>
      <c r="Y28" s="22">
        <f>SUM(Y25:Y26)</f>
      </c>
      <c r="Z28" s="22">
        <f>SUM(Z25:Z26)</f>
      </c>
      <c r="AA28" s="22">
        <f>SUM(AA25:AA26)</f>
      </c>
      <c r="AB28" s="22">
        <f>SUM(AB25:AB26)</f>
      </c>
      <c r="AC28" s="22">
        <f>SUM(AC25:AC26)</f>
      </c>
      <c r="AD28" s="22">
        <f>SUM(AD25:AD26)</f>
      </c>
      <c r="AE28" s="22">
        <f>SUM(AE25:AE26)</f>
      </c>
      <c r="AF28" s="22">
        <f>SUM(AF25:AF26)</f>
      </c>
      <c r="AG28" s="22">
        <f>SUM(AG25:AG26)</f>
      </c>
      <c r="AH28" s="22">
        <f>SUM(AH25:AH26)</f>
      </c>
      <c r="AI28" s="22">
        <f>SUM(AI25:AI26)</f>
      </c>
      <c r="AJ28" s="22">
        <f>SUM(AJ25:AJ26)</f>
      </c>
      <c r="AK28" s="22">
        <f>SUM(AK25:AK26)</f>
      </c>
      <c r="AL28" s="22">
        <f>SUM(AL25:AL26)</f>
      </c>
      <c r="AM28" s="23"/>
    </row>
    <row r="30" ht="13.5" customHeight="1" spans="2:39" x14ac:dyDescent="0.25">
      <c r="B30" s="46"/>
      <c r="C30" s="28"/>
      <c r="D30" s="47" t="s">
        <v>44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/>
    </row>
    <row r="31" ht="13.5" customHeight="1" spans="2:39" x14ac:dyDescent="0.25">
      <c r="B31" s="48" t="s">
        <v>3</v>
      </c>
      <c r="C31" s="49" t="s">
        <v>2587</v>
      </c>
      <c r="D31" s="50" t="s">
        <v>44</v>
      </c>
      <c r="E31" s="32" t="s">
        <v>3</v>
      </c>
      <c r="F31" s="32" t="s">
        <v>2588</v>
      </c>
      <c r="G31" s="32"/>
      <c r="H31" s="32"/>
      <c r="I31" s="32"/>
      <c r="J31" s="32"/>
      <c r="K31" s="33">
        <v>2139.61</v>
      </c>
      <c r="L31" s="33">
        <v>2142.75</v>
      </c>
      <c r="M31" s="33">
        <v>2086.68</v>
      </c>
      <c r="N31" s="33">
        <v>2492.27</v>
      </c>
      <c r="O31" s="33">
        <v>2486.51</v>
      </c>
      <c r="P31" s="33">
        <v>2494.74</v>
      </c>
      <c r="Q31" s="33">
        <v>2434.59</v>
      </c>
      <c r="R31" s="33">
        <v>2436.11</v>
      </c>
      <c r="S31" s="33">
        <v>2491.42</v>
      </c>
      <c r="T31" s="33">
        <v>2587.11</v>
      </c>
      <c r="U31" s="33">
        <v>2579.12</v>
      </c>
      <c r="V31" s="33">
        <v>2579.51</v>
      </c>
      <c r="W31" s="33">
        <v>2580.14</v>
      </c>
      <c r="X31" s="33">
        <v>2589.28</v>
      </c>
      <c r="Y31" s="33">
        <v>2587</v>
      </c>
      <c r="Z31" s="33">
        <v>2586.57</v>
      </c>
      <c r="AA31" s="33">
        <v>2583.65</v>
      </c>
      <c r="AB31" s="33">
        <v>2671.44</v>
      </c>
      <c r="AC31" s="33">
        <v>2580.09</v>
      </c>
      <c r="AD31" s="33">
        <v>2579.31</v>
      </c>
      <c r="AE31" s="33">
        <v>2630.53</v>
      </c>
      <c r="AF31" s="33">
        <v>2728.77</v>
      </c>
      <c r="AG31" s="33">
        <v>2622.76</v>
      </c>
      <c r="AH31" s="33">
        <v>2622.85</v>
      </c>
      <c r="AI31" s="33">
        <v>2623.24</v>
      </c>
      <c r="AJ31" s="33">
        <v>2623.46</v>
      </c>
      <c r="AK31" s="33">
        <v>2622.75</v>
      </c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90</v>
      </c>
      <c r="E33" s="21"/>
      <c r="F33" s="21"/>
      <c r="G33" s="22">
        <f>SUM(G31:G31)</f>
      </c>
      <c r="H33" s="22">
        <f>SUM(H31:H31)</f>
      </c>
      <c r="I33" s="22">
        <f>SUM(I31:I31)</f>
      </c>
      <c r="J33" s="22">
        <f>SUM(J31:J31)</f>
      </c>
      <c r="K33" s="22">
        <f>SUM(K31:K31)</f>
      </c>
      <c r="L33" s="22">
        <f>SUM(L31:L31)</f>
      </c>
      <c r="M33" s="22">
        <f>SUM(M31:M31)</f>
      </c>
      <c r="N33" s="22">
        <f>SUM(N31:N31)</f>
      </c>
      <c r="O33" s="22">
        <f>SUM(O31:O31)</f>
      </c>
      <c r="P33" s="22">
        <f>SUM(P31:P31)</f>
      </c>
      <c r="Q33" s="22">
        <f>SUM(Q31:Q31)</f>
      </c>
      <c r="R33" s="22">
        <f>SUM(R31:R31)</f>
      </c>
      <c r="S33" s="22">
        <f>SUM(S31:S31)</f>
      </c>
      <c r="T33" s="22">
        <f>SUM(T31:T31)</f>
      </c>
      <c r="U33" s="22">
        <f>SUM(U31:U31)</f>
      </c>
      <c r="V33" s="22">
        <f>SUM(V31:V31)</f>
      </c>
      <c r="W33" s="22">
        <f>SUM(W31:W31)</f>
      </c>
      <c r="X33" s="22">
        <f>SUM(X31:X31)</f>
      </c>
      <c r="Y33" s="22">
        <f>SUM(Y31:Y31)</f>
      </c>
      <c r="Z33" s="22">
        <f>SUM(Z31:Z31)</f>
      </c>
      <c r="AA33" s="22">
        <f>SUM(AA31:AA31)</f>
      </c>
      <c r="AB33" s="22">
        <f>SUM(AB31:AB31)</f>
      </c>
      <c r="AC33" s="22">
        <f>SUM(AC31:AC31)</f>
      </c>
      <c r="AD33" s="22">
        <f>SUM(AD31:AD31)</f>
      </c>
      <c r="AE33" s="22">
        <f>SUM(AE31:AE31)</f>
      </c>
      <c r="AF33" s="22">
        <f>SUM(AF31:AF31)</f>
      </c>
      <c r="AG33" s="22">
        <f>SUM(AG31:AG31)</f>
      </c>
      <c r="AH33" s="22">
        <f>SUM(AH31:AH31)</f>
      </c>
      <c r="AI33" s="22">
        <f>SUM(AI31:AI31)</f>
      </c>
      <c r="AJ33" s="22">
        <f>SUM(AJ31:AJ31)</f>
      </c>
      <c r="AK33" s="22">
        <f>SUM(AK31:AK31)</f>
      </c>
      <c r="AL33" s="22">
        <f>SUM(AL31:AL31)</f>
      </c>
      <c r="AM33" s="23"/>
    </row>
    <row r="36" ht="12.75" customHeight="1" spans="2:39" x14ac:dyDescent="0.25">
      <c r="B36" s="11" t="s">
        <v>40</v>
      </c>
      <c r="C36" s="12"/>
      <c r="D36" s="12"/>
      <c r="E36" s="12"/>
      <c r="F36" s="12"/>
      <c r="G36" s="52" t="s">
        <v>7</v>
      </c>
      <c r="H36" s="52" t="s">
        <v>8</v>
      </c>
      <c r="I36" s="52" t="s">
        <v>9</v>
      </c>
      <c r="J36" s="52" t="s">
        <v>10</v>
      </c>
      <c r="K36" s="52" t="s">
        <v>11</v>
      </c>
      <c r="L36" s="52" t="s">
        <v>12</v>
      </c>
      <c r="M36" s="52" t="s">
        <v>13</v>
      </c>
      <c r="N36" s="52" t="s">
        <v>14</v>
      </c>
      <c r="O36" s="52" t="s">
        <v>15</v>
      </c>
      <c r="P36" s="52" t="s">
        <v>16</v>
      </c>
      <c r="Q36" s="52" t="s">
        <v>17</v>
      </c>
      <c r="R36" s="52" t="s">
        <v>18</v>
      </c>
      <c r="S36" s="52" t="s">
        <v>19</v>
      </c>
      <c r="T36" s="52" t="s">
        <v>20</v>
      </c>
      <c r="U36" s="52" t="s">
        <v>21</v>
      </c>
      <c r="V36" s="52" t="s">
        <v>22</v>
      </c>
      <c r="W36" s="52" t="s">
        <v>23</v>
      </c>
      <c r="X36" s="52" t="s">
        <v>24</v>
      </c>
      <c r="Y36" s="52" t="s">
        <v>25</v>
      </c>
      <c r="Z36" s="52" t="s">
        <v>26</v>
      </c>
      <c r="AA36" s="52" t="s">
        <v>27</v>
      </c>
      <c r="AB36" s="52" t="s">
        <v>28</v>
      </c>
      <c r="AC36" s="52" t="s">
        <v>29</v>
      </c>
      <c r="AD36" s="52" t="s">
        <v>30</v>
      </c>
      <c r="AE36" s="52" t="s">
        <v>31</v>
      </c>
      <c r="AF36" s="52" t="s">
        <v>32</v>
      </c>
      <c r="AG36" s="52" t="s">
        <v>33</v>
      </c>
      <c r="AH36" s="52" t="s">
        <v>34</v>
      </c>
      <c r="AI36" s="52" t="s">
        <v>35</v>
      </c>
      <c r="AJ36" s="52" t="s">
        <v>36</v>
      </c>
      <c r="AK36" s="52" t="s">
        <v>37</v>
      </c>
      <c r="AL36" s="52" t="s">
        <v>38</v>
      </c>
      <c r="AM36" s="15"/>
    </row>
    <row r="37" ht="12.75" customHeight="1" spans="2:39" x14ac:dyDescent="0.25">
      <c r="B37" s="16"/>
      <c r="C37" s="17"/>
      <c r="D37" s="17" t="s">
        <v>41</v>
      </c>
      <c r="E37" s="17"/>
      <c r="F37" s="17"/>
      <c r="G37" s="18">
        <f>G13</f>
      </c>
      <c r="H37" s="18">
        <f>H13</f>
      </c>
      <c r="I37" s="18">
        <f>I13</f>
      </c>
      <c r="J37" s="18">
        <f>J13</f>
      </c>
      <c r="K37" s="18">
        <f>K13</f>
      </c>
      <c r="L37" s="18">
        <f>L13</f>
      </c>
      <c r="M37" s="18">
        <f>M13</f>
      </c>
      <c r="N37" s="18">
        <f>N13</f>
      </c>
      <c r="O37" s="18">
        <f>O13</f>
      </c>
      <c r="P37" s="18">
        <f>P13</f>
      </c>
      <c r="Q37" s="18">
        <f>Q13</f>
      </c>
      <c r="R37" s="18">
        <f>R13</f>
      </c>
      <c r="S37" s="18">
        <f>S13</f>
      </c>
      <c r="T37" s="18">
        <f>T13</f>
      </c>
      <c r="U37" s="18">
        <f>U13</f>
      </c>
      <c r="V37" s="18">
        <f>V13</f>
      </c>
      <c r="W37" s="18">
        <f>W13</f>
      </c>
      <c r="X37" s="18">
        <f>X13</f>
      </c>
      <c r="Y37" s="18">
        <f>Y13</f>
      </c>
      <c r="Z37" s="18">
        <f>Z13</f>
      </c>
      <c r="AA37" s="18">
        <f>AA13</f>
      </c>
      <c r="AB37" s="18">
        <f>AB13</f>
      </c>
      <c r="AC37" s="18">
        <f>AC13</f>
      </c>
      <c r="AD37" s="18">
        <f>AD13</f>
      </c>
      <c r="AE37" s="18">
        <f>AE13</f>
      </c>
      <c r="AF37" s="18">
        <f>AF13</f>
      </c>
      <c r="AG37" s="18">
        <f>AG13</f>
      </c>
      <c r="AH37" s="18">
        <f>AH13</f>
      </c>
      <c r="AI37" s="18">
        <f>AI13</f>
      </c>
      <c r="AJ37" s="18">
        <f>AJ13</f>
      </c>
      <c r="AK37" s="18">
        <f>AK13</f>
      </c>
      <c r="AL37" s="18">
        <f>AL13</f>
      </c>
      <c r="AM37" s="19"/>
    </row>
    <row r="38" ht="12.75" customHeight="1" spans="2:39" x14ac:dyDescent="0.25">
      <c r="B38" s="16"/>
      <c r="C38" s="17"/>
      <c r="D38" s="17" t="s">
        <v>42</v>
      </c>
      <c r="E38" s="17"/>
      <c r="F38" s="17"/>
      <c r="G38" s="18">
        <f>G22</f>
      </c>
      <c r="H38" s="18">
        <f>H22</f>
      </c>
      <c r="I38" s="18">
        <f>I22</f>
      </c>
      <c r="J38" s="18">
        <f>J22</f>
      </c>
      <c r="K38" s="18">
        <f>K22</f>
      </c>
      <c r="L38" s="18">
        <f>L22</f>
      </c>
      <c r="M38" s="18">
        <f>M22</f>
      </c>
      <c r="N38" s="18">
        <f>N22</f>
      </c>
      <c r="O38" s="18">
        <f>O22</f>
      </c>
      <c r="P38" s="18">
        <f>P22</f>
      </c>
      <c r="Q38" s="18">
        <f>Q22</f>
      </c>
      <c r="R38" s="18">
        <f>R22</f>
      </c>
      <c r="S38" s="18">
        <f>S22</f>
      </c>
      <c r="T38" s="18">
        <f>T22</f>
      </c>
      <c r="U38" s="18">
        <f>U22</f>
      </c>
      <c r="V38" s="18">
        <f>V22</f>
      </c>
      <c r="W38" s="18">
        <f>W22</f>
      </c>
      <c r="X38" s="18">
        <f>X22</f>
      </c>
      <c r="Y38" s="18">
        <f>Y22</f>
      </c>
      <c r="Z38" s="18">
        <f>Z22</f>
      </c>
      <c r="AA38" s="18">
        <f>AA22</f>
      </c>
      <c r="AB38" s="18">
        <f>AB22</f>
      </c>
      <c r="AC38" s="18">
        <f>AC22</f>
      </c>
      <c r="AD38" s="18">
        <f>AD22</f>
      </c>
      <c r="AE38" s="18">
        <f>AE22</f>
      </c>
      <c r="AF38" s="18">
        <f>AF22</f>
      </c>
      <c r="AG38" s="18">
        <f>AG22</f>
      </c>
      <c r="AH38" s="18">
        <f>AH22</f>
      </c>
      <c r="AI38" s="18">
        <f>AI22</f>
      </c>
      <c r="AJ38" s="18">
        <f>AJ22</f>
      </c>
      <c r="AK38" s="18">
        <f>AK22</f>
      </c>
      <c r="AL38" s="18">
        <f>AL22</f>
      </c>
      <c r="AM38" s="19"/>
    </row>
    <row r="39" ht="12.75" customHeight="1" spans="2:39" x14ac:dyDescent="0.25">
      <c r="B39" s="16"/>
      <c r="C39" s="17"/>
      <c r="D39" s="17" t="s">
        <v>43</v>
      </c>
      <c r="E39" s="17"/>
      <c r="F39" s="17"/>
      <c r="G39" s="18">
        <f>G28</f>
      </c>
      <c r="H39" s="18">
        <f>H28</f>
      </c>
      <c r="I39" s="18">
        <f>I28</f>
      </c>
      <c r="J39" s="18">
        <f>J28</f>
      </c>
      <c r="K39" s="18">
        <f>K28</f>
      </c>
      <c r="L39" s="18">
        <f>L28</f>
      </c>
      <c r="M39" s="18">
        <f>M28</f>
      </c>
      <c r="N39" s="18">
        <f>N28</f>
      </c>
      <c r="O39" s="18">
        <f>O28</f>
      </c>
      <c r="P39" s="18">
        <f>P28</f>
      </c>
      <c r="Q39" s="18">
        <f>Q28</f>
      </c>
      <c r="R39" s="18">
        <f>R28</f>
      </c>
      <c r="S39" s="18">
        <f>S28</f>
      </c>
      <c r="T39" s="18">
        <f>T28</f>
      </c>
      <c r="U39" s="18">
        <f>U28</f>
      </c>
      <c r="V39" s="18">
        <f>V28</f>
      </c>
      <c r="W39" s="18">
        <f>W28</f>
      </c>
      <c r="X39" s="18">
        <f>X28</f>
      </c>
      <c r="Y39" s="18">
        <f>Y28</f>
      </c>
      <c r="Z39" s="18">
        <f>Z28</f>
      </c>
      <c r="AA39" s="18">
        <f>AA28</f>
      </c>
      <c r="AB39" s="18">
        <f>AB28</f>
      </c>
      <c r="AC39" s="18">
        <f>AC28</f>
      </c>
      <c r="AD39" s="18">
        <f>AD28</f>
      </c>
      <c r="AE39" s="18">
        <f>AE28</f>
      </c>
      <c r="AF39" s="18">
        <f>AF28</f>
      </c>
      <c r="AG39" s="18">
        <f>AG28</f>
      </c>
      <c r="AH39" s="18">
        <f>AH28</f>
      </c>
      <c r="AI39" s="18">
        <f>AI28</f>
      </c>
      <c r="AJ39" s="18">
        <f>AJ28</f>
      </c>
      <c r="AK39" s="18">
        <f>AK28</f>
      </c>
      <c r="AL39" s="18">
        <f>AL28</f>
      </c>
      <c r="AM39" s="19"/>
    </row>
    <row r="40" ht="12.75" customHeight="1" spans="2:39" x14ac:dyDescent="0.25">
      <c r="B40" s="16"/>
      <c r="C40" s="17"/>
      <c r="D40" s="17" t="s">
        <v>44</v>
      </c>
      <c r="E40" s="17"/>
      <c r="F40" s="17"/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8">
        <f>AK33</f>
      </c>
      <c r="AL40" s="18">
        <f>AL33</f>
      </c>
      <c r="AM40" s="19"/>
    </row>
    <row r="41" ht="12.75" customHeight="1" spans="2:39" x14ac:dyDescent="0.25">
      <c r="B41" s="20"/>
      <c r="C41" s="21"/>
      <c r="D41" s="21" t="s">
        <v>45</v>
      </c>
      <c r="E41" s="21"/>
      <c r="F41" s="21"/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2">
        <f>AK37+AK38+AK39+AK40</f>
      </c>
      <c r="AL41" s="22">
        <f>AL37+AL38+AL39+AL40</f>
      </c>
      <c r="AM41" s="23"/>
    </row>
    <row r="43" ht="12.75" customHeight="1" spans="2:39" x14ac:dyDescent="0.25">
      <c r="B43" s="11" t="s">
        <v>46</v>
      </c>
      <c r="C43" s="12"/>
      <c r="D43" s="12"/>
      <c r="E43" s="12"/>
      <c r="F43" s="12"/>
      <c r="G43" s="52" t="s">
        <v>7</v>
      </c>
      <c r="H43" s="52" t="s">
        <v>8</v>
      </c>
      <c r="I43" s="52" t="s">
        <v>9</v>
      </c>
      <c r="J43" s="52" t="s">
        <v>10</v>
      </c>
      <c r="K43" s="52" t="s">
        <v>11</v>
      </c>
      <c r="L43" s="52" t="s">
        <v>12</v>
      </c>
      <c r="M43" s="52" t="s">
        <v>13</v>
      </c>
      <c r="N43" s="52" t="s">
        <v>14</v>
      </c>
      <c r="O43" s="52" t="s">
        <v>15</v>
      </c>
      <c r="P43" s="52" t="s">
        <v>16</v>
      </c>
      <c r="Q43" s="52" t="s">
        <v>17</v>
      </c>
      <c r="R43" s="52" t="s">
        <v>18</v>
      </c>
      <c r="S43" s="52" t="s">
        <v>19</v>
      </c>
      <c r="T43" s="52" t="s">
        <v>20</v>
      </c>
      <c r="U43" s="52" t="s">
        <v>21</v>
      </c>
      <c r="V43" s="52" t="s">
        <v>22</v>
      </c>
      <c r="W43" s="52" t="s">
        <v>23</v>
      </c>
      <c r="X43" s="52" t="s">
        <v>24</v>
      </c>
      <c r="Y43" s="52" t="s">
        <v>25</v>
      </c>
      <c r="Z43" s="52" t="s">
        <v>26</v>
      </c>
      <c r="AA43" s="52" t="s">
        <v>27</v>
      </c>
      <c r="AB43" s="52" t="s">
        <v>28</v>
      </c>
      <c r="AC43" s="52" t="s">
        <v>29</v>
      </c>
      <c r="AD43" s="52" t="s">
        <v>30</v>
      </c>
      <c r="AE43" s="52" t="s">
        <v>31</v>
      </c>
      <c r="AF43" s="52" t="s">
        <v>32</v>
      </c>
      <c r="AG43" s="52" t="s">
        <v>33</v>
      </c>
      <c r="AH43" s="52" t="s">
        <v>34</v>
      </c>
      <c r="AI43" s="52" t="s">
        <v>35</v>
      </c>
      <c r="AJ43" s="52" t="s">
        <v>36</v>
      </c>
      <c r="AK43" s="52" t="s">
        <v>37</v>
      </c>
      <c r="AL43" s="52" t="s">
        <v>38</v>
      </c>
      <c r="AM43" s="15"/>
    </row>
    <row r="44" ht="12.75" customHeight="1" spans="2:39" x14ac:dyDescent="0.25">
      <c r="B44" s="16"/>
      <c r="C44" s="17"/>
      <c r="D44" s="17" t="s">
        <v>41</v>
      </c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</row>
    <row r="45" ht="12.75" customHeight="1" spans="2:39" x14ac:dyDescent="0.25">
      <c r="B45" s="16"/>
      <c r="C45" s="17"/>
      <c r="D45" s="17" t="s">
        <v>42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43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44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20"/>
      <c r="C48" s="21"/>
      <c r="D48" s="21" t="s">
        <v>45</v>
      </c>
      <c r="E48" s="21"/>
      <c r="F48" s="21"/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2">
        <f>AK44+AK45+AK46+AK47</f>
      </c>
      <c r="AL48" s="22">
        <f>AL44+AL45+AL46+AL47</f>
      </c>
      <c r="AM48" s="23"/>
    </row>
    <row r="50" ht="12.75" customHeight="1" spans="2:39" x14ac:dyDescent="0.25">
      <c r="B50" s="11" t="s">
        <v>47</v>
      </c>
      <c r="C50" s="12"/>
      <c r="D50" s="12"/>
      <c r="E50" s="12"/>
      <c r="F50" s="12"/>
      <c r="G50" s="52" t="s">
        <v>7</v>
      </c>
      <c r="H50" s="52" t="s">
        <v>8</v>
      </c>
      <c r="I50" s="52" t="s">
        <v>9</v>
      </c>
      <c r="J50" s="52" t="s">
        <v>10</v>
      </c>
      <c r="K50" s="52" t="s">
        <v>11</v>
      </c>
      <c r="L50" s="52" t="s">
        <v>12</v>
      </c>
      <c r="M50" s="52" t="s">
        <v>13</v>
      </c>
      <c r="N50" s="52" t="s">
        <v>14</v>
      </c>
      <c r="O50" s="52" t="s">
        <v>15</v>
      </c>
      <c r="P50" s="52" t="s">
        <v>16</v>
      </c>
      <c r="Q50" s="52" t="s">
        <v>17</v>
      </c>
      <c r="R50" s="52" t="s">
        <v>18</v>
      </c>
      <c r="S50" s="52" t="s">
        <v>19</v>
      </c>
      <c r="T50" s="52" t="s">
        <v>20</v>
      </c>
      <c r="U50" s="52" t="s">
        <v>21</v>
      </c>
      <c r="V50" s="52" t="s">
        <v>22</v>
      </c>
      <c r="W50" s="52" t="s">
        <v>23</v>
      </c>
      <c r="X50" s="52" t="s">
        <v>24</v>
      </c>
      <c r="Y50" s="52" t="s">
        <v>25</v>
      </c>
      <c r="Z50" s="52" t="s">
        <v>26</v>
      </c>
      <c r="AA50" s="52" t="s">
        <v>27</v>
      </c>
      <c r="AB50" s="52" t="s">
        <v>28</v>
      </c>
      <c r="AC50" s="52" t="s">
        <v>29</v>
      </c>
      <c r="AD50" s="52" t="s">
        <v>30</v>
      </c>
      <c r="AE50" s="52" t="s">
        <v>31</v>
      </c>
      <c r="AF50" s="52" t="s">
        <v>32</v>
      </c>
      <c r="AG50" s="52" t="s">
        <v>33</v>
      </c>
      <c r="AH50" s="52" t="s">
        <v>34</v>
      </c>
      <c r="AI50" s="52" t="s">
        <v>35</v>
      </c>
      <c r="AJ50" s="52" t="s">
        <v>36</v>
      </c>
      <c r="AK50" s="52" t="s">
        <v>37</v>
      </c>
      <c r="AL50" s="52" t="s">
        <v>38</v>
      </c>
      <c r="AM50" s="15"/>
    </row>
    <row r="51" ht="12.75" customHeight="1" spans="2:39" x14ac:dyDescent="0.25">
      <c r="B51" s="16"/>
      <c r="C51" s="17"/>
      <c r="D51" s="17" t="s">
        <v>41</v>
      </c>
      <c r="E51" s="17"/>
      <c r="F51" s="17"/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24">
        <f>AK44-AK37</f>
      </c>
      <c r="AL51" s="24">
        <f>AL44-AL37</f>
      </c>
      <c r="AM51" s="19"/>
    </row>
    <row r="52" ht="12.75" customHeight="1" spans="2:39" x14ac:dyDescent="0.25">
      <c r="B52" s="16"/>
      <c r="C52" s="17"/>
      <c r="D52" s="17" t="s">
        <v>42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43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44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20"/>
      <c r="C55" s="21"/>
      <c r="D55" s="21" t="s">
        <v>45</v>
      </c>
      <c r="E55" s="21"/>
      <c r="F55" s="21"/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5">
        <f>AK51+AK52+AK53+AK54</f>
      </c>
      <c r="AL55" s="25">
        <f>AL51+AL52+AL53+AL54</f>
      </c>
      <c r="AM5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2624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2625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>
        <v>54.82</v>
      </c>
      <c r="V13" s="33">
        <v>46.6</v>
      </c>
      <c r="W13" s="33">
        <v>52.56</v>
      </c>
      <c r="X13" s="33">
        <v>70.92</v>
      </c>
      <c r="Y13" s="33">
        <v>87.52</v>
      </c>
      <c r="Z13" s="33">
        <v>99.74</v>
      </c>
      <c r="AA13" s="33">
        <v>90.8</v>
      </c>
      <c r="AB13" s="33">
        <v>108.64</v>
      </c>
      <c r="AC13" s="33">
        <v>93.17</v>
      </c>
      <c r="AD13" s="33">
        <v>97.85</v>
      </c>
      <c r="AE13" s="33">
        <v>67.63</v>
      </c>
      <c r="AF13" s="33">
        <v>58.62</v>
      </c>
      <c r="AG13" s="33">
        <v>69.65</v>
      </c>
      <c r="AH13" s="33">
        <v>55.81</v>
      </c>
      <c r="AI13" s="33">
        <v>49.93</v>
      </c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2626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>
        <v>33.25</v>
      </c>
      <c r="V14" s="33">
        <v>33.25</v>
      </c>
      <c r="W14" s="33">
        <v>33.25</v>
      </c>
      <c r="X14" s="33">
        <v>33.25</v>
      </c>
      <c r="Y14" s="33">
        <v>33.67</v>
      </c>
      <c r="Z14" s="33">
        <v>40.52</v>
      </c>
      <c r="AA14" s="33">
        <v>49.03</v>
      </c>
      <c r="AB14" s="33">
        <v>50.03</v>
      </c>
      <c r="AC14" s="33">
        <v>47.63</v>
      </c>
      <c r="AD14" s="33">
        <v>47.78</v>
      </c>
      <c r="AE14" s="33">
        <v>37.98</v>
      </c>
      <c r="AF14" s="33">
        <v>38.1</v>
      </c>
      <c r="AG14" s="33">
        <v>38.05</v>
      </c>
      <c r="AH14" s="33">
        <v>38.38</v>
      </c>
      <c r="AI14" s="33">
        <v>38.33</v>
      </c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2627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>
        <v>69.07</v>
      </c>
      <c r="V15" s="33">
        <v>147.02</v>
      </c>
      <c r="W15" s="33">
        <v>66.6</v>
      </c>
      <c r="X15" s="33">
        <v>156.05</v>
      </c>
      <c r="Y15" s="33">
        <v>239.03</v>
      </c>
      <c r="Z15" s="33">
        <v>238.13</v>
      </c>
      <c r="AA15" s="33">
        <v>283.06</v>
      </c>
      <c r="AB15" s="33">
        <v>365.12</v>
      </c>
      <c r="AC15" s="33">
        <v>440.25</v>
      </c>
      <c r="AD15" s="33">
        <v>355.49</v>
      </c>
      <c r="AE15" s="33">
        <v>232.06</v>
      </c>
      <c r="AF15" s="33">
        <v>91.91</v>
      </c>
      <c r="AG15" s="33">
        <v>77.12</v>
      </c>
      <c r="AH15" s="33">
        <v>97.17</v>
      </c>
      <c r="AI15" s="33">
        <v>79.15</v>
      </c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2628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>
        <v>173.05</v>
      </c>
      <c r="V16" s="33">
        <v>158.48</v>
      </c>
      <c r="W16" s="33">
        <v>178.21</v>
      </c>
      <c r="X16" s="33">
        <v>175.68</v>
      </c>
      <c r="Y16" s="33">
        <v>250.01</v>
      </c>
      <c r="Z16" s="33">
        <v>176.77</v>
      </c>
      <c r="AA16" s="33">
        <v>189.34</v>
      </c>
      <c r="AB16" s="33">
        <v>214.41</v>
      </c>
      <c r="AC16" s="33">
        <v>190.79</v>
      </c>
      <c r="AD16" s="33">
        <v>191.24</v>
      </c>
      <c r="AE16" s="33">
        <v>241.68</v>
      </c>
      <c r="AF16" s="33">
        <v>223.48</v>
      </c>
      <c r="AG16" s="33">
        <v>240.68</v>
      </c>
      <c r="AH16" s="33">
        <v>189.7</v>
      </c>
      <c r="AI16" s="33">
        <v>169.21</v>
      </c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2629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>
        <v>36.95</v>
      </c>
      <c r="V17" s="33">
        <v>42.89</v>
      </c>
      <c r="W17" s="33">
        <v>47.88</v>
      </c>
      <c r="X17" s="33">
        <v>40.67</v>
      </c>
      <c r="Y17" s="33">
        <v>40.67</v>
      </c>
      <c r="Z17" s="33">
        <v>54.52</v>
      </c>
      <c r="AA17" s="33">
        <v>54.52</v>
      </c>
      <c r="AB17" s="33">
        <v>62.9</v>
      </c>
      <c r="AC17" s="33">
        <v>71.11</v>
      </c>
      <c r="AD17" s="33">
        <v>62.93</v>
      </c>
      <c r="AE17" s="33">
        <v>71.11</v>
      </c>
      <c r="AF17" s="33">
        <v>79.24</v>
      </c>
      <c r="AG17" s="33">
        <v>82.46</v>
      </c>
      <c r="AH17" s="33">
        <v>72.93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2630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>
        <v>60.02</v>
      </c>
      <c r="V18" s="33">
        <v>67.14</v>
      </c>
      <c r="W18" s="33">
        <v>90.36</v>
      </c>
      <c r="X18" s="33">
        <v>61.56</v>
      </c>
      <c r="Y18" s="33">
        <v>106.22</v>
      </c>
      <c r="Z18" s="33">
        <v>174.43</v>
      </c>
      <c r="AA18" s="33">
        <v>196.66</v>
      </c>
      <c r="AB18" s="33">
        <v>98.23</v>
      </c>
      <c r="AC18" s="33">
        <v>46.78</v>
      </c>
      <c r="AD18" s="33">
        <v>61.28</v>
      </c>
      <c r="AE18" s="33">
        <v>79.68</v>
      </c>
      <c r="AF18" s="33">
        <v>93.58</v>
      </c>
      <c r="AG18" s="33">
        <v>71.58</v>
      </c>
      <c r="AH18" s="33">
        <v>48.67</v>
      </c>
      <c r="AI18" s="33">
        <v>59.73</v>
      </c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2631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>
        <v>33.25</v>
      </c>
      <c r="V19" s="33">
        <v>33.25</v>
      </c>
      <c r="W19" s="33">
        <v>33.26</v>
      </c>
      <c r="X19" s="33">
        <v>33.26</v>
      </c>
      <c r="Y19" s="33">
        <v>33.24</v>
      </c>
      <c r="Z19" s="33">
        <v>33.25</v>
      </c>
      <c r="AA19" s="33">
        <v>38.14</v>
      </c>
      <c r="AB19" s="33">
        <v>38.17</v>
      </c>
      <c r="AC19" s="33">
        <v>38.11</v>
      </c>
      <c r="AD19" s="33">
        <v>38.09</v>
      </c>
      <c r="AE19" s="33">
        <v>38.08</v>
      </c>
      <c r="AF19" s="33">
        <v>38.12</v>
      </c>
      <c r="AG19" s="33">
        <v>38.1</v>
      </c>
      <c r="AH19" s="33">
        <v>38.42</v>
      </c>
      <c r="AI19" s="33">
        <v>38.41</v>
      </c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2632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>
        <v>313.95</v>
      </c>
      <c r="V20" s="33">
        <v>313.95</v>
      </c>
      <c r="W20" s="33">
        <v>335.22</v>
      </c>
      <c r="X20" s="33">
        <v>335.22</v>
      </c>
      <c r="Y20" s="33">
        <v>335.22</v>
      </c>
      <c r="Z20" s="33">
        <v>335.22</v>
      </c>
      <c r="AA20" s="33">
        <v>345.61</v>
      </c>
      <c r="AB20" s="33">
        <v>345.76</v>
      </c>
      <c r="AC20" s="33">
        <v>345.87</v>
      </c>
      <c r="AD20" s="33">
        <v>345.87</v>
      </c>
      <c r="AE20" s="33">
        <v>345.87</v>
      </c>
      <c r="AF20" s="33">
        <v>345.87</v>
      </c>
      <c r="AG20" s="33">
        <v>350.6</v>
      </c>
      <c r="AH20" s="33">
        <v>327.05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2633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>
        <v>30.8</v>
      </c>
      <c r="V21" s="33">
        <v>30.8</v>
      </c>
      <c r="W21" s="33">
        <v>30.8</v>
      </c>
      <c r="X21" s="33">
        <v>30.8</v>
      </c>
      <c r="Y21" s="33">
        <v>30.8</v>
      </c>
      <c r="Z21" s="33">
        <v>30.8</v>
      </c>
      <c r="AA21" s="33">
        <v>35.64</v>
      </c>
      <c r="AB21" s="33">
        <v>35.64</v>
      </c>
      <c r="AC21" s="33">
        <v>35.64</v>
      </c>
      <c r="AD21" s="33">
        <v>35.64</v>
      </c>
      <c r="AE21" s="33">
        <v>35.64</v>
      </c>
      <c r="AF21" s="33">
        <v>35.64</v>
      </c>
      <c r="AG21" s="33">
        <v>35.64</v>
      </c>
      <c r="AH21" s="33">
        <v>35.91</v>
      </c>
      <c r="AI21" s="33">
        <v>35.9</v>
      </c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2634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>
        <v>30.8</v>
      </c>
      <c r="V22" s="33">
        <v>30.8</v>
      </c>
      <c r="W22" s="33">
        <v>30.8</v>
      </c>
      <c r="X22" s="33">
        <v>30.8</v>
      </c>
      <c r="Y22" s="33">
        <v>30.8</v>
      </c>
      <c r="Z22" s="33">
        <v>30.8</v>
      </c>
      <c r="AA22" s="33">
        <v>35.64</v>
      </c>
      <c r="AB22" s="33">
        <v>35.64</v>
      </c>
      <c r="AC22" s="33">
        <v>35.64</v>
      </c>
      <c r="AD22" s="33">
        <v>35.64</v>
      </c>
      <c r="AE22" s="33">
        <v>35.64</v>
      </c>
      <c r="AF22" s="33">
        <v>35.64</v>
      </c>
      <c r="AG22" s="33">
        <v>35.64</v>
      </c>
      <c r="AH22" s="33">
        <v>35.91</v>
      </c>
      <c r="AI22" s="33">
        <v>35.91</v>
      </c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916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>
        <v>30.8</v>
      </c>
      <c r="V23" s="33">
        <v>30.8</v>
      </c>
      <c r="W23" s="33">
        <v>30.8</v>
      </c>
      <c r="X23" s="33">
        <v>30.8</v>
      </c>
      <c r="Y23" s="33">
        <v>30.8</v>
      </c>
      <c r="Z23" s="33">
        <v>30.8</v>
      </c>
      <c r="AA23" s="33">
        <v>35.64</v>
      </c>
      <c r="AB23" s="33">
        <v>35.64</v>
      </c>
      <c r="AC23" s="33">
        <v>35.64</v>
      </c>
      <c r="AD23" s="32"/>
      <c r="AE23" s="33">
        <v>35.64</v>
      </c>
      <c r="AF23" s="33">
        <v>35.64</v>
      </c>
      <c r="AG23" s="33">
        <v>35.64</v>
      </c>
      <c r="AH23" s="33">
        <v>35.91</v>
      </c>
      <c r="AI23" s="33">
        <v>35.91</v>
      </c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2635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3">
        <v>30.8</v>
      </c>
      <c r="Y24" s="33">
        <v>30.8</v>
      </c>
      <c r="Z24" s="33">
        <v>30.8</v>
      </c>
      <c r="AA24" s="33">
        <v>35.64</v>
      </c>
      <c r="AB24" s="33">
        <v>35.64</v>
      </c>
      <c r="AC24" s="33">
        <v>35.63</v>
      </c>
      <c r="AD24" s="33">
        <v>35.65</v>
      </c>
      <c r="AE24" s="33">
        <v>35.64</v>
      </c>
      <c r="AF24" s="33">
        <v>35.64</v>
      </c>
      <c r="AG24" s="33">
        <v>35.63</v>
      </c>
      <c r="AH24" s="33">
        <v>35.89</v>
      </c>
      <c r="AI24" s="33">
        <v>35.81</v>
      </c>
      <c r="AJ24" s="34">
        <f>SUM(E24:AI24)</f>
      </c>
      <c r="AK24" s="35"/>
    </row>
    <row r="25" ht="12.75" customHeight="1" spans="2:37" x14ac:dyDescent="0.25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ht="12.75" customHeight="1" spans="2:37" x14ac:dyDescent="0.25">
      <c r="B26" s="20" t="s">
        <v>85</v>
      </c>
      <c r="C26" s="21"/>
      <c r="D26" s="21"/>
      <c r="E26" s="22">
        <f>SUM(E13:E24)</f>
      </c>
      <c r="F26" s="22">
        <f>SUM(F13:F24)</f>
      </c>
      <c r="G26" s="22">
        <f>SUM(G13:G24)</f>
      </c>
      <c r="H26" s="22">
        <f>SUM(H13:H24)</f>
      </c>
      <c r="I26" s="22">
        <f>SUM(I13:I24)</f>
      </c>
      <c r="J26" s="22">
        <f>SUM(J13:J24)</f>
      </c>
      <c r="K26" s="22">
        <f>SUM(K13:K24)</f>
      </c>
      <c r="L26" s="22">
        <f>SUM(L13:L24)</f>
      </c>
      <c r="M26" s="22">
        <f>SUM(M13:M24)</f>
      </c>
      <c r="N26" s="22">
        <f>SUM(N13:N24)</f>
      </c>
      <c r="O26" s="22">
        <f>SUM(O13:O24)</f>
      </c>
      <c r="P26" s="22">
        <f>SUM(P13:P24)</f>
      </c>
      <c r="Q26" s="22">
        <f>SUM(Q13:Q24)</f>
      </c>
      <c r="R26" s="22">
        <f>SUM(R13:R24)</f>
      </c>
      <c r="S26" s="22">
        <f>SUM(S13:S24)</f>
      </c>
      <c r="T26" s="22">
        <f>SUM(T13:T24)</f>
      </c>
      <c r="U26" s="22">
        <f>SUM(U13:U24)</f>
      </c>
      <c r="V26" s="22">
        <f>SUM(V13:V24)</f>
      </c>
      <c r="W26" s="22">
        <f>SUM(W13:W24)</f>
      </c>
      <c r="X26" s="22">
        <f>SUM(X13:X24)</f>
      </c>
      <c r="Y26" s="22">
        <f>SUM(Y13:Y24)</f>
      </c>
      <c r="Z26" s="22">
        <f>SUM(Z13:Z24)</f>
      </c>
      <c r="AA26" s="22">
        <f>SUM(AA13:AA24)</f>
      </c>
      <c r="AB26" s="22">
        <f>SUM(AB13:AB24)</f>
      </c>
      <c r="AC26" s="22">
        <f>SUM(AC13:AC24)</f>
      </c>
      <c r="AD26" s="22">
        <f>SUM(AD13:AD24)</f>
      </c>
      <c r="AE26" s="22">
        <f>SUM(AE13:AE24)</f>
      </c>
      <c r="AF26" s="22">
        <f>SUM(AF13:AF24)</f>
      </c>
      <c r="AG26" s="22">
        <f>SUM(AG13:AG24)</f>
      </c>
      <c r="AH26" s="22">
        <f>SUM(AH13:AH24)</f>
      </c>
      <c r="AI26" s="22">
        <f>SUM(AI13:AI24)</f>
      </c>
      <c r="AJ26" s="22">
        <f>SUM(AJ13:AJ24)</f>
      </c>
      <c r="AK26" s="23"/>
    </row>
    <row r="28" ht="12.75" customHeight="1" spans="2:37" x14ac:dyDescent="0.25">
      <c r="B28" s="26" t="s">
        <v>43</v>
      </c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9"/>
    </row>
    <row r="29" ht="12.75" customHeight="1" spans="2:37" x14ac:dyDescent="0.25">
      <c r="B29" s="30" t="s">
        <v>43</v>
      </c>
      <c r="C29" s="31" t="s">
        <v>3</v>
      </c>
      <c r="D29" s="32" t="s">
        <v>2636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1355.31</v>
      </c>
      <c r="W29" s="32"/>
      <c r="X29" s="33">
        <v>1390.68</v>
      </c>
      <c r="Y29" s="32"/>
      <c r="Z29" s="33">
        <v>1504.65</v>
      </c>
      <c r="AA29" s="32"/>
      <c r="AB29" s="36">
        <f>1774.59+0.00</f>
        <v>1774.59</v>
      </c>
      <c r="AC29" s="32"/>
      <c r="AD29" s="33">
        <v>1516.81</v>
      </c>
      <c r="AE29" s="32"/>
      <c r="AF29" s="33">
        <v>2018.05</v>
      </c>
      <c r="AG29" s="32"/>
      <c r="AH29" s="33">
        <v>2620.3</v>
      </c>
      <c r="AI29" s="32"/>
      <c r="AJ29" s="34">
        <f>SUM(E29:AI29)</f>
      </c>
      <c r="AK29" s="35"/>
    </row>
    <row r="30" ht="12.75" customHeight="1" spans="2:37" x14ac:dyDescent="0.25">
      <c r="B30" s="30" t="s">
        <v>43</v>
      </c>
      <c r="C30" s="31" t="s">
        <v>3</v>
      </c>
      <c r="D30" s="32" t="s">
        <v>2637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>
        <v>604.68</v>
      </c>
      <c r="W30" s="32"/>
      <c r="X30" s="33">
        <v>632.19</v>
      </c>
      <c r="Y30" s="32"/>
      <c r="Z30" s="33">
        <v>541.8</v>
      </c>
      <c r="AA30" s="32"/>
      <c r="AB30" s="33">
        <v>530.01</v>
      </c>
      <c r="AC30" s="32"/>
      <c r="AD30" s="33">
        <v>535.01</v>
      </c>
      <c r="AE30" s="32"/>
      <c r="AF30" s="33">
        <v>561.65</v>
      </c>
      <c r="AG30" s="32"/>
      <c r="AH30" s="33">
        <v>890.45</v>
      </c>
      <c r="AI30" s="32"/>
      <c r="AJ30" s="34">
        <f>SUM(E30:AI30)</f>
      </c>
      <c r="AK30" s="35"/>
    </row>
    <row r="31" ht="12.75" customHeight="1" spans="2:37" x14ac:dyDescent="0.25"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</row>
    <row r="32" ht="12.75" customHeight="1" spans="2:37" x14ac:dyDescent="0.25">
      <c r="B32" s="20" t="s">
        <v>89</v>
      </c>
      <c r="C32" s="21"/>
      <c r="D32" s="21"/>
      <c r="E32" s="22">
        <f>SUM(E29:E30)</f>
      </c>
      <c r="F32" s="22">
        <f>SUM(F29:F30)</f>
      </c>
      <c r="G32" s="22">
        <f>SUM(G29:G30)</f>
      </c>
      <c r="H32" s="22">
        <f>SUM(H29:H30)</f>
      </c>
      <c r="I32" s="22">
        <f>SUM(I29:I30)</f>
      </c>
      <c r="J32" s="22">
        <f>SUM(J29:J30)</f>
      </c>
      <c r="K32" s="22">
        <f>SUM(K29:K30)</f>
      </c>
      <c r="L32" s="22">
        <f>SUM(L29:L30)</f>
      </c>
      <c r="M32" s="22">
        <f>SUM(M29:M30)</f>
      </c>
      <c r="N32" s="22">
        <f>SUM(N29:N30)</f>
      </c>
      <c r="O32" s="22">
        <f>SUM(O29:O30)</f>
      </c>
      <c r="P32" s="22">
        <f>SUM(P29:P30)</f>
      </c>
      <c r="Q32" s="22">
        <f>SUM(Q29:Q30)</f>
      </c>
      <c r="R32" s="22">
        <f>SUM(R29:R30)</f>
      </c>
      <c r="S32" s="22">
        <f>SUM(S29:S30)</f>
      </c>
      <c r="T32" s="22">
        <f>SUM(T29:T30)</f>
      </c>
      <c r="U32" s="22">
        <f>SUM(U29:U30)</f>
      </c>
      <c r="V32" s="22">
        <f>SUM(V29:V30)</f>
      </c>
      <c r="W32" s="22">
        <f>SUM(W29:W30)</f>
      </c>
      <c r="X32" s="22">
        <f>SUM(X29:X30)</f>
      </c>
      <c r="Y32" s="22">
        <f>SUM(Y29:Y30)</f>
      </c>
      <c r="Z32" s="22">
        <f>SUM(Z29:Z30)</f>
      </c>
      <c r="AA32" s="22">
        <f>SUM(AA29:AA30)</f>
      </c>
      <c r="AB32" s="22">
        <f>SUM(AB29:AB30)</f>
      </c>
      <c r="AC32" s="22">
        <f>SUM(AC29:AC30)</f>
      </c>
      <c r="AD32" s="22">
        <f>SUM(AD29:AD30)</f>
      </c>
      <c r="AE32" s="22">
        <f>SUM(AE29:AE30)</f>
      </c>
      <c r="AF32" s="22">
        <f>SUM(AF29:AF30)</f>
      </c>
      <c r="AG32" s="22">
        <f>SUM(AG29:AG30)</f>
      </c>
      <c r="AH32" s="22">
        <f>SUM(AH29:AH30)</f>
      </c>
      <c r="AI32" s="22">
        <f>SUM(AI29:AI30)</f>
      </c>
      <c r="AJ32" s="22">
        <f>SUM(AJ29:AJ30)</f>
      </c>
      <c r="AK32" s="23"/>
    </row>
    <row r="34" ht="12.75" customHeight="1" spans="2:37" x14ac:dyDescent="0.25">
      <c r="B34" s="26" t="s">
        <v>44</v>
      </c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9"/>
    </row>
    <row r="35" ht="12.75" customHeight="1" spans="2:37" x14ac:dyDescent="0.25">
      <c r="B35" s="37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40"/>
    </row>
    <row r="36" ht="12.75" customHeight="1" spans="2:37" x14ac:dyDescent="0.25">
      <c r="B36" s="20" t="s">
        <v>90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3"/>
    </row>
    <row r="39" ht="12.75" customHeight="1" spans="2:37" x14ac:dyDescent="0.25">
      <c r="B39" s="11" t="s">
        <v>40</v>
      </c>
      <c r="C39" s="12"/>
      <c r="D39" s="13"/>
      <c r="E39" s="14" t="s">
        <v>7</v>
      </c>
      <c r="F39" s="14" t="s">
        <v>8</v>
      </c>
      <c r="G39" s="14" t="s">
        <v>9</v>
      </c>
      <c r="H39" s="14" t="s">
        <v>10</v>
      </c>
      <c r="I39" s="14" t="s">
        <v>11</v>
      </c>
      <c r="J39" s="14" t="s">
        <v>12</v>
      </c>
      <c r="K39" s="14" t="s">
        <v>13</v>
      </c>
      <c r="L39" s="14" t="s">
        <v>14</v>
      </c>
      <c r="M39" s="14" t="s">
        <v>15</v>
      </c>
      <c r="N39" s="14" t="s">
        <v>16</v>
      </c>
      <c r="O39" s="14" t="s">
        <v>17</v>
      </c>
      <c r="P39" s="14" t="s">
        <v>18</v>
      </c>
      <c r="Q39" s="14" t="s">
        <v>19</v>
      </c>
      <c r="R39" s="14" t="s">
        <v>20</v>
      </c>
      <c r="S39" s="14" t="s">
        <v>21</v>
      </c>
      <c r="T39" s="14" t="s">
        <v>22</v>
      </c>
      <c r="U39" s="14" t="s">
        <v>23</v>
      </c>
      <c r="V39" s="14" t="s">
        <v>24</v>
      </c>
      <c r="W39" s="14" t="s">
        <v>25</v>
      </c>
      <c r="X39" s="14" t="s">
        <v>26</v>
      </c>
      <c r="Y39" s="14" t="s">
        <v>27</v>
      </c>
      <c r="Z39" s="14" t="s">
        <v>28</v>
      </c>
      <c r="AA39" s="14" t="s">
        <v>29</v>
      </c>
      <c r="AB39" s="14" t="s">
        <v>30</v>
      </c>
      <c r="AC39" s="14" t="s">
        <v>31</v>
      </c>
      <c r="AD39" s="14" t="s">
        <v>32</v>
      </c>
      <c r="AE39" s="14" t="s">
        <v>33</v>
      </c>
      <c r="AF39" s="14" t="s">
        <v>34</v>
      </c>
      <c r="AG39" s="14" t="s">
        <v>35</v>
      </c>
      <c r="AH39" s="14" t="s">
        <v>36</v>
      </c>
      <c r="AI39" s="14" t="s">
        <v>37</v>
      </c>
      <c r="AJ39" s="14" t="s">
        <v>38</v>
      </c>
      <c r="AK39" s="15"/>
    </row>
    <row r="40" ht="12.75" customHeight="1" spans="2:37" x14ac:dyDescent="0.25">
      <c r="B40" s="16" t="s">
        <v>41</v>
      </c>
      <c r="C40" s="17"/>
      <c r="D40" s="17"/>
      <c r="E40" s="18">
        <f>E10</f>
      </c>
      <c r="F40" s="18">
        <f>F10</f>
      </c>
      <c r="G40" s="18">
        <f>G10</f>
      </c>
      <c r="H40" s="18">
        <f>H10</f>
      </c>
      <c r="I40" s="18">
        <f>I10</f>
      </c>
      <c r="J40" s="18">
        <f>J10</f>
      </c>
      <c r="K40" s="18">
        <f>K10</f>
      </c>
      <c r="L40" s="18">
        <f>L10</f>
      </c>
      <c r="M40" s="18">
        <f>M10</f>
      </c>
      <c r="N40" s="18">
        <f>N10</f>
      </c>
      <c r="O40" s="18">
        <f>O10</f>
      </c>
      <c r="P40" s="18">
        <f>P10</f>
      </c>
      <c r="Q40" s="18">
        <f>Q10</f>
      </c>
      <c r="R40" s="18">
        <f>R10</f>
      </c>
      <c r="S40" s="18">
        <f>S10</f>
      </c>
      <c r="T40" s="18">
        <f>T10</f>
      </c>
      <c r="U40" s="18">
        <f>U10</f>
      </c>
      <c r="V40" s="18">
        <f>V10</f>
      </c>
      <c r="W40" s="18">
        <f>W10</f>
      </c>
      <c r="X40" s="18">
        <f>X10</f>
      </c>
      <c r="Y40" s="18">
        <f>Y10</f>
      </c>
      <c r="Z40" s="18">
        <f>Z10</f>
      </c>
      <c r="AA40" s="18">
        <f>AA10</f>
      </c>
      <c r="AB40" s="18">
        <f>AB10</f>
      </c>
      <c r="AC40" s="18">
        <f>AC10</f>
      </c>
      <c r="AD40" s="18">
        <f>AD10</f>
      </c>
      <c r="AE40" s="18">
        <f>AE10</f>
      </c>
      <c r="AF40" s="18">
        <f>AF10</f>
      </c>
      <c r="AG40" s="18">
        <f>AG10</f>
      </c>
      <c r="AH40" s="18">
        <f>AH10</f>
      </c>
      <c r="AI40" s="18">
        <f>AI10</f>
      </c>
      <c r="AJ40" s="18">
        <f>AJ10</f>
      </c>
      <c r="AK40" s="19"/>
    </row>
    <row r="41" ht="12.75" customHeight="1" spans="2:37" x14ac:dyDescent="0.25">
      <c r="B41" s="16" t="s">
        <v>42</v>
      </c>
      <c r="C41" s="17"/>
      <c r="D41" s="17"/>
      <c r="E41" s="18">
        <f>E26</f>
      </c>
      <c r="F41" s="18">
        <f>F26</f>
      </c>
      <c r="G41" s="18">
        <f>G26</f>
      </c>
      <c r="H41" s="18">
        <f>H26</f>
      </c>
      <c r="I41" s="18">
        <f>I26</f>
      </c>
      <c r="J41" s="18">
        <f>J26</f>
      </c>
      <c r="K41" s="18">
        <f>K26</f>
      </c>
      <c r="L41" s="18">
        <f>L26</f>
      </c>
      <c r="M41" s="18">
        <f>M26</f>
      </c>
      <c r="N41" s="18">
        <f>N26</f>
      </c>
      <c r="O41" s="18">
        <f>O26</f>
      </c>
      <c r="P41" s="18">
        <f>P26</f>
      </c>
      <c r="Q41" s="18">
        <f>Q26</f>
      </c>
      <c r="R41" s="18">
        <f>R26</f>
      </c>
      <c r="S41" s="18">
        <f>S26</f>
      </c>
      <c r="T41" s="18">
        <f>T26</f>
      </c>
      <c r="U41" s="18">
        <f>U26</f>
      </c>
      <c r="V41" s="18">
        <f>V26</f>
      </c>
      <c r="W41" s="18">
        <f>W26</f>
      </c>
      <c r="X41" s="18">
        <f>X26</f>
      </c>
      <c r="Y41" s="18">
        <f>Y26</f>
      </c>
      <c r="Z41" s="18">
        <f>Z26</f>
      </c>
      <c r="AA41" s="18">
        <f>AA26</f>
      </c>
      <c r="AB41" s="18">
        <f>AB26</f>
      </c>
      <c r="AC41" s="18">
        <f>AC26</f>
      </c>
      <c r="AD41" s="18">
        <f>AD26</f>
      </c>
      <c r="AE41" s="18">
        <f>AE26</f>
      </c>
      <c r="AF41" s="18">
        <f>AF26</f>
      </c>
      <c r="AG41" s="18">
        <f>AG26</f>
      </c>
      <c r="AH41" s="18">
        <f>AH26</f>
      </c>
      <c r="AI41" s="18">
        <f>AI26</f>
      </c>
      <c r="AJ41" s="18">
        <f>AJ26</f>
      </c>
      <c r="AK41" s="19"/>
    </row>
    <row r="42" ht="12.75" customHeight="1" spans="2:37" x14ac:dyDescent="0.25">
      <c r="B42" s="16" t="s">
        <v>43</v>
      </c>
      <c r="C42" s="17"/>
      <c r="D42" s="17"/>
      <c r="E42" s="18">
        <f>E32</f>
      </c>
      <c r="F42" s="18">
        <f>F32</f>
      </c>
      <c r="G42" s="18">
        <f>G32</f>
      </c>
      <c r="H42" s="18">
        <f>H32</f>
      </c>
      <c r="I42" s="18">
        <f>I32</f>
      </c>
      <c r="J42" s="18">
        <f>J32</f>
      </c>
      <c r="K42" s="18">
        <f>K32</f>
      </c>
      <c r="L42" s="18">
        <f>L32</f>
      </c>
      <c r="M42" s="18">
        <f>M32</f>
      </c>
      <c r="N42" s="18">
        <f>N32</f>
      </c>
      <c r="O42" s="18">
        <f>O32</f>
      </c>
      <c r="P42" s="18">
        <f>P32</f>
      </c>
      <c r="Q42" s="18">
        <f>Q32</f>
      </c>
      <c r="R42" s="18">
        <f>R32</f>
      </c>
      <c r="S42" s="18">
        <f>S32</f>
      </c>
      <c r="T42" s="18">
        <f>T32</f>
      </c>
      <c r="U42" s="18">
        <f>U32</f>
      </c>
      <c r="V42" s="18">
        <f>V32</f>
      </c>
      <c r="W42" s="18">
        <f>W32</f>
      </c>
      <c r="X42" s="18">
        <f>X32</f>
      </c>
      <c r="Y42" s="18">
        <f>Y32</f>
      </c>
      <c r="Z42" s="18">
        <f>Z32</f>
      </c>
      <c r="AA42" s="18">
        <f>AA32</f>
      </c>
      <c r="AB42" s="18">
        <f>AB32</f>
      </c>
      <c r="AC42" s="18">
        <f>AC32</f>
      </c>
      <c r="AD42" s="18">
        <f>AD32</f>
      </c>
      <c r="AE42" s="18">
        <f>AE32</f>
      </c>
      <c r="AF42" s="18">
        <f>AF32</f>
      </c>
      <c r="AG42" s="18">
        <f>AG32</f>
      </c>
      <c r="AH42" s="18">
        <f>AH32</f>
      </c>
      <c r="AI42" s="18">
        <f>AI32</f>
      </c>
      <c r="AJ42" s="18">
        <f>AJ32</f>
      </c>
      <c r="AK42" s="19"/>
    </row>
    <row r="43" ht="12.75" customHeight="1" spans="2:37" x14ac:dyDescent="0.25">
      <c r="B43" s="16" t="s">
        <v>44</v>
      </c>
      <c r="C43" s="17"/>
      <c r="D43" s="17"/>
      <c r="E43" s="18">
        <f>E36</f>
      </c>
      <c r="F43" s="18">
        <f>F36</f>
      </c>
      <c r="G43" s="18">
        <f>G36</f>
      </c>
      <c r="H43" s="18">
        <f>H36</f>
      </c>
      <c r="I43" s="18">
        <f>I36</f>
      </c>
      <c r="J43" s="18">
        <f>J36</f>
      </c>
      <c r="K43" s="18">
        <f>K36</f>
      </c>
      <c r="L43" s="18">
        <f>L36</f>
      </c>
      <c r="M43" s="18">
        <f>M36</f>
      </c>
      <c r="N43" s="18">
        <f>N36</f>
      </c>
      <c r="O43" s="18">
        <f>O36</f>
      </c>
      <c r="P43" s="18">
        <f>P36</f>
      </c>
      <c r="Q43" s="18">
        <f>Q36</f>
      </c>
      <c r="R43" s="18">
        <f>R36</f>
      </c>
      <c r="S43" s="18">
        <f>S36</f>
      </c>
      <c r="T43" s="18">
        <f>T36</f>
      </c>
      <c r="U43" s="18">
        <f>U36</f>
      </c>
      <c r="V43" s="18">
        <f>V36</f>
      </c>
      <c r="W43" s="18">
        <f>W36</f>
      </c>
      <c r="X43" s="18">
        <f>X36</f>
      </c>
      <c r="Y43" s="18">
        <f>Y36</f>
      </c>
      <c r="Z43" s="18">
        <f>Z36</f>
      </c>
      <c r="AA43" s="18">
        <f>AA36</f>
      </c>
      <c r="AB43" s="18">
        <f>AB36</f>
      </c>
      <c r="AC43" s="18">
        <f>AC36</f>
      </c>
      <c r="AD43" s="18">
        <f>AD36</f>
      </c>
      <c r="AE43" s="18">
        <f>AE36</f>
      </c>
      <c r="AF43" s="18">
        <f>AF36</f>
      </c>
      <c r="AG43" s="18">
        <f>AG36</f>
      </c>
      <c r="AH43" s="18">
        <f>AH36</f>
      </c>
      <c r="AI43" s="18">
        <f>AI36</f>
      </c>
      <c r="AJ43" s="18">
        <f>AJ36</f>
      </c>
      <c r="AK43" s="19"/>
    </row>
    <row r="44" ht="12.75" customHeight="1" spans="2:37" x14ac:dyDescent="0.25">
      <c r="B44" s="20" t="s">
        <v>45</v>
      </c>
      <c r="C44" s="21"/>
      <c r="D44" s="21"/>
      <c r="E44" s="22">
        <f>E40+E41+E42+E43</f>
      </c>
      <c r="F44" s="22">
        <f>F40+F41+F42+F43</f>
      </c>
      <c r="G44" s="22">
        <f>G40+G41+G42+G43</f>
      </c>
      <c r="H44" s="22">
        <f>H40+H41+H42+H43</f>
      </c>
      <c r="I44" s="22">
        <f>I40+I41+I42+I43</f>
      </c>
      <c r="J44" s="22">
        <f>J40+J41+J42+J43</f>
      </c>
      <c r="K44" s="22">
        <f>K40+K41+K42+K43</f>
      </c>
      <c r="L44" s="22">
        <f>L40+L41+L42+L43</f>
      </c>
      <c r="M44" s="22">
        <f>M40+M41+M42+M43</f>
      </c>
      <c r="N44" s="22">
        <f>N40+N41+N42+N43</f>
      </c>
      <c r="O44" s="22">
        <f>O40+O41+O42+O43</f>
      </c>
      <c r="P44" s="22">
        <f>P40+P41+P42+P43</f>
      </c>
      <c r="Q44" s="22">
        <f>Q40+Q41+Q42+Q43</f>
      </c>
      <c r="R44" s="22">
        <f>R40+R41+R42+R43</f>
      </c>
      <c r="S44" s="22">
        <f>S40+S41+S42+S43</f>
      </c>
      <c r="T44" s="22">
        <f>T40+T41+T42+T43</f>
      </c>
      <c r="U44" s="22">
        <f>U40+U41+U42+U43</f>
      </c>
      <c r="V44" s="22">
        <f>V40+V41+V42+V43</f>
      </c>
      <c r="W44" s="22">
        <f>W40+W41+W42+W43</f>
      </c>
      <c r="X44" s="22">
        <f>X40+X41+X42+X43</f>
      </c>
      <c r="Y44" s="22">
        <f>Y40+Y41+Y42+Y43</f>
      </c>
      <c r="Z44" s="22">
        <f>Z40+Z41+Z42+Z43</f>
      </c>
      <c r="AA44" s="22">
        <f>AA40+AA41+AA42+AA43</f>
      </c>
      <c r="AB44" s="22">
        <f>AB40+AB41+AB42+AB43</f>
      </c>
      <c r="AC44" s="22">
        <f>AC40+AC41+AC42+AC43</f>
      </c>
      <c r="AD44" s="22">
        <f>AD40+AD41+AD42+AD43</f>
      </c>
      <c r="AE44" s="22">
        <f>AE40+AE41+AE42+AE43</f>
      </c>
      <c r="AF44" s="22">
        <f>AF40+AF41+AF42+AF43</f>
      </c>
      <c r="AG44" s="22">
        <f>AG40+AG41+AG42+AG43</f>
      </c>
      <c r="AH44" s="22">
        <f>AH40+AH41+AH42+AH43</f>
      </c>
      <c r="AI44" s="22">
        <f>AI40+AI41+AI42+AI43</f>
      </c>
      <c r="AJ44" s="22">
        <f>AJ40+AJ41+AJ42+AJ43</f>
      </c>
      <c r="AK44" s="23"/>
    </row>
    <row r="46" ht="12.75" customHeight="1" spans="2:37" x14ac:dyDescent="0.25">
      <c r="B46" s="11" t="s">
        <v>46</v>
      </c>
      <c r="C46" s="12"/>
      <c r="D46" s="13"/>
      <c r="E46" s="14" t="s">
        <v>7</v>
      </c>
      <c r="F46" s="14" t="s">
        <v>8</v>
      </c>
      <c r="G46" s="14" t="s">
        <v>9</v>
      </c>
      <c r="H46" s="14" t="s">
        <v>10</v>
      </c>
      <c r="I46" s="14" t="s">
        <v>11</v>
      </c>
      <c r="J46" s="14" t="s">
        <v>12</v>
      </c>
      <c r="K46" s="14" t="s">
        <v>13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18</v>
      </c>
      <c r="Q46" s="14" t="s">
        <v>19</v>
      </c>
      <c r="R46" s="14" t="s">
        <v>20</v>
      </c>
      <c r="S46" s="14" t="s">
        <v>21</v>
      </c>
      <c r="T46" s="14" t="s">
        <v>22</v>
      </c>
      <c r="U46" s="14" t="s">
        <v>23</v>
      </c>
      <c r="V46" s="14" t="s">
        <v>24</v>
      </c>
      <c r="W46" s="14" t="s">
        <v>25</v>
      </c>
      <c r="X46" s="14" t="s">
        <v>26</v>
      </c>
      <c r="Y46" s="14" t="s">
        <v>27</v>
      </c>
      <c r="Z46" s="14" t="s">
        <v>28</v>
      </c>
      <c r="AA46" s="14" t="s">
        <v>29</v>
      </c>
      <c r="AB46" s="14" t="s">
        <v>30</v>
      </c>
      <c r="AC46" s="14" t="s">
        <v>31</v>
      </c>
      <c r="AD46" s="14" t="s">
        <v>32</v>
      </c>
      <c r="AE46" s="14" t="s">
        <v>33</v>
      </c>
      <c r="AF46" s="14" t="s">
        <v>34</v>
      </c>
      <c r="AG46" s="14" t="s">
        <v>35</v>
      </c>
      <c r="AH46" s="14" t="s">
        <v>36</v>
      </c>
      <c r="AI46" s="14" t="s">
        <v>37</v>
      </c>
      <c r="AJ46" s="14" t="s">
        <v>38</v>
      </c>
      <c r="AK46" s="15"/>
    </row>
    <row r="47" ht="12.75" customHeight="1" spans="2:37" x14ac:dyDescent="0.25">
      <c r="B47" s="16" t="s">
        <v>41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16" t="s">
        <v>42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ht="12.75" customHeight="1" spans="2:37" x14ac:dyDescent="0.25">
      <c r="B49" s="16" t="s">
        <v>43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ht="12.75" customHeight="1" spans="2:37" x14ac:dyDescent="0.25">
      <c r="B50" s="16" t="s">
        <v>44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ht="12.75" customHeight="1" spans="2:37" x14ac:dyDescent="0.25">
      <c r="B51" s="20" t="s">
        <v>45</v>
      </c>
      <c r="C51" s="21"/>
      <c r="D51" s="21"/>
      <c r="E51" s="22">
        <f>E47+E48+E49+E50</f>
      </c>
      <c r="F51" s="22">
        <f>F47+F48+F49+F50</f>
      </c>
      <c r="G51" s="22">
        <f>G47+G48+G49+G50</f>
      </c>
      <c r="H51" s="22">
        <f>H47+H48+H49+H50</f>
      </c>
      <c r="I51" s="22">
        <f>I47+I48+I49+I50</f>
      </c>
      <c r="J51" s="22">
        <f>J47+J48+J49+J50</f>
      </c>
      <c r="K51" s="22">
        <f>K47+K48+K49+K50</f>
      </c>
      <c r="L51" s="22">
        <f>L47+L48+L49+L50</f>
      </c>
      <c r="M51" s="22">
        <f>M47+M48+M49+M50</f>
      </c>
      <c r="N51" s="22">
        <f>N47+N48+N49+N50</f>
      </c>
      <c r="O51" s="22">
        <f>O47+O48+O49+O50</f>
      </c>
      <c r="P51" s="22">
        <f>P47+P48+P49+P50</f>
      </c>
      <c r="Q51" s="22">
        <f>Q47+Q48+Q49+Q50</f>
      </c>
      <c r="R51" s="22">
        <f>R47+R48+R49+R50</f>
      </c>
      <c r="S51" s="22">
        <f>S47+S48+S49+S50</f>
      </c>
      <c r="T51" s="22">
        <f>T47+T48+T49+T50</f>
      </c>
      <c r="U51" s="22">
        <f>U47+U48+U49+U50</f>
      </c>
      <c r="V51" s="22">
        <f>V47+V48+V49+V50</f>
      </c>
      <c r="W51" s="22">
        <f>W47+W48+W49+W50</f>
      </c>
      <c r="X51" s="22">
        <f>X47+X48+X49+X50</f>
      </c>
      <c r="Y51" s="22">
        <f>Y47+Y48+Y49+Y50</f>
      </c>
      <c r="Z51" s="22">
        <f>Z47+Z48+Z49+Z50</f>
      </c>
      <c r="AA51" s="22">
        <f>AA47+AA48+AA49+AA50</f>
      </c>
      <c r="AB51" s="22">
        <f>AB47+AB48+AB49+AB50</f>
      </c>
      <c r="AC51" s="22">
        <f>AC47+AC48+AC49+AC50</f>
      </c>
      <c r="AD51" s="22">
        <f>AD47+AD48+AD49+AD50</f>
      </c>
      <c r="AE51" s="22">
        <f>AE47+AE48+AE49+AE50</f>
      </c>
      <c r="AF51" s="22">
        <f>AF47+AF48+AF49+AF50</f>
      </c>
      <c r="AG51" s="22">
        <f>AG47+AG48+AG49+AG50</f>
      </c>
      <c r="AH51" s="22">
        <f>AH47+AH48+AH49+AH50</f>
      </c>
      <c r="AI51" s="22">
        <f>AI47+AI48+AI49+AI50</f>
      </c>
      <c r="AJ51" s="22">
        <f>AJ47+AJ48+AJ49+AJ50</f>
      </c>
      <c r="AK51" s="23"/>
    </row>
    <row r="53" ht="12.75" customHeight="1" spans="2:37" x14ac:dyDescent="0.25">
      <c r="B53" s="11" t="s">
        <v>47</v>
      </c>
      <c r="C53" s="12"/>
      <c r="D53" s="13"/>
      <c r="E53" s="14" t="s">
        <v>7</v>
      </c>
      <c r="F53" s="14" t="s">
        <v>8</v>
      </c>
      <c r="G53" s="14" t="s">
        <v>9</v>
      </c>
      <c r="H53" s="14" t="s">
        <v>10</v>
      </c>
      <c r="I53" s="14" t="s">
        <v>11</v>
      </c>
      <c r="J53" s="14" t="s">
        <v>12</v>
      </c>
      <c r="K53" s="14" t="s">
        <v>13</v>
      </c>
      <c r="L53" s="14" t="s">
        <v>14</v>
      </c>
      <c r="M53" s="14" t="s">
        <v>15</v>
      </c>
      <c r="N53" s="14" t="s">
        <v>16</v>
      </c>
      <c r="O53" s="14" t="s">
        <v>17</v>
      </c>
      <c r="P53" s="14" t="s">
        <v>18</v>
      </c>
      <c r="Q53" s="14" t="s">
        <v>19</v>
      </c>
      <c r="R53" s="14" t="s">
        <v>20</v>
      </c>
      <c r="S53" s="14" t="s">
        <v>21</v>
      </c>
      <c r="T53" s="14" t="s">
        <v>22</v>
      </c>
      <c r="U53" s="14" t="s">
        <v>23</v>
      </c>
      <c r="V53" s="14" t="s">
        <v>24</v>
      </c>
      <c r="W53" s="14" t="s">
        <v>25</v>
      </c>
      <c r="X53" s="14" t="s">
        <v>26</v>
      </c>
      <c r="Y53" s="14" t="s">
        <v>27</v>
      </c>
      <c r="Z53" s="14" t="s">
        <v>28</v>
      </c>
      <c r="AA53" s="14" t="s">
        <v>29</v>
      </c>
      <c r="AB53" s="14" t="s">
        <v>30</v>
      </c>
      <c r="AC53" s="14" t="s">
        <v>31</v>
      </c>
      <c r="AD53" s="14" t="s">
        <v>32</v>
      </c>
      <c r="AE53" s="14" t="s">
        <v>33</v>
      </c>
      <c r="AF53" s="14" t="s">
        <v>34</v>
      </c>
      <c r="AG53" s="14" t="s">
        <v>35</v>
      </c>
      <c r="AH53" s="14" t="s">
        <v>36</v>
      </c>
      <c r="AI53" s="14" t="s">
        <v>37</v>
      </c>
      <c r="AJ53" s="14" t="s">
        <v>38</v>
      </c>
      <c r="AK53" s="15"/>
    </row>
    <row r="54" ht="12.75" customHeight="1" spans="2:37" x14ac:dyDescent="0.25">
      <c r="B54" s="16" t="s">
        <v>41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16" t="s">
        <v>42</v>
      </c>
      <c r="C55" s="17"/>
      <c r="D55" s="17"/>
      <c r="E55" s="24">
        <f>E48-E41</f>
      </c>
      <c r="F55" s="24">
        <f>F48-F41</f>
      </c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19"/>
    </row>
    <row r="56" ht="12.75" customHeight="1" spans="2:37" x14ac:dyDescent="0.25">
      <c r="B56" s="16" t="s">
        <v>43</v>
      </c>
      <c r="C56" s="17"/>
      <c r="D56" s="17"/>
      <c r="E56" s="24">
        <f>E49-E42</f>
      </c>
      <c r="F56" s="24">
        <f>F49-F42</f>
      </c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19"/>
    </row>
    <row r="57" ht="12.75" customHeight="1" spans="2:37" x14ac:dyDescent="0.25">
      <c r="B57" s="16" t="s">
        <v>44</v>
      </c>
      <c r="C57" s="17"/>
      <c r="D57" s="17"/>
      <c r="E57" s="24">
        <f>E50-E43</f>
      </c>
      <c r="F57" s="24">
        <f>F50-F43</f>
      </c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19"/>
    </row>
    <row r="58" ht="12.75" customHeight="1" spans="2:37" x14ac:dyDescent="0.25">
      <c r="B58" s="20" t="s">
        <v>45</v>
      </c>
      <c r="C58" s="21"/>
      <c r="D58" s="21"/>
      <c r="E58" s="25">
        <f>E54+E55+E56+E57</f>
      </c>
      <c r="F58" s="25">
        <f>F54+F55+F56+F57</f>
      </c>
      <c r="G58" s="25">
        <f>G54+G55+G56+G57</f>
      </c>
      <c r="H58" s="25">
        <f>H54+H55+H56+H57</f>
      </c>
      <c r="I58" s="25">
        <f>I54+I55+I56+I57</f>
      </c>
      <c r="J58" s="25">
        <f>J54+J55+J56+J57</f>
      </c>
      <c r="K58" s="25">
        <f>K54+K55+K56+K57</f>
      </c>
      <c r="L58" s="25">
        <f>L54+L55+L56+L57</f>
      </c>
      <c r="M58" s="25">
        <f>M54+M55+M56+M57</f>
      </c>
      <c r="N58" s="25">
        <f>N54+N55+N56+N57</f>
      </c>
      <c r="O58" s="25">
        <f>O54+O55+O56+O57</f>
      </c>
      <c r="P58" s="25">
        <f>P54+P55+P56+P57</f>
      </c>
      <c r="Q58" s="25">
        <f>Q54+Q55+Q56+Q57</f>
      </c>
      <c r="R58" s="25">
        <f>R54+R55+R56+R57</f>
      </c>
      <c r="S58" s="25">
        <f>S54+S55+S56+S57</f>
      </c>
      <c r="T58" s="25">
        <f>T54+T55+T56+T57</f>
      </c>
      <c r="U58" s="25">
        <f>U54+U55+U56+U57</f>
      </c>
      <c r="V58" s="25">
        <f>V54+V55+V56+V57</f>
      </c>
      <c r="W58" s="25">
        <f>W54+W55+W56+W57</f>
      </c>
      <c r="X58" s="25">
        <f>X54+X55+X56+X57</f>
      </c>
      <c r="Y58" s="25">
        <f>Y54+Y55+Y56+Y57</f>
      </c>
      <c r="Z58" s="25">
        <f>Z54+Z55+Z56+Z57</f>
      </c>
      <c r="AA58" s="25">
        <f>AA54+AA55+AA56+AA57</f>
      </c>
      <c r="AB58" s="25">
        <f>AB54+AB55+AB56+AB57</f>
      </c>
      <c r="AC58" s="25">
        <f>AC54+AC55+AC56+AC57</f>
      </c>
      <c r="AD58" s="25">
        <f>AD54+AD55+AD56+AD57</f>
      </c>
      <c r="AE58" s="25">
        <f>AE54+AE55+AE56+AE57</f>
      </c>
      <c r="AF58" s="25">
        <f>AF54+AF55+AF56+AF57</f>
      </c>
      <c r="AG58" s="25">
        <f>AG54+AG55+AG56+AG57</f>
      </c>
      <c r="AH58" s="25">
        <f>AH54+AH55+AH56+AH57</f>
      </c>
      <c r="AI58" s="25">
        <f>AI54+AI55+AI56+AI57</f>
      </c>
      <c r="AJ58" s="25">
        <f>AJ54+AJ55+AJ56+AJ57</f>
      </c>
      <c r="AK5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2624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2638</v>
      </c>
      <c r="X8" s="44" t="s">
        <v>2639</v>
      </c>
      <c r="Y8" s="44" t="s">
        <v>2640</v>
      </c>
      <c r="Z8" s="44" t="s">
        <v>2641</v>
      </c>
      <c r="AA8" s="44" t="s">
        <v>2642</v>
      </c>
      <c r="AB8" s="44" t="s">
        <v>2643</v>
      </c>
      <c r="AC8" s="44" t="s">
        <v>2644</v>
      </c>
      <c r="AD8" s="44" t="s">
        <v>2645</v>
      </c>
      <c r="AE8" s="44" t="s">
        <v>2646</v>
      </c>
      <c r="AF8" s="44" t="s">
        <v>2647</v>
      </c>
      <c r="AG8" s="44" t="s">
        <v>2648</v>
      </c>
      <c r="AH8" s="44" t="s">
        <v>2649</v>
      </c>
      <c r="AI8" s="44" t="s">
        <v>2650</v>
      </c>
      <c r="AJ8" s="44" t="s">
        <v>2651</v>
      </c>
      <c r="AK8" s="44" t="s">
        <v>1780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2624</v>
      </c>
      <c r="D14" s="50" t="s">
        <v>42</v>
      </c>
      <c r="E14" s="32" t="s">
        <v>3</v>
      </c>
      <c r="F14" s="32" t="s">
        <v>2625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>
        <v>54.82</v>
      </c>
      <c r="X14" s="33">
        <v>46.6</v>
      </c>
      <c r="Y14" s="33">
        <v>52.56</v>
      </c>
      <c r="Z14" s="33">
        <v>70.92</v>
      </c>
      <c r="AA14" s="33">
        <v>87.52</v>
      </c>
      <c r="AB14" s="33">
        <v>99.74</v>
      </c>
      <c r="AC14" s="33">
        <v>90.8</v>
      </c>
      <c r="AD14" s="33">
        <v>108.64</v>
      </c>
      <c r="AE14" s="33">
        <v>93.17</v>
      </c>
      <c r="AF14" s="33">
        <v>97.85</v>
      </c>
      <c r="AG14" s="33">
        <v>67.63</v>
      </c>
      <c r="AH14" s="33">
        <v>58.62</v>
      </c>
      <c r="AI14" s="33">
        <v>69.65</v>
      </c>
      <c r="AJ14" s="33">
        <v>55.81</v>
      </c>
      <c r="AK14" s="33">
        <v>49.93</v>
      </c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2624</v>
      </c>
      <c r="D15" s="50" t="s">
        <v>42</v>
      </c>
      <c r="E15" s="32" t="s">
        <v>3</v>
      </c>
      <c r="F15" s="32" t="s">
        <v>2626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v>33.25</v>
      </c>
      <c r="X15" s="33">
        <v>33.25</v>
      </c>
      <c r="Y15" s="33">
        <v>33.25</v>
      </c>
      <c r="Z15" s="33">
        <v>33.25</v>
      </c>
      <c r="AA15" s="33">
        <v>33.67</v>
      </c>
      <c r="AB15" s="33">
        <v>40.52</v>
      </c>
      <c r="AC15" s="33">
        <v>49.03</v>
      </c>
      <c r="AD15" s="33">
        <v>50.03</v>
      </c>
      <c r="AE15" s="33">
        <v>47.63</v>
      </c>
      <c r="AF15" s="33">
        <v>47.78</v>
      </c>
      <c r="AG15" s="33">
        <v>37.98</v>
      </c>
      <c r="AH15" s="33">
        <v>38.1</v>
      </c>
      <c r="AI15" s="33">
        <v>38.05</v>
      </c>
      <c r="AJ15" s="33">
        <v>38.38</v>
      </c>
      <c r="AK15" s="33">
        <v>38.33</v>
      </c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2624</v>
      </c>
      <c r="D16" s="50" t="s">
        <v>42</v>
      </c>
      <c r="E16" s="32" t="s">
        <v>3</v>
      </c>
      <c r="F16" s="32" t="s">
        <v>2627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v>69.07</v>
      </c>
      <c r="X16" s="33">
        <v>147.02</v>
      </c>
      <c r="Y16" s="33">
        <v>66.6</v>
      </c>
      <c r="Z16" s="33">
        <v>156.05</v>
      </c>
      <c r="AA16" s="33">
        <v>239.03</v>
      </c>
      <c r="AB16" s="33">
        <v>238.13</v>
      </c>
      <c r="AC16" s="33">
        <v>283.06</v>
      </c>
      <c r="AD16" s="33">
        <v>365.12</v>
      </c>
      <c r="AE16" s="33">
        <v>440.25</v>
      </c>
      <c r="AF16" s="33">
        <v>355.49</v>
      </c>
      <c r="AG16" s="33">
        <v>232.06</v>
      </c>
      <c r="AH16" s="33">
        <v>91.91</v>
      </c>
      <c r="AI16" s="33">
        <v>77.12</v>
      </c>
      <c r="AJ16" s="33">
        <v>97.17</v>
      </c>
      <c r="AK16" s="33">
        <v>79.15</v>
      </c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2624</v>
      </c>
      <c r="D17" s="50" t="s">
        <v>42</v>
      </c>
      <c r="E17" s="32" t="s">
        <v>3</v>
      </c>
      <c r="F17" s="32" t="s">
        <v>2628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v>173.05</v>
      </c>
      <c r="X17" s="33">
        <v>158.48</v>
      </c>
      <c r="Y17" s="33">
        <v>178.21</v>
      </c>
      <c r="Z17" s="33">
        <v>175.68</v>
      </c>
      <c r="AA17" s="33">
        <v>250.01</v>
      </c>
      <c r="AB17" s="33">
        <v>176.77</v>
      </c>
      <c r="AC17" s="33">
        <v>189.34</v>
      </c>
      <c r="AD17" s="33">
        <v>214.41</v>
      </c>
      <c r="AE17" s="33">
        <v>190.79</v>
      </c>
      <c r="AF17" s="33">
        <v>191.24</v>
      </c>
      <c r="AG17" s="33">
        <v>241.68</v>
      </c>
      <c r="AH17" s="33">
        <v>223.48</v>
      </c>
      <c r="AI17" s="33">
        <v>240.68</v>
      </c>
      <c r="AJ17" s="33">
        <v>189.7</v>
      </c>
      <c r="AK17" s="33">
        <v>169.21</v>
      </c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2624</v>
      </c>
      <c r="D18" s="50" t="s">
        <v>42</v>
      </c>
      <c r="E18" s="32" t="s">
        <v>3</v>
      </c>
      <c r="F18" s="32" t="s">
        <v>2629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>
        <v>36.95</v>
      </c>
      <c r="X18" s="33">
        <v>42.89</v>
      </c>
      <c r="Y18" s="33">
        <v>47.88</v>
      </c>
      <c r="Z18" s="33">
        <v>40.67</v>
      </c>
      <c r="AA18" s="33">
        <v>40.67</v>
      </c>
      <c r="AB18" s="33">
        <v>54.52</v>
      </c>
      <c r="AC18" s="33">
        <v>54.52</v>
      </c>
      <c r="AD18" s="33">
        <v>62.9</v>
      </c>
      <c r="AE18" s="33">
        <v>71.11</v>
      </c>
      <c r="AF18" s="33">
        <v>62.93</v>
      </c>
      <c r="AG18" s="33">
        <v>71.11</v>
      </c>
      <c r="AH18" s="33">
        <v>79.24</v>
      </c>
      <c r="AI18" s="33">
        <v>82.46</v>
      </c>
      <c r="AJ18" s="33">
        <v>72.93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2624</v>
      </c>
      <c r="D19" s="50" t="s">
        <v>42</v>
      </c>
      <c r="E19" s="32" t="s">
        <v>3</v>
      </c>
      <c r="F19" s="32" t="s">
        <v>2630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>
        <v>60.02</v>
      </c>
      <c r="X19" s="33">
        <v>67.14</v>
      </c>
      <c r="Y19" s="33">
        <v>90.36</v>
      </c>
      <c r="Z19" s="33">
        <v>61.56</v>
      </c>
      <c r="AA19" s="33">
        <v>106.22</v>
      </c>
      <c r="AB19" s="33">
        <v>174.43</v>
      </c>
      <c r="AC19" s="33">
        <v>196.66</v>
      </c>
      <c r="AD19" s="33">
        <v>98.23</v>
      </c>
      <c r="AE19" s="33">
        <v>46.78</v>
      </c>
      <c r="AF19" s="33">
        <v>61.28</v>
      </c>
      <c r="AG19" s="33">
        <v>79.68</v>
      </c>
      <c r="AH19" s="33">
        <v>93.58</v>
      </c>
      <c r="AI19" s="33">
        <v>71.58</v>
      </c>
      <c r="AJ19" s="33">
        <v>48.67</v>
      </c>
      <c r="AK19" s="33">
        <v>59.73</v>
      </c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2624</v>
      </c>
      <c r="D20" s="50" t="s">
        <v>42</v>
      </c>
      <c r="E20" s="32" t="s">
        <v>3</v>
      </c>
      <c r="F20" s="32" t="s">
        <v>2631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>
        <v>33.25</v>
      </c>
      <c r="X20" s="33">
        <v>33.25</v>
      </c>
      <c r="Y20" s="33">
        <v>33.26</v>
      </c>
      <c r="Z20" s="33">
        <v>33.26</v>
      </c>
      <c r="AA20" s="33">
        <v>33.24</v>
      </c>
      <c r="AB20" s="33">
        <v>33.25</v>
      </c>
      <c r="AC20" s="33">
        <v>38.14</v>
      </c>
      <c r="AD20" s="33">
        <v>38.17</v>
      </c>
      <c r="AE20" s="33">
        <v>38.11</v>
      </c>
      <c r="AF20" s="33">
        <v>38.09</v>
      </c>
      <c r="AG20" s="33">
        <v>38.08</v>
      </c>
      <c r="AH20" s="33">
        <v>38.12</v>
      </c>
      <c r="AI20" s="33">
        <v>38.1</v>
      </c>
      <c r="AJ20" s="33">
        <v>38.42</v>
      </c>
      <c r="AK20" s="33">
        <v>38.41</v>
      </c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2624</v>
      </c>
      <c r="D21" s="50" t="s">
        <v>42</v>
      </c>
      <c r="E21" s="32" t="s">
        <v>3</v>
      </c>
      <c r="F21" s="32" t="s">
        <v>2632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>
        <v>313.95</v>
      </c>
      <c r="X21" s="33">
        <v>313.95</v>
      </c>
      <c r="Y21" s="33">
        <v>335.22</v>
      </c>
      <c r="Z21" s="33">
        <v>335.22</v>
      </c>
      <c r="AA21" s="33">
        <v>335.22</v>
      </c>
      <c r="AB21" s="33">
        <v>335.22</v>
      </c>
      <c r="AC21" s="33">
        <v>345.61</v>
      </c>
      <c r="AD21" s="33">
        <v>345.76</v>
      </c>
      <c r="AE21" s="33">
        <v>345.87</v>
      </c>
      <c r="AF21" s="33">
        <v>345.87</v>
      </c>
      <c r="AG21" s="33">
        <v>345.87</v>
      </c>
      <c r="AH21" s="33">
        <v>345.87</v>
      </c>
      <c r="AI21" s="33">
        <v>350.6</v>
      </c>
      <c r="AJ21" s="33">
        <v>327.05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2624</v>
      </c>
      <c r="D22" s="50" t="s">
        <v>42</v>
      </c>
      <c r="E22" s="32" t="s">
        <v>3</v>
      </c>
      <c r="F22" s="32" t="s">
        <v>2633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>
        <v>30.8</v>
      </c>
      <c r="X22" s="33">
        <v>30.8</v>
      </c>
      <c r="Y22" s="33">
        <v>30.8</v>
      </c>
      <c r="Z22" s="33">
        <v>30.8</v>
      </c>
      <c r="AA22" s="33">
        <v>30.8</v>
      </c>
      <c r="AB22" s="33">
        <v>30.8</v>
      </c>
      <c r="AC22" s="33">
        <v>35.64</v>
      </c>
      <c r="AD22" s="33">
        <v>35.64</v>
      </c>
      <c r="AE22" s="33">
        <v>35.64</v>
      </c>
      <c r="AF22" s="33">
        <v>35.64</v>
      </c>
      <c r="AG22" s="33">
        <v>35.64</v>
      </c>
      <c r="AH22" s="33">
        <v>35.64</v>
      </c>
      <c r="AI22" s="33">
        <v>35.64</v>
      </c>
      <c r="AJ22" s="33">
        <v>35.91</v>
      </c>
      <c r="AK22" s="33">
        <v>35.9</v>
      </c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2624</v>
      </c>
      <c r="D23" s="50" t="s">
        <v>42</v>
      </c>
      <c r="E23" s="32" t="s">
        <v>3</v>
      </c>
      <c r="F23" s="32" t="s">
        <v>2634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>
        <v>30.8</v>
      </c>
      <c r="X23" s="33">
        <v>30.8</v>
      </c>
      <c r="Y23" s="33">
        <v>30.8</v>
      </c>
      <c r="Z23" s="33">
        <v>30.8</v>
      </c>
      <c r="AA23" s="33">
        <v>30.8</v>
      </c>
      <c r="AB23" s="33">
        <v>30.8</v>
      </c>
      <c r="AC23" s="33">
        <v>35.64</v>
      </c>
      <c r="AD23" s="33">
        <v>35.64</v>
      </c>
      <c r="AE23" s="33">
        <v>35.64</v>
      </c>
      <c r="AF23" s="33">
        <v>35.64</v>
      </c>
      <c r="AG23" s="33">
        <v>35.64</v>
      </c>
      <c r="AH23" s="33">
        <v>35.64</v>
      </c>
      <c r="AI23" s="33">
        <v>35.64</v>
      </c>
      <c r="AJ23" s="33">
        <v>35.91</v>
      </c>
      <c r="AK23" s="33">
        <v>35.91</v>
      </c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2624</v>
      </c>
      <c r="D24" s="50" t="s">
        <v>42</v>
      </c>
      <c r="E24" s="32" t="s">
        <v>3</v>
      </c>
      <c r="F24" s="32" t="s">
        <v>916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>
        <v>30.8</v>
      </c>
      <c r="X24" s="33">
        <v>30.8</v>
      </c>
      <c r="Y24" s="33">
        <v>30.8</v>
      </c>
      <c r="Z24" s="33">
        <v>30.8</v>
      </c>
      <c r="AA24" s="33">
        <v>30.8</v>
      </c>
      <c r="AB24" s="33">
        <v>30.8</v>
      </c>
      <c r="AC24" s="33">
        <v>35.64</v>
      </c>
      <c r="AD24" s="33">
        <v>35.64</v>
      </c>
      <c r="AE24" s="33">
        <v>35.64</v>
      </c>
      <c r="AF24" s="32"/>
      <c r="AG24" s="33">
        <v>35.64</v>
      </c>
      <c r="AH24" s="33">
        <v>35.64</v>
      </c>
      <c r="AI24" s="33">
        <v>35.64</v>
      </c>
      <c r="AJ24" s="33">
        <v>35.91</v>
      </c>
      <c r="AK24" s="33">
        <v>35.91</v>
      </c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2624</v>
      </c>
      <c r="D25" s="50" t="s">
        <v>42</v>
      </c>
      <c r="E25" s="32" t="s">
        <v>3</v>
      </c>
      <c r="F25" s="32" t="s">
        <v>2635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>
        <v>30.8</v>
      </c>
      <c r="AA25" s="33">
        <v>30.8</v>
      </c>
      <c r="AB25" s="33">
        <v>30.8</v>
      </c>
      <c r="AC25" s="33">
        <v>35.64</v>
      </c>
      <c r="AD25" s="33">
        <v>35.64</v>
      </c>
      <c r="AE25" s="33">
        <v>35.63</v>
      </c>
      <c r="AF25" s="33">
        <v>35.65</v>
      </c>
      <c r="AG25" s="33">
        <v>35.64</v>
      </c>
      <c r="AH25" s="33">
        <v>35.64</v>
      </c>
      <c r="AI25" s="33">
        <v>35.63</v>
      </c>
      <c r="AJ25" s="33">
        <v>35.89</v>
      </c>
      <c r="AK25" s="33">
        <v>35.81</v>
      </c>
      <c r="AL25" s="34">
        <f>SUM(G25:AK25)</f>
      </c>
      <c r="AM25" s="35"/>
    </row>
    <row r="26" ht="13.5" customHeight="1" spans="2:39" x14ac:dyDescent="0.25">
      <c r="B26" s="5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/>
    </row>
    <row r="27" ht="13.5" customHeight="1" spans="2:39" x14ac:dyDescent="0.25">
      <c r="B27" s="20"/>
      <c r="C27" s="21"/>
      <c r="D27" s="21" t="s">
        <v>85</v>
      </c>
      <c r="E27" s="21"/>
      <c r="F27" s="21"/>
      <c r="G27" s="22">
        <f>SUM(G14:G25)</f>
      </c>
      <c r="H27" s="22">
        <f>SUM(H14:H25)</f>
      </c>
      <c r="I27" s="22">
        <f>SUM(I14:I25)</f>
      </c>
      <c r="J27" s="22">
        <f>SUM(J14:J25)</f>
      </c>
      <c r="K27" s="22">
        <f>SUM(K14:K25)</f>
      </c>
      <c r="L27" s="22">
        <f>SUM(L14:L25)</f>
      </c>
      <c r="M27" s="22">
        <f>SUM(M14:M25)</f>
      </c>
      <c r="N27" s="22">
        <f>SUM(N14:N25)</f>
      </c>
      <c r="O27" s="22">
        <f>SUM(O14:O25)</f>
      </c>
      <c r="P27" s="22">
        <f>SUM(P14:P25)</f>
      </c>
      <c r="Q27" s="22">
        <f>SUM(Q14:Q25)</f>
      </c>
      <c r="R27" s="22">
        <f>SUM(R14:R25)</f>
      </c>
      <c r="S27" s="22">
        <f>SUM(S14:S25)</f>
      </c>
      <c r="T27" s="22">
        <f>SUM(T14:T25)</f>
      </c>
      <c r="U27" s="22">
        <f>SUM(U14:U25)</f>
      </c>
      <c r="V27" s="22">
        <f>SUM(V14:V25)</f>
      </c>
      <c r="W27" s="22">
        <f>SUM(W14:W25)</f>
      </c>
      <c r="X27" s="22">
        <f>SUM(X14:X25)</f>
      </c>
      <c r="Y27" s="22">
        <f>SUM(Y14:Y25)</f>
      </c>
      <c r="Z27" s="22">
        <f>SUM(Z14:Z25)</f>
      </c>
      <c r="AA27" s="22">
        <f>SUM(AA14:AA25)</f>
      </c>
      <c r="AB27" s="22">
        <f>SUM(AB14:AB25)</f>
      </c>
      <c r="AC27" s="22">
        <f>SUM(AC14:AC25)</f>
      </c>
      <c r="AD27" s="22">
        <f>SUM(AD14:AD25)</f>
      </c>
      <c r="AE27" s="22">
        <f>SUM(AE14:AE25)</f>
      </c>
      <c r="AF27" s="22">
        <f>SUM(AF14:AF25)</f>
      </c>
      <c r="AG27" s="22">
        <f>SUM(AG14:AG25)</f>
      </c>
      <c r="AH27" s="22">
        <f>SUM(AH14:AH25)</f>
      </c>
      <c r="AI27" s="22">
        <f>SUM(AI14:AI25)</f>
      </c>
      <c r="AJ27" s="22">
        <f>SUM(AJ14:AJ25)</f>
      </c>
      <c r="AK27" s="22">
        <f>SUM(AK14:AK25)</f>
      </c>
      <c r="AL27" s="22">
        <f>SUM(AL14:AL25)</f>
      </c>
      <c r="AM27" s="23"/>
    </row>
    <row r="29" ht="13.5" customHeight="1" spans="2:39" x14ac:dyDescent="0.25">
      <c r="B29" s="46"/>
      <c r="C29" s="28"/>
      <c r="D29" s="47" t="s">
        <v>43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9"/>
    </row>
    <row r="30" ht="13.5" customHeight="1" spans="2:39" x14ac:dyDescent="0.25">
      <c r="B30" s="48" t="s">
        <v>3</v>
      </c>
      <c r="C30" s="49" t="s">
        <v>2624</v>
      </c>
      <c r="D30" s="50" t="s">
        <v>43</v>
      </c>
      <c r="E30" s="32" t="s">
        <v>3</v>
      </c>
      <c r="F30" s="32" t="s">
        <v>2636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3">
        <v>1355.31</v>
      </c>
      <c r="Y30" s="32"/>
      <c r="Z30" s="33">
        <v>1390.68</v>
      </c>
      <c r="AA30" s="32"/>
      <c r="AB30" s="33">
        <v>1504.65</v>
      </c>
      <c r="AC30" s="32"/>
      <c r="AD30" s="33">
        <f>1774.59+0.00</f>
        <v>1774.59</v>
      </c>
      <c r="AE30" s="32"/>
      <c r="AF30" s="33">
        <v>1516.81</v>
      </c>
      <c r="AG30" s="32"/>
      <c r="AH30" s="33">
        <v>2018.05</v>
      </c>
      <c r="AI30" s="32"/>
      <c r="AJ30" s="33">
        <v>2620.3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2624</v>
      </c>
      <c r="D31" s="50" t="s">
        <v>43</v>
      </c>
      <c r="E31" s="32" t="s">
        <v>3</v>
      </c>
      <c r="F31" s="32" t="s">
        <v>2637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3">
        <v>604.68</v>
      </c>
      <c r="Y31" s="32"/>
      <c r="Z31" s="33">
        <v>632.19</v>
      </c>
      <c r="AA31" s="32"/>
      <c r="AB31" s="33">
        <v>541.8</v>
      </c>
      <c r="AC31" s="32"/>
      <c r="AD31" s="33">
        <v>530.01</v>
      </c>
      <c r="AE31" s="32"/>
      <c r="AF31" s="33">
        <v>535.01</v>
      </c>
      <c r="AG31" s="32"/>
      <c r="AH31" s="33">
        <v>561.65</v>
      </c>
      <c r="AI31" s="32"/>
      <c r="AJ31" s="33">
        <v>890.45</v>
      </c>
      <c r="AK31" s="32"/>
      <c r="AL31" s="34">
        <f>SUM(G31:AK31)</f>
      </c>
      <c r="AM31" s="35"/>
    </row>
    <row r="32" ht="13.5" customHeight="1" spans="2:39" x14ac:dyDescent="0.25">
      <c r="B32" s="51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40"/>
    </row>
    <row r="33" ht="13.5" customHeight="1" spans="2:39" x14ac:dyDescent="0.25">
      <c r="B33" s="20"/>
      <c r="C33" s="21"/>
      <c r="D33" s="21" t="s">
        <v>89</v>
      </c>
      <c r="E33" s="21"/>
      <c r="F33" s="21"/>
      <c r="G33" s="22">
        <f>SUM(G30:G31)</f>
      </c>
      <c r="H33" s="22">
        <f>SUM(H30:H31)</f>
      </c>
      <c r="I33" s="22">
        <f>SUM(I30:I31)</f>
      </c>
      <c r="J33" s="22">
        <f>SUM(J30:J31)</f>
      </c>
      <c r="K33" s="22">
        <f>SUM(K30:K31)</f>
      </c>
      <c r="L33" s="22">
        <f>SUM(L30:L31)</f>
      </c>
      <c r="M33" s="22">
        <f>SUM(M30:M31)</f>
      </c>
      <c r="N33" s="22">
        <f>SUM(N30:N31)</f>
      </c>
      <c r="O33" s="22">
        <f>SUM(O30:O31)</f>
      </c>
      <c r="P33" s="22">
        <f>SUM(P30:P31)</f>
      </c>
      <c r="Q33" s="22">
        <f>SUM(Q30:Q31)</f>
      </c>
      <c r="R33" s="22">
        <f>SUM(R30:R31)</f>
      </c>
      <c r="S33" s="22">
        <f>SUM(S30:S31)</f>
      </c>
      <c r="T33" s="22">
        <f>SUM(T30:T31)</f>
      </c>
      <c r="U33" s="22">
        <f>SUM(U30:U31)</f>
      </c>
      <c r="V33" s="22">
        <f>SUM(V30:V31)</f>
      </c>
      <c r="W33" s="22">
        <f>SUM(W30:W31)</f>
      </c>
      <c r="X33" s="22">
        <f>SUM(X30:X31)</f>
      </c>
      <c r="Y33" s="22">
        <f>SUM(Y30:Y31)</f>
      </c>
      <c r="Z33" s="22">
        <f>SUM(Z30:Z31)</f>
      </c>
      <c r="AA33" s="22">
        <f>SUM(AA30:AA31)</f>
      </c>
      <c r="AB33" s="22">
        <f>SUM(AB30:AB31)</f>
      </c>
      <c r="AC33" s="22">
        <f>SUM(AC30:AC31)</f>
      </c>
      <c r="AD33" s="22">
        <f>SUM(AD30:AD31)</f>
      </c>
      <c r="AE33" s="22">
        <f>SUM(AE30:AE31)</f>
      </c>
      <c r="AF33" s="22">
        <f>SUM(AF30:AF31)</f>
      </c>
      <c r="AG33" s="22">
        <f>SUM(AG30:AG31)</f>
      </c>
      <c r="AH33" s="22">
        <f>SUM(AH30:AH31)</f>
      </c>
      <c r="AI33" s="22">
        <f>SUM(AI30:AI31)</f>
      </c>
      <c r="AJ33" s="22">
        <f>SUM(AJ30:AJ31)</f>
      </c>
      <c r="AK33" s="22">
        <f>SUM(AK30:AK31)</f>
      </c>
      <c r="AL33" s="22">
        <f>SUM(AL30:AL31)</f>
      </c>
      <c r="AM33" s="23"/>
    </row>
    <row r="35" ht="13.5" customHeight="1" spans="2:39" x14ac:dyDescent="0.25">
      <c r="B35" s="46"/>
      <c r="C35" s="28"/>
      <c r="D35" s="47" t="s">
        <v>44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9"/>
    </row>
    <row r="36" ht="13.5" customHeight="1" spans="2:39" x14ac:dyDescent="0.25">
      <c r="B36" s="51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0"/>
    </row>
    <row r="37" ht="13.5" customHeight="1" spans="2:39" x14ac:dyDescent="0.25">
      <c r="B37" s="20"/>
      <c r="C37" s="21"/>
      <c r="D37" s="21" t="s">
        <v>90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3"/>
    </row>
    <row r="40" ht="12.75" customHeight="1" spans="2:39" x14ac:dyDescent="0.25">
      <c r="B40" s="11" t="s">
        <v>40</v>
      </c>
      <c r="C40" s="12"/>
      <c r="D40" s="12"/>
      <c r="E40" s="12"/>
      <c r="F40" s="12"/>
      <c r="G40" s="52" t="s">
        <v>7</v>
      </c>
      <c r="H40" s="52" t="s">
        <v>8</v>
      </c>
      <c r="I40" s="52" t="s">
        <v>9</v>
      </c>
      <c r="J40" s="52" t="s">
        <v>10</v>
      </c>
      <c r="K40" s="52" t="s">
        <v>11</v>
      </c>
      <c r="L40" s="52" t="s">
        <v>12</v>
      </c>
      <c r="M40" s="52" t="s">
        <v>13</v>
      </c>
      <c r="N40" s="52" t="s">
        <v>14</v>
      </c>
      <c r="O40" s="52" t="s">
        <v>15</v>
      </c>
      <c r="P40" s="52" t="s">
        <v>16</v>
      </c>
      <c r="Q40" s="52" t="s">
        <v>17</v>
      </c>
      <c r="R40" s="52" t="s">
        <v>18</v>
      </c>
      <c r="S40" s="52" t="s">
        <v>19</v>
      </c>
      <c r="T40" s="52" t="s">
        <v>20</v>
      </c>
      <c r="U40" s="52" t="s">
        <v>21</v>
      </c>
      <c r="V40" s="52" t="s">
        <v>22</v>
      </c>
      <c r="W40" s="52" t="s">
        <v>23</v>
      </c>
      <c r="X40" s="52" t="s">
        <v>24</v>
      </c>
      <c r="Y40" s="52" t="s">
        <v>25</v>
      </c>
      <c r="Z40" s="52" t="s">
        <v>26</v>
      </c>
      <c r="AA40" s="52" t="s">
        <v>27</v>
      </c>
      <c r="AB40" s="52" t="s">
        <v>28</v>
      </c>
      <c r="AC40" s="52" t="s">
        <v>29</v>
      </c>
      <c r="AD40" s="52" t="s">
        <v>30</v>
      </c>
      <c r="AE40" s="52" t="s">
        <v>31</v>
      </c>
      <c r="AF40" s="52" t="s">
        <v>32</v>
      </c>
      <c r="AG40" s="52" t="s">
        <v>33</v>
      </c>
      <c r="AH40" s="52" t="s">
        <v>34</v>
      </c>
      <c r="AI40" s="52" t="s">
        <v>35</v>
      </c>
      <c r="AJ40" s="52" t="s">
        <v>36</v>
      </c>
      <c r="AK40" s="52" t="s">
        <v>37</v>
      </c>
      <c r="AL40" s="52" t="s">
        <v>38</v>
      </c>
      <c r="AM40" s="15"/>
    </row>
    <row r="41" ht="12.75" customHeight="1" spans="2:39" x14ac:dyDescent="0.25">
      <c r="B41" s="16"/>
      <c r="C41" s="17"/>
      <c r="D41" s="17" t="s">
        <v>41</v>
      </c>
      <c r="E41" s="17"/>
      <c r="F41" s="17"/>
      <c r="G41" s="18">
        <f>G11</f>
      </c>
      <c r="H41" s="18">
        <f>H11</f>
      </c>
      <c r="I41" s="18">
        <f>I11</f>
      </c>
      <c r="J41" s="18">
        <f>J11</f>
      </c>
      <c r="K41" s="18">
        <f>K11</f>
      </c>
      <c r="L41" s="18">
        <f>L11</f>
      </c>
      <c r="M41" s="18">
        <f>M11</f>
      </c>
      <c r="N41" s="18">
        <f>N11</f>
      </c>
      <c r="O41" s="18">
        <f>O11</f>
      </c>
      <c r="P41" s="18">
        <f>P11</f>
      </c>
      <c r="Q41" s="18">
        <f>Q11</f>
      </c>
      <c r="R41" s="18">
        <f>R11</f>
      </c>
      <c r="S41" s="18">
        <f>S11</f>
      </c>
      <c r="T41" s="18">
        <f>T11</f>
      </c>
      <c r="U41" s="18">
        <f>U11</f>
      </c>
      <c r="V41" s="18">
        <f>V11</f>
      </c>
      <c r="W41" s="18">
        <f>W11</f>
      </c>
      <c r="X41" s="18">
        <f>X11</f>
      </c>
      <c r="Y41" s="18">
        <f>Y11</f>
      </c>
      <c r="Z41" s="18">
        <f>Z11</f>
      </c>
      <c r="AA41" s="18">
        <f>AA11</f>
      </c>
      <c r="AB41" s="18">
        <f>AB11</f>
      </c>
      <c r="AC41" s="18">
        <f>AC11</f>
      </c>
      <c r="AD41" s="18">
        <f>AD11</f>
      </c>
      <c r="AE41" s="18">
        <f>AE11</f>
      </c>
      <c r="AF41" s="18">
        <f>AF11</f>
      </c>
      <c r="AG41" s="18">
        <f>AG11</f>
      </c>
      <c r="AH41" s="18">
        <f>AH11</f>
      </c>
      <c r="AI41" s="18">
        <f>AI11</f>
      </c>
      <c r="AJ41" s="18">
        <f>AJ11</f>
      </c>
      <c r="AK41" s="18">
        <f>AK11</f>
      </c>
      <c r="AL41" s="18">
        <f>AL11</f>
      </c>
      <c r="AM41" s="19"/>
    </row>
    <row r="42" ht="12.75" customHeight="1" spans="2:39" x14ac:dyDescent="0.25">
      <c r="B42" s="16"/>
      <c r="C42" s="17"/>
      <c r="D42" s="17" t="s">
        <v>42</v>
      </c>
      <c r="E42" s="17"/>
      <c r="F42" s="17"/>
      <c r="G42" s="18">
        <f>G27</f>
      </c>
      <c r="H42" s="18">
        <f>H27</f>
      </c>
      <c r="I42" s="18">
        <f>I27</f>
      </c>
      <c r="J42" s="18">
        <f>J27</f>
      </c>
      <c r="K42" s="18">
        <f>K27</f>
      </c>
      <c r="L42" s="18">
        <f>L27</f>
      </c>
      <c r="M42" s="18">
        <f>M27</f>
      </c>
      <c r="N42" s="18">
        <f>N27</f>
      </c>
      <c r="O42" s="18">
        <f>O27</f>
      </c>
      <c r="P42" s="18">
        <f>P27</f>
      </c>
      <c r="Q42" s="18">
        <f>Q27</f>
      </c>
      <c r="R42" s="18">
        <f>R27</f>
      </c>
      <c r="S42" s="18">
        <f>S27</f>
      </c>
      <c r="T42" s="18">
        <f>T27</f>
      </c>
      <c r="U42" s="18">
        <f>U27</f>
      </c>
      <c r="V42" s="18">
        <f>V27</f>
      </c>
      <c r="W42" s="18">
        <f>W27</f>
      </c>
      <c r="X42" s="18">
        <f>X27</f>
      </c>
      <c r="Y42" s="18">
        <f>Y27</f>
      </c>
      <c r="Z42" s="18">
        <f>Z27</f>
      </c>
      <c r="AA42" s="18">
        <f>AA27</f>
      </c>
      <c r="AB42" s="18">
        <f>AB27</f>
      </c>
      <c r="AC42" s="18">
        <f>AC27</f>
      </c>
      <c r="AD42" s="18">
        <f>AD27</f>
      </c>
      <c r="AE42" s="18">
        <f>AE27</f>
      </c>
      <c r="AF42" s="18">
        <f>AF27</f>
      </c>
      <c r="AG42" s="18">
        <f>AG27</f>
      </c>
      <c r="AH42" s="18">
        <f>AH27</f>
      </c>
      <c r="AI42" s="18">
        <f>AI27</f>
      </c>
      <c r="AJ42" s="18">
        <f>AJ27</f>
      </c>
      <c r="AK42" s="18">
        <f>AK27</f>
      </c>
      <c r="AL42" s="18">
        <f>AL27</f>
      </c>
      <c r="AM42" s="19"/>
    </row>
    <row r="43" ht="12.75" customHeight="1" spans="2:39" x14ac:dyDescent="0.25">
      <c r="B43" s="16"/>
      <c r="C43" s="17"/>
      <c r="D43" s="17" t="s">
        <v>43</v>
      </c>
      <c r="E43" s="17"/>
      <c r="F43" s="17"/>
      <c r="G43" s="18">
        <f>G33</f>
      </c>
      <c r="H43" s="18">
        <f>H33</f>
      </c>
      <c r="I43" s="18">
        <f>I33</f>
      </c>
      <c r="J43" s="18">
        <f>J33</f>
      </c>
      <c r="K43" s="18">
        <f>K33</f>
      </c>
      <c r="L43" s="18">
        <f>L33</f>
      </c>
      <c r="M43" s="18">
        <f>M33</f>
      </c>
      <c r="N43" s="18">
        <f>N33</f>
      </c>
      <c r="O43" s="18">
        <f>O33</f>
      </c>
      <c r="P43" s="18">
        <f>P33</f>
      </c>
      <c r="Q43" s="18">
        <f>Q33</f>
      </c>
      <c r="R43" s="18">
        <f>R33</f>
      </c>
      <c r="S43" s="18">
        <f>S33</f>
      </c>
      <c r="T43" s="18">
        <f>T33</f>
      </c>
      <c r="U43" s="18">
        <f>U33</f>
      </c>
      <c r="V43" s="18">
        <f>V33</f>
      </c>
      <c r="W43" s="18">
        <f>W33</f>
      </c>
      <c r="X43" s="18">
        <f>X33</f>
      </c>
      <c r="Y43" s="18">
        <f>Y33</f>
      </c>
      <c r="Z43" s="18">
        <f>Z33</f>
      </c>
      <c r="AA43" s="18">
        <f>AA33</f>
      </c>
      <c r="AB43" s="18">
        <f>AB33</f>
      </c>
      <c r="AC43" s="18">
        <f>AC33</f>
      </c>
      <c r="AD43" s="18">
        <f>AD33</f>
      </c>
      <c r="AE43" s="18">
        <f>AE33</f>
      </c>
      <c r="AF43" s="18">
        <f>AF33</f>
      </c>
      <c r="AG43" s="18">
        <f>AG33</f>
      </c>
      <c r="AH43" s="18">
        <f>AH33</f>
      </c>
      <c r="AI43" s="18">
        <f>AI33</f>
      </c>
      <c r="AJ43" s="18">
        <f>AJ33</f>
      </c>
      <c r="AK43" s="18">
        <f>AK33</f>
      </c>
      <c r="AL43" s="18">
        <f>AL33</f>
      </c>
      <c r="AM43" s="19"/>
    </row>
    <row r="44" ht="12.75" customHeight="1" spans="2:39" x14ac:dyDescent="0.25">
      <c r="B44" s="16"/>
      <c r="C44" s="17"/>
      <c r="D44" s="17" t="s">
        <v>44</v>
      </c>
      <c r="E44" s="17"/>
      <c r="F44" s="17"/>
      <c r="G44" s="18">
        <f>G37</f>
      </c>
      <c r="H44" s="18">
        <f>H37</f>
      </c>
      <c r="I44" s="18">
        <f>I37</f>
      </c>
      <c r="J44" s="18">
        <f>J37</f>
      </c>
      <c r="K44" s="18">
        <f>K37</f>
      </c>
      <c r="L44" s="18">
        <f>L37</f>
      </c>
      <c r="M44" s="18">
        <f>M37</f>
      </c>
      <c r="N44" s="18">
        <f>N37</f>
      </c>
      <c r="O44" s="18">
        <f>O37</f>
      </c>
      <c r="P44" s="18">
        <f>P37</f>
      </c>
      <c r="Q44" s="18">
        <f>Q37</f>
      </c>
      <c r="R44" s="18">
        <f>R37</f>
      </c>
      <c r="S44" s="18">
        <f>S37</f>
      </c>
      <c r="T44" s="18">
        <f>T37</f>
      </c>
      <c r="U44" s="18">
        <f>U37</f>
      </c>
      <c r="V44" s="18">
        <f>V37</f>
      </c>
      <c r="W44" s="18">
        <f>W37</f>
      </c>
      <c r="X44" s="18">
        <f>X37</f>
      </c>
      <c r="Y44" s="18">
        <f>Y37</f>
      </c>
      <c r="Z44" s="18">
        <f>Z37</f>
      </c>
      <c r="AA44" s="18">
        <f>AA37</f>
      </c>
      <c r="AB44" s="18">
        <f>AB37</f>
      </c>
      <c r="AC44" s="18">
        <f>AC37</f>
      </c>
      <c r="AD44" s="18">
        <f>AD37</f>
      </c>
      <c r="AE44" s="18">
        <f>AE37</f>
      </c>
      <c r="AF44" s="18">
        <f>AF37</f>
      </c>
      <c r="AG44" s="18">
        <f>AG37</f>
      </c>
      <c r="AH44" s="18">
        <f>AH37</f>
      </c>
      <c r="AI44" s="18">
        <f>AI37</f>
      </c>
      <c r="AJ44" s="18">
        <f>AJ37</f>
      </c>
      <c r="AK44" s="18">
        <f>AK37</f>
      </c>
      <c r="AL44" s="18">
        <f>AL37</f>
      </c>
      <c r="AM44" s="19"/>
    </row>
    <row r="45" ht="12.75" customHeight="1" spans="2:39" x14ac:dyDescent="0.25">
      <c r="B45" s="20"/>
      <c r="C45" s="21"/>
      <c r="D45" s="21" t="s">
        <v>45</v>
      </c>
      <c r="E45" s="21"/>
      <c r="F45" s="21"/>
      <c r="G45" s="22">
        <f>G41+G42+G43+G44</f>
      </c>
      <c r="H45" s="22">
        <f>H41+H42+H43+H44</f>
      </c>
      <c r="I45" s="22">
        <f>I41+I42+I43+I44</f>
      </c>
      <c r="J45" s="22">
        <f>J41+J42+J43+J44</f>
      </c>
      <c r="K45" s="22">
        <f>K41+K42+K43+K44</f>
      </c>
      <c r="L45" s="22">
        <f>L41+L42+L43+L44</f>
      </c>
      <c r="M45" s="22">
        <f>M41+M42+M43+M44</f>
      </c>
      <c r="N45" s="22">
        <f>N41+N42+N43+N44</f>
      </c>
      <c r="O45" s="22">
        <f>O41+O42+O43+O44</f>
      </c>
      <c r="P45" s="22">
        <f>P41+P42+P43+P44</f>
      </c>
      <c r="Q45" s="22">
        <f>Q41+Q42+Q43+Q44</f>
      </c>
      <c r="R45" s="22">
        <f>R41+R42+R43+R44</f>
      </c>
      <c r="S45" s="22">
        <f>S41+S42+S43+S44</f>
      </c>
      <c r="T45" s="22">
        <f>T41+T42+T43+T44</f>
      </c>
      <c r="U45" s="22">
        <f>U41+U42+U43+U44</f>
      </c>
      <c r="V45" s="22">
        <f>V41+V42+V43+V44</f>
      </c>
      <c r="W45" s="22">
        <f>W41+W42+W43+W44</f>
      </c>
      <c r="X45" s="22">
        <f>X41+X42+X43+X44</f>
      </c>
      <c r="Y45" s="22">
        <f>Y41+Y42+Y43+Y44</f>
      </c>
      <c r="Z45" s="22">
        <f>Z41+Z42+Z43+Z44</f>
      </c>
      <c r="AA45" s="22">
        <f>AA41+AA42+AA43+AA44</f>
      </c>
      <c r="AB45" s="22">
        <f>AB41+AB42+AB43+AB44</f>
      </c>
      <c r="AC45" s="22">
        <f>AC41+AC42+AC43+AC44</f>
      </c>
      <c r="AD45" s="22">
        <f>AD41+AD42+AD43+AD44</f>
      </c>
      <c r="AE45" s="22">
        <f>AE41+AE42+AE43+AE44</f>
      </c>
      <c r="AF45" s="22">
        <f>AF41+AF42+AF43+AF44</f>
      </c>
      <c r="AG45" s="22">
        <f>AG41+AG42+AG43+AG44</f>
      </c>
      <c r="AH45" s="22">
        <f>AH41+AH42+AH43+AH44</f>
      </c>
      <c r="AI45" s="22">
        <f>AI41+AI42+AI43+AI44</f>
      </c>
      <c r="AJ45" s="22">
        <f>AJ41+AJ42+AJ43+AJ44</f>
      </c>
      <c r="AK45" s="22">
        <f>AK41+AK42+AK43+AK44</f>
      </c>
      <c r="AL45" s="22">
        <f>AL41+AL42+AL43+AL44</f>
      </c>
      <c r="AM45" s="23"/>
    </row>
    <row r="47" ht="12.75" customHeight="1" spans="2:39" x14ac:dyDescent="0.25">
      <c r="B47" s="11" t="s">
        <v>46</v>
      </c>
      <c r="C47" s="12"/>
      <c r="D47" s="12"/>
      <c r="E47" s="12"/>
      <c r="F47" s="12"/>
      <c r="G47" s="52" t="s">
        <v>7</v>
      </c>
      <c r="H47" s="52" t="s">
        <v>8</v>
      </c>
      <c r="I47" s="52" t="s">
        <v>9</v>
      </c>
      <c r="J47" s="52" t="s">
        <v>10</v>
      </c>
      <c r="K47" s="52" t="s">
        <v>11</v>
      </c>
      <c r="L47" s="52" t="s">
        <v>12</v>
      </c>
      <c r="M47" s="52" t="s">
        <v>13</v>
      </c>
      <c r="N47" s="52" t="s">
        <v>14</v>
      </c>
      <c r="O47" s="52" t="s">
        <v>15</v>
      </c>
      <c r="P47" s="52" t="s">
        <v>16</v>
      </c>
      <c r="Q47" s="52" t="s">
        <v>17</v>
      </c>
      <c r="R47" s="52" t="s">
        <v>18</v>
      </c>
      <c r="S47" s="52" t="s">
        <v>19</v>
      </c>
      <c r="T47" s="52" t="s">
        <v>20</v>
      </c>
      <c r="U47" s="52" t="s">
        <v>21</v>
      </c>
      <c r="V47" s="52" t="s">
        <v>22</v>
      </c>
      <c r="W47" s="52" t="s">
        <v>23</v>
      </c>
      <c r="X47" s="52" t="s">
        <v>24</v>
      </c>
      <c r="Y47" s="52" t="s">
        <v>25</v>
      </c>
      <c r="Z47" s="52" t="s">
        <v>26</v>
      </c>
      <c r="AA47" s="52" t="s">
        <v>27</v>
      </c>
      <c r="AB47" s="52" t="s">
        <v>28</v>
      </c>
      <c r="AC47" s="52" t="s">
        <v>29</v>
      </c>
      <c r="AD47" s="52" t="s">
        <v>30</v>
      </c>
      <c r="AE47" s="52" t="s">
        <v>31</v>
      </c>
      <c r="AF47" s="52" t="s">
        <v>32</v>
      </c>
      <c r="AG47" s="52" t="s">
        <v>33</v>
      </c>
      <c r="AH47" s="52" t="s">
        <v>34</v>
      </c>
      <c r="AI47" s="52" t="s">
        <v>35</v>
      </c>
      <c r="AJ47" s="52" t="s">
        <v>36</v>
      </c>
      <c r="AK47" s="52" t="s">
        <v>37</v>
      </c>
      <c r="AL47" s="52" t="s">
        <v>38</v>
      </c>
      <c r="AM47" s="15"/>
    </row>
    <row r="48" ht="12.75" customHeight="1" spans="2:39" x14ac:dyDescent="0.25">
      <c r="B48" s="16"/>
      <c r="C48" s="17"/>
      <c r="D48" s="17" t="s">
        <v>41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16"/>
      <c r="C49" s="17"/>
      <c r="D49" s="17" t="s">
        <v>42</v>
      </c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9"/>
    </row>
    <row r="50" ht="12.75" customHeight="1" spans="2:39" x14ac:dyDescent="0.25">
      <c r="B50" s="16"/>
      <c r="C50" s="17"/>
      <c r="D50" s="17" t="s">
        <v>43</v>
      </c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9"/>
    </row>
    <row r="51" ht="12.75" customHeight="1" spans="2:39" x14ac:dyDescent="0.25">
      <c r="B51" s="16"/>
      <c r="C51" s="17"/>
      <c r="D51" s="17" t="s">
        <v>44</v>
      </c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9"/>
    </row>
    <row r="52" ht="12.75" customHeight="1" spans="2:39" x14ac:dyDescent="0.25">
      <c r="B52" s="20"/>
      <c r="C52" s="21"/>
      <c r="D52" s="21" t="s">
        <v>45</v>
      </c>
      <c r="E52" s="21"/>
      <c r="F52" s="21"/>
      <c r="G52" s="22">
        <f>G48+G49+G50+G51</f>
      </c>
      <c r="H52" s="22">
        <f>H48+H49+H50+H51</f>
      </c>
      <c r="I52" s="22">
        <f>I48+I49+I50+I51</f>
      </c>
      <c r="J52" s="22">
        <f>J48+J49+J50+J51</f>
      </c>
      <c r="K52" s="22">
        <f>K48+K49+K50+K51</f>
      </c>
      <c r="L52" s="22">
        <f>L48+L49+L50+L51</f>
      </c>
      <c r="M52" s="22">
        <f>M48+M49+M50+M51</f>
      </c>
      <c r="N52" s="22">
        <f>N48+N49+N50+N51</f>
      </c>
      <c r="O52" s="22">
        <f>O48+O49+O50+O51</f>
      </c>
      <c r="P52" s="22">
        <f>P48+P49+P50+P51</f>
      </c>
      <c r="Q52" s="22">
        <f>Q48+Q49+Q50+Q51</f>
      </c>
      <c r="R52" s="22">
        <f>R48+R49+R50+R51</f>
      </c>
      <c r="S52" s="22">
        <f>S48+S49+S50+S51</f>
      </c>
      <c r="T52" s="22">
        <f>T48+T49+T50+T51</f>
      </c>
      <c r="U52" s="22">
        <f>U48+U49+U50+U51</f>
      </c>
      <c r="V52" s="22">
        <f>V48+V49+V50+V51</f>
      </c>
      <c r="W52" s="22">
        <f>W48+W49+W50+W51</f>
      </c>
      <c r="X52" s="22">
        <f>X48+X49+X50+X51</f>
      </c>
      <c r="Y52" s="22">
        <f>Y48+Y49+Y50+Y51</f>
      </c>
      <c r="Z52" s="22">
        <f>Z48+Z49+Z50+Z51</f>
      </c>
      <c r="AA52" s="22">
        <f>AA48+AA49+AA50+AA51</f>
      </c>
      <c r="AB52" s="22">
        <f>AB48+AB49+AB50+AB51</f>
      </c>
      <c r="AC52" s="22">
        <f>AC48+AC49+AC50+AC51</f>
      </c>
      <c r="AD52" s="22">
        <f>AD48+AD49+AD50+AD51</f>
      </c>
      <c r="AE52" s="22">
        <f>AE48+AE49+AE50+AE51</f>
      </c>
      <c r="AF52" s="22">
        <f>AF48+AF49+AF50+AF51</f>
      </c>
      <c r="AG52" s="22">
        <f>AG48+AG49+AG50+AG51</f>
      </c>
      <c r="AH52" s="22">
        <f>AH48+AH49+AH50+AH51</f>
      </c>
      <c r="AI52" s="22">
        <f>AI48+AI49+AI50+AI51</f>
      </c>
      <c r="AJ52" s="22">
        <f>AJ48+AJ49+AJ50+AJ51</f>
      </c>
      <c r="AK52" s="22">
        <f>AK48+AK49+AK50+AK51</f>
      </c>
      <c r="AL52" s="22">
        <f>AL48+AL49+AL50+AL51</f>
      </c>
      <c r="AM52" s="23"/>
    </row>
    <row r="54" ht="12.75" customHeight="1" spans="2:39" x14ac:dyDescent="0.25">
      <c r="B54" s="11" t="s">
        <v>47</v>
      </c>
      <c r="C54" s="12"/>
      <c r="D54" s="12"/>
      <c r="E54" s="12"/>
      <c r="F54" s="12"/>
      <c r="G54" s="52" t="s">
        <v>7</v>
      </c>
      <c r="H54" s="52" t="s">
        <v>8</v>
      </c>
      <c r="I54" s="52" t="s">
        <v>9</v>
      </c>
      <c r="J54" s="52" t="s">
        <v>10</v>
      </c>
      <c r="K54" s="52" t="s">
        <v>11</v>
      </c>
      <c r="L54" s="52" t="s">
        <v>12</v>
      </c>
      <c r="M54" s="52" t="s">
        <v>13</v>
      </c>
      <c r="N54" s="52" t="s">
        <v>14</v>
      </c>
      <c r="O54" s="52" t="s">
        <v>15</v>
      </c>
      <c r="P54" s="52" t="s">
        <v>16</v>
      </c>
      <c r="Q54" s="52" t="s">
        <v>17</v>
      </c>
      <c r="R54" s="52" t="s">
        <v>18</v>
      </c>
      <c r="S54" s="52" t="s">
        <v>19</v>
      </c>
      <c r="T54" s="52" t="s">
        <v>20</v>
      </c>
      <c r="U54" s="52" t="s">
        <v>21</v>
      </c>
      <c r="V54" s="52" t="s">
        <v>22</v>
      </c>
      <c r="W54" s="52" t="s">
        <v>23</v>
      </c>
      <c r="X54" s="52" t="s">
        <v>24</v>
      </c>
      <c r="Y54" s="52" t="s">
        <v>25</v>
      </c>
      <c r="Z54" s="52" t="s">
        <v>26</v>
      </c>
      <c r="AA54" s="52" t="s">
        <v>27</v>
      </c>
      <c r="AB54" s="52" t="s">
        <v>28</v>
      </c>
      <c r="AC54" s="52" t="s">
        <v>29</v>
      </c>
      <c r="AD54" s="52" t="s">
        <v>30</v>
      </c>
      <c r="AE54" s="52" t="s">
        <v>31</v>
      </c>
      <c r="AF54" s="52" t="s">
        <v>32</v>
      </c>
      <c r="AG54" s="52" t="s">
        <v>33</v>
      </c>
      <c r="AH54" s="52" t="s">
        <v>34</v>
      </c>
      <c r="AI54" s="52" t="s">
        <v>35</v>
      </c>
      <c r="AJ54" s="52" t="s">
        <v>36</v>
      </c>
      <c r="AK54" s="52" t="s">
        <v>37</v>
      </c>
      <c r="AL54" s="52" t="s">
        <v>38</v>
      </c>
      <c r="AM54" s="15"/>
    </row>
    <row r="55" ht="12.75" customHeight="1" spans="2:39" x14ac:dyDescent="0.25">
      <c r="B55" s="16"/>
      <c r="C55" s="17"/>
      <c r="D55" s="17" t="s">
        <v>41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16"/>
      <c r="C56" s="17"/>
      <c r="D56" s="17" t="s">
        <v>42</v>
      </c>
      <c r="E56" s="17"/>
      <c r="F56" s="17"/>
      <c r="G56" s="24">
        <f>G49-G42</f>
      </c>
      <c r="H56" s="24">
        <f>H49-H42</f>
      </c>
      <c r="I56" s="24">
        <f>I49-I42</f>
      </c>
      <c r="J56" s="24">
        <f>J49-J42</f>
      </c>
      <c r="K56" s="24">
        <f>K49-K42</f>
      </c>
      <c r="L56" s="24">
        <f>L49-L42</f>
      </c>
      <c r="M56" s="24">
        <f>M49-M42</f>
      </c>
      <c r="N56" s="24">
        <f>N49-N42</f>
      </c>
      <c r="O56" s="24">
        <f>O49-O42</f>
      </c>
      <c r="P56" s="24">
        <f>P49-P42</f>
      </c>
      <c r="Q56" s="24">
        <f>Q49-Q42</f>
      </c>
      <c r="R56" s="24">
        <f>R49-R42</f>
      </c>
      <c r="S56" s="24">
        <f>S49-S42</f>
      </c>
      <c r="T56" s="24">
        <f>T49-T42</f>
      </c>
      <c r="U56" s="24">
        <f>U49-U42</f>
      </c>
      <c r="V56" s="24">
        <f>V49-V42</f>
      </c>
      <c r="W56" s="24">
        <f>W49-W42</f>
      </c>
      <c r="X56" s="24">
        <f>X49-X42</f>
      </c>
      <c r="Y56" s="24">
        <f>Y49-Y42</f>
      </c>
      <c r="Z56" s="24">
        <f>Z49-Z42</f>
      </c>
      <c r="AA56" s="24">
        <f>AA49-AA42</f>
      </c>
      <c r="AB56" s="24">
        <f>AB49-AB42</f>
      </c>
      <c r="AC56" s="24">
        <f>AC49-AC42</f>
      </c>
      <c r="AD56" s="24">
        <f>AD49-AD42</f>
      </c>
      <c r="AE56" s="24">
        <f>AE49-AE42</f>
      </c>
      <c r="AF56" s="24">
        <f>AF49-AF42</f>
      </c>
      <c r="AG56" s="24">
        <f>AG49-AG42</f>
      </c>
      <c r="AH56" s="24">
        <f>AH49-AH42</f>
      </c>
      <c r="AI56" s="24">
        <f>AI49-AI42</f>
      </c>
      <c r="AJ56" s="24">
        <f>AJ49-AJ42</f>
      </c>
      <c r="AK56" s="24">
        <f>AK49-AK42</f>
      </c>
      <c r="AL56" s="24">
        <f>AL49-AL42</f>
      </c>
      <c r="AM56" s="19"/>
    </row>
    <row r="57" ht="12.75" customHeight="1" spans="2:39" x14ac:dyDescent="0.25">
      <c r="B57" s="16"/>
      <c r="C57" s="17"/>
      <c r="D57" s="17" t="s">
        <v>43</v>
      </c>
      <c r="E57" s="17"/>
      <c r="F57" s="17"/>
      <c r="G57" s="24">
        <f>G50-G43</f>
      </c>
      <c r="H57" s="24">
        <f>H50-H43</f>
      </c>
      <c r="I57" s="24">
        <f>I50-I43</f>
      </c>
      <c r="J57" s="24">
        <f>J50-J43</f>
      </c>
      <c r="K57" s="24">
        <f>K50-K43</f>
      </c>
      <c r="L57" s="24">
        <f>L50-L43</f>
      </c>
      <c r="M57" s="24">
        <f>M50-M43</f>
      </c>
      <c r="N57" s="24">
        <f>N50-N43</f>
      </c>
      <c r="O57" s="24">
        <f>O50-O43</f>
      </c>
      <c r="P57" s="24">
        <f>P50-P43</f>
      </c>
      <c r="Q57" s="24">
        <f>Q50-Q43</f>
      </c>
      <c r="R57" s="24">
        <f>R50-R43</f>
      </c>
      <c r="S57" s="24">
        <f>S50-S43</f>
      </c>
      <c r="T57" s="24">
        <f>T50-T43</f>
      </c>
      <c r="U57" s="24">
        <f>U50-U43</f>
      </c>
      <c r="V57" s="24">
        <f>V50-V43</f>
      </c>
      <c r="W57" s="24">
        <f>W50-W43</f>
      </c>
      <c r="X57" s="24">
        <f>X50-X43</f>
      </c>
      <c r="Y57" s="24">
        <f>Y50-Y43</f>
      </c>
      <c r="Z57" s="24">
        <f>Z50-Z43</f>
      </c>
      <c r="AA57" s="24">
        <f>AA50-AA43</f>
      </c>
      <c r="AB57" s="24">
        <f>AB50-AB43</f>
      </c>
      <c r="AC57" s="24">
        <f>AC50-AC43</f>
      </c>
      <c r="AD57" s="24">
        <f>AD50-AD43</f>
      </c>
      <c r="AE57" s="24">
        <f>AE50-AE43</f>
      </c>
      <c r="AF57" s="24">
        <f>AF50-AF43</f>
      </c>
      <c r="AG57" s="24">
        <f>AG50-AG43</f>
      </c>
      <c r="AH57" s="24">
        <f>AH50-AH43</f>
      </c>
      <c r="AI57" s="24">
        <f>AI50-AI43</f>
      </c>
      <c r="AJ57" s="24">
        <f>AJ50-AJ43</f>
      </c>
      <c r="AK57" s="24">
        <f>AK50-AK43</f>
      </c>
      <c r="AL57" s="24">
        <f>AL50-AL43</f>
      </c>
      <c r="AM57" s="19"/>
    </row>
    <row r="58" ht="12.75" customHeight="1" spans="2:39" x14ac:dyDescent="0.25">
      <c r="B58" s="16"/>
      <c r="C58" s="17"/>
      <c r="D58" s="17" t="s">
        <v>44</v>
      </c>
      <c r="E58" s="17"/>
      <c r="F58" s="17"/>
      <c r="G58" s="24">
        <f>G51-G44</f>
      </c>
      <c r="H58" s="24">
        <f>H51-H44</f>
      </c>
      <c r="I58" s="24">
        <f>I51-I44</f>
      </c>
      <c r="J58" s="24">
        <f>J51-J44</f>
      </c>
      <c r="K58" s="24">
        <f>K51-K44</f>
      </c>
      <c r="L58" s="24">
        <f>L51-L44</f>
      </c>
      <c r="M58" s="24">
        <f>M51-M44</f>
      </c>
      <c r="N58" s="24">
        <f>N51-N44</f>
      </c>
      <c r="O58" s="24">
        <f>O51-O44</f>
      </c>
      <c r="P58" s="24">
        <f>P51-P44</f>
      </c>
      <c r="Q58" s="24">
        <f>Q51-Q44</f>
      </c>
      <c r="R58" s="24">
        <f>R51-R44</f>
      </c>
      <c r="S58" s="24">
        <f>S51-S44</f>
      </c>
      <c r="T58" s="24">
        <f>T51-T44</f>
      </c>
      <c r="U58" s="24">
        <f>U51-U44</f>
      </c>
      <c r="V58" s="24">
        <f>V51-V44</f>
      </c>
      <c r="W58" s="24">
        <f>W51-W44</f>
      </c>
      <c r="X58" s="24">
        <f>X51-X44</f>
      </c>
      <c r="Y58" s="24">
        <f>Y51-Y44</f>
      </c>
      <c r="Z58" s="24">
        <f>Z51-Z44</f>
      </c>
      <c r="AA58" s="24">
        <f>AA51-AA44</f>
      </c>
      <c r="AB58" s="24">
        <f>AB51-AB44</f>
      </c>
      <c r="AC58" s="24">
        <f>AC51-AC44</f>
      </c>
      <c r="AD58" s="24">
        <f>AD51-AD44</f>
      </c>
      <c r="AE58" s="24">
        <f>AE51-AE44</f>
      </c>
      <c r="AF58" s="24">
        <f>AF51-AF44</f>
      </c>
      <c r="AG58" s="24">
        <f>AG51-AG44</f>
      </c>
      <c r="AH58" s="24">
        <f>AH51-AH44</f>
      </c>
      <c r="AI58" s="24">
        <f>AI51-AI44</f>
      </c>
      <c r="AJ58" s="24">
        <f>AJ51-AJ44</f>
      </c>
      <c r="AK58" s="24">
        <f>AK51-AK44</f>
      </c>
      <c r="AL58" s="24">
        <f>AL51-AL44</f>
      </c>
      <c r="AM58" s="19"/>
    </row>
    <row r="59" ht="12.75" customHeight="1" spans="2:39" x14ac:dyDescent="0.25">
      <c r="B59" s="20"/>
      <c r="C59" s="21"/>
      <c r="D59" s="21" t="s">
        <v>45</v>
      </c>
      <c r="E59" s="21"/>
      <c r="F59" s="21"/>
      <c r="G59" s="25">
        <f>G55+G56+G57+G58</f>
      </c>
      <c r="H59" s="25">
        <f>H55+H56+H57+H58</f>
      </c>
      <c r="I59" s="25">
        <f>I55+I56+I57+I58</f>
      </c>
      <c r="J59" s="25">
        <f>J55+J56+J57+J58</f>
      </c>
      <c r="K59" s="25">
        <f>K55+K56+K57+K58</f>
      </c>
      <c r="L59" s="25">
        <f>L55+L56+L57+L58</f>
      </c>
      <c r="M59" s="25">
        <f>M55+M56+M57+M58</f>
      </c>
      <c r="N59" s="25">
        <f>N55+N56+N57+N58</f>
      </c>
      <c r="O59" s="25">
        <f>O55+O56+O57+O58</f>
      </c>
      <c r="P59" s="25">
        <f>P55+P56+P57+P58</f>
      </c>
      <c r="Q59" s="25">
        <f>Q55+Q56+Q57+Q58</f>
      </c>
      <c r="R59" s="25">
        <f>R55+R56+R57+R58</f>
      </c>
      <c r="S59" s="25">
        <f>S55+S56+S57+S58</f>
      </c>
      <c r="T59" s="25">
        <f>T55+T56+T57+T58</f>
      </c>
      <c r="U59" s="25">
        <f>U55+U56+U57+U58</f>
      </c>
      <c r="V59" s="25">
        <f>V55+V56+V57+V58</f>
      </c>
      <c r="W59" s="25">
        <f>W55+W56+W57+W58</f>
      </c>
      <c r="X59" s="25">
        <f>X55+X56+X57+X58</f>
      </c>
      <c r="Y59" s="25">
        <f>Y55+Y56+Y57+Y58</f>
      </c>
      <c r="Z59" s="25">
        <f>Z55+Z56+Z57+Z58</f>
      </c>
      <c r="AA59" s="25">
        <f>AA55+AA56+AA57+AA58</f>
      </c>
      <c r="AB59" s="25">
        <f>AB55+AB56+AB57+AB58</f>
      </c>
      <c r="AC59" s="25">
        <f>AC55+AC56+AC57+AC58</f>
      </c>
      <c r="AD59" s="25">
        <f>AD55+AD56+AD57+AD58</f>
      </c>
      <c r="AE59" s="25">
        <f>AE55+AE56+AE57+AE58</f>
      </c>
      <c r="AF59" s="25">
        <f>AF55+AF56+AF57+AF58</f>
      </c>
      <c r="AG59" s="25">
        <f>AG55+AG56+AG57+AG58</f>
      </c>
      <c r="AH59" s="25">
        <f>AH55+AH56+AH57+AH58</f>
      </c>
      <c r="AI59" s="25">
        <f>AI55+AI56+AI57+AI58</f>
      </c>
      <c r="AJ59" s="25">
        <f>AJ55+AJ56+AJ57+AJ58</f>
      </c>
      <c r="AK59" s="25">
        <f>AK55+AK56+AK57+AK58</f>
      </c>
      <c r="AL59" s="25">
        <f>AL55+AL56+AL57+AL58</f>
      </c>
      <c r="AM5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2652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2653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6">
        <f>929.21+1396.65</f>
        <v>2325.86</v>
      </c>
      <c r="U9" s="36">
        <f>1319.50+1249.52+1007.00+20.21+693.65+340.53</f>
        <v>4630.41</v>
      </c>
      <c r="V9" s="33">
        <v>942.48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2654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>
        <v>332.35</v>
      </c>
      <c r="U14" s="33">
        <v>459.52</v>
      </c>
      <c r="V14" s="33">
        <v>394.75</v>
      </c>
      <c r="W14" s="33">
        <v>488.08</v>
      </c>
      <c r="X14" s="33">
        <v>514.45</v>
      </c>
      <c r="Y14" s="33">
        <v>638.23</v>
      </c>
      <c r="Z14" s="33">
        <v>748.77</v>
      </c>
      <c r="AA14" s="33">
        <v>761.76</v>
      </c>
      <c r="AB14" s="33">
        <v>847.73</v>
      </c>
      <c r="AC14" s="33">
        <v>570.1</v>
      </c>
      <c r="AD14" s="33">
        <v>351.08</v>
      </c>
      <c r="AE14" s="33">
        <v>265.65</v>
      </c>
      <c r="AF14" s="33">
        <v>315.91</v>
      </c>
      <c r="AG14" s="33">
        <v>478.87</v>
      </c>
      <c r="AH14" s="33">
        <v>462.67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2655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358.09</v>
      </c>
      <c r="U15" s="33">
        <v>419.91</v>
      </c>
      <c r="V15" s="33">
        <v>425.05</v>
      </c>
      <c r="W15" s="33">
        <v>533.96</v>
      </c>
      <c r="X15" s="33">
        <v>256.98</v>
      </c>
      <c r="Y15" s="33">
        <v>169.06</v>
      </c>
      <c r="Z15" s="33">
        <v>164.75</v>
      </c>
      <c r="AA15" s="33">
        <v>137.97</v>
      </c>
      <c r="AB15" s="33">
        <v>152.12</v>
      </c>
      <c r="AC15" s="33">
        <v>118.71</v>
      </c>
      <c r="AD15" s="33">
        <v>118.39</v>
      </c>
      <c r="AE15" s="33">
        <v>229.29</v>
      </c>
      <c r="AF15" s="33">
        <v>294.94</v>
      </c>
      <c r="AG15" s="33">
        <v>413.07</v>
      </c>
      <c r="AH15" s="33">
        <v>448.01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2656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>
        <v>787.48</v>
      </c>
      <c r="U16" s="33">
        <v>1050.54</v>
      </c>
      <c r="V16" s="33">
        <v>719.07</v>
      </c>
      <c r="W16" s="33">
        <v>643.65</v>
      </c>
      <c r="X16" s="33">
        <v>574.14</v>
      </c>
      <c r="Y16" s="33">
        <v>611.22</v>
      </c>
      <c r="Z16" s="33">
        <v>717.36</v>
      </c>
      <c r="AA16" s="33">
        <v>822.35</v>
      </c>
      <c r="AB16" s="33">
        <v>927</v>
      </c>
      <c r="AC16" s="33">
        <v>690.28</v>
      </c>
      <c r="AD16" s="33">
        <v>393.18</v>
      </c>
      <c r="AE16" s="33">
        <v>576.12</v>
      </c>
      <c r="AF16" s="33">
        <v>851.99</v>
      </c>
      <c r="AG16" s="33">
        <v>933.83</v>
      </c>
      <c r="AH16" s="33">
        <v>784.54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2657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426.83</v>
      </c>
      <c r="U17" s="33">
        <v>849.65</v>
      </c>
      <c r="V17" s="33">
        <v>558.64</v>
      </c>
      <c r="W17" s="33">
        <v>529.57</v>
      </c>
      <c r="X17" s="33">
        <v>383.16</v>
      </c>
      <c r="Y17" s="33">
        <v>522.8</v>
      </c>
      <c r="Z17" s="33">
        <v>624.4</v>
      </c>
      <c r="AA17" s="33">
        <v>754.4</v>
      </c>
      <c r="AB17" s="33">
        <v>910.92</v>
      </c>
      <c r="AC17" s="33">
        <v>549.78</v>
      </c>
      <c r="AD17" s="33">
        <v>469.96</v>
      </c>
      <c r="AE17" s="33">
        <v>389.79</v>
      </c>
      <c r="AF17" s="33">
        <v>388.51</v>
      </c>
      <c r="AG17" s="33">
        <v>513.43</v>
      </c>
      <c r="AH17" s="33">
        <v>417.61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2658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283.83</v>
      </c>
      <c r="U18" s="33">
        <v>471.95</v>
      </c>
      <c r="V18" s="33">
        <v>430.97</v>
      </c>
      <c r="W18" s="33">
        <v>560.38</v>
      </c>
      <c r="X18" s="33">
        <v>285.72</v>
      </c>
      <c r="Y18" s="33">
        <v>292.7</v>
      </c>
      <c r="Z18" s="33">
        <v>414.28</v>
      </c>
      <c r="AA18" s="33">
        <v>477.99</v>
      </c>
      <c r="AB18" s="33">
        <v>637.95</v>
      </c>
      <c r="AC18" s="33">
        <v>227.42</v>
      </c>
      <c r="AD18" s="33">
        <v>118.59</v>
      </c>
      <c r="AE18" s="33">
        <v>319.53</v>
      </c>
      <c r="AF18" s="33">
        <v>376.41</v>
      </c>
      <c r="AG18" s="33">
        <v>498.84</v>
      </c>
      <c r="AH18" s="33">
        <v>476.66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2659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465.08</v>
      </c>
      <c r="U19" s="33">
        <v>606.3</v>
      </c>
      <c r="V19" s="33">
        <v>481.76</v>
      </c>
      <c r="W19" s="33">
        <v>550.7</v>
      </c>
      <c r="X19" s="33">
        <v>675.03</v>
      </c>
      <c r="Y19" s="33">
        <v>754.4</v>
      </c>
      <c r="Z19" s="33">
        <v>897.11</v>
      </c>
      <c r="AA19" s="33">
        <v>1024.91</v>
      </c>
      <c r="AB19" s="33">
        <v>1160.31</v>
      </c>
      <c r="AC19" s="33">
        <v>859.69</v>
      </c>
      <c r="AD19" s="33">
        <v>449.53</v>
      </c>
      <c r="AE19" s="33">
        <v>412.51</v>
      </c>
      <c r="AF19" s="33">
        <v>527.6</v>
      </c>
      <c r="AG19" s="33">
        <v>556.51</v>
      </c>
      <c r="AH19" s="33">
        <v>432.82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2660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249.09</v>
      </c>
      <c r="U20" s="33">
        <v>712.28</v>
      </c>
      <c r="V20" s="33">
        <v>490.62</v>
      </c>
      <c r="W20" s="33">
        <v>464.36</v>
      </c>
      <c r="X20" s="33">
        <v>130.78</v>
      </c>
      <c r="Y20" s="33">
        <v>66.44</v>
      </c>
      <c r="Z20" s="33">
        <v>89.23</v>
      </c>
      <c r="AA20" s="33">
        <v>103.42</v>
      </c>
      <c r="AB20" s="33">
        <v>151.72</v>
      </c>
      <c r="AC20" s="33">
        <v>109.53</v>
      </c>
      <c r="AD20" s="33">
        <v>160.32</v>
      </c>
      <c r="AE20" s="33">
        <v>271.5</v>
      </c>
      <c r="AF20" s="33">
        <v>328.68</v>
      </c>
      <c r="AG20" s="33">
        <v>490.79</v>
      </c>
      <c r="AH20" s="33">
        <v>369.43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2661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>
        <v>680.59</v>
      </c>
      <c r="U21" s="33">
        <v>777.5</v>
      </c>
      <c r="V21" s="33">
        <v>591.14</v>
      </c>
      <c r="W21" s="33">
        <v>636.9</v>
      </c>
      <c r="X21" s="33">
        <v>430.01</v>
      </c>
      <c r="Y21" s="33">
        <v>552.28</v>
      </c>
      <c r="Z21" s="33">
        <v>789.85</v>
      </c>
      <c r="AA21" s="33">
        <v>884.36</v>
      </c>
      <c r="AB21" s="33">
        <v>929.09</v>
      </c>
      <c r="AC21" s="33">
        <v>600.53</v>
      </c>
      <c r="AD21" s="33">
        <v>603.83</v>
      </c>
      <c r="AE21" s="33">
        <v>642.95</v>
      </c>
      <c r="AF21" s="33">
        <v>713.73</v>
      </c>
      <c r="AG21" s="33">
        <v>745.79</v>
      </c>
      <c r="AH21" s="33">
        <v>735.4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2662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>
        <v>902.57</v>
      </c>
      <c r="U22" s="33">
        <v>1233.67</v>
      </c>
      <c r="V22" s="33">
        <v>1028</v>
      </c>
      <c r="W22" s="33">
        <v>1262.53</v>
      </c>
      <c r="X22" s="33">
        <v>963.53</v>
      </c>
      <c r="Y22" s="33">
        <v>1053.02</v>
      </c>
      <c r="Z22" s="33">
        <v>1290.65</v>
      </c>
      <c r="AA22" s="33">
        <v>1325.29</v>
      </c>
      <c r="AB22" s="33">
        <v>1525.04</v>
      </c>
      <c r="AC22" s="33">
        <v>1048.85</v>
      </c>
      <c r="AD22" s="33">
        <v>800.84</v>
      </c>
      <c r="AE22" s="33">
        <v>897.64</v>
      </c>
      <c r="AF22" s="33">
        <v>824.11</v>
      </c>
      <c r="AG22" s="33">
        <v>1013.07</v>
      </c>
      <c r="AH22" s="33">
        <v>1323.26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2663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>
        <v>500.52</v>
      </c>
      <c r="U23" s="33">
        <v>707.93</v>
      </c>
      <c r="V23" s="33">
        <v>511.9</v>
      </c>
      <c r="W23" s="33">
        <v>506.89</v>
      </c>
      <c r="X23" s="33">
        <v>418.09</v>
      </c>
      <c r="Y23" s="33">
        <v>529.09</v>
      </c>
      <c r="Z23" s="33">
        <v>682.46</v>
      </c>
      <c r="AA23" s="33">
        <v>773.18</v>
      </c>
      <c r="AB23" s="33">
        <v>926.78</v>
      </c>
      <c r="AC23" s="33">
        <v>780.65</v>
      </c>
      <c r="AD23" s="33">
        <v>339.19</v>
      </c>
      <c r="AE23" s="33">
        <v>360.16</v>
      </c>
      <c r="AF23" s="33">
        <v>443.91</v>
      </c>
      <c r="AG23" s="33">
        <v>420.01</v>
      </c>
      <c r="AH23" s="33">
        <v>360.08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2664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>
        <v>558.22</v>
      </c>
      <c r="U24" s="33">
        <v>790.36</v>
      </c>
      <c r="V24" s="33">
        <v>756.43</v>
      </c>
      <c r="W24" s="33">
        <v>765.67</v>
      </c>
      <c r="X24" s="33">
        <v>865.38</v>
      </c>
      <c r="Y24" s="33">
        <v>1136.6</v>
      </c>
      <c r="Z24" s="33">
        <v>998.45</v>
      </c>
      <c r="AA24" s="33">
        <v>1181.78</v>
      </c>
      <c r="AB24" s="33">
        <v>1117.3</v>
      </c>
      <c r="AC24" s="33">
        <v>880.6</v>
      </c>
      <c r="AD24" s="33">
        <v>613.65</v>
      </c>
      <c r="AE24" s="33">
        <v>469.49</v>
      </c>
      <c r="AF24" s="33">
        <v>546.38</v>
      </c>
      <c r="AG24" s="33">
        <v>694.81</v>
      </c>
      <c r="AH24" s="33">
        <v>653.23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2665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v>363.94</v>
      </c>
      <c r="U25" s="33">
        <v>558.15</v>
      </c>
      <c r="V25" s="33">
        <v>338.88</v>
      </c>
      <c r="W25" s="33">
        <v>329.76</v>
      </c>
      <c r="X25" s="33">
        <v>311.77</v>
      </c>
      <c r="Y25" s="33">
        <v>214.03</v>
      </c>
      <c r="Z25" s="33">
        <v>379.04</v>
      </c>
      <c r="AA25" s="33">
        <v>431.67</v>
      </c>
      <c r="AB25" s="33">
        <v>483.85</v>
      </c>
      <c r="AC25" s="33">
        <v>283.92</v>
      </c>
      <c r="AD25" s="33">
        <v>156.39</v>
      </c>
      <c r="AE25" s="33">
        <v>173.5</v>
      </c>
      <c r="AF25" s="33">
        <v>246.89</v>
      </c>
      <c r="AG25" s="33">
        <v>343.24</v>
      </c>
      <c r="AH25" s="33">
        <v>239.89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2666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v>873.15</v>
      </c>
      <c r="U26" s="33">
        <v>1112.15</v>
      </c>
      <c r="V26" s="33">
        <v>757.92</v>
      </c>
      <c r="W26" s="33">
        <v>964.82</v>
      </c>
      <c r="X26" s="33">
        <v>855.25</v>
      </c>
      <c r="Y26" s="33">
        <v>1002.68</v>
      </c>
      <c r="Z26" s="33">
        <v>1318.37</v>
      </c>
      <c r="AA26" s="33">
        <v>1401.12</v>
      </c>
      <c r="AB26" s="33">
        <v>1561.72</v>
      </c>
      <c r="AC26" s="33">
        <v>1135.19</v>
      </c>
      <c r="AD26" s="33">
        <v>676.77</v>
      </c>
      <c r="AE26" s="33">
        <v>535.26</v>
      </c>
      <c r="AF26" s="33">
        <v>737.2</v>
      </c>
      <c r="AG26" s="33">
        <v>944.27</v>
      </c>
      <c r="AH26" s="33">
        <v>824.07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2667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>
        <v>531.45</v>
      </c>
      <c r="U27" s="33">
        <v>875.29</v>
      </c>
      <c r="V27" s="33">
        <v>606.39</v>
      </c>
      <c r="W27" s="33">
        <v>658.77</v>
      </c>
      <c r="X27" s="33">
        <v>592.1</v>
      </c>
      <c r="Y27" s="33">
        <v>545.38</v>
      </c>
      <c r="Z27" s="33">
        <v>689.2</v>
      </c>
      <c r="AA27" s="33">
        <v>850.89</v>
      </c>
      <c r="AB27" s="33">
        <v>910.33</v>
      </c>
      <c r="AC27" s="33">
        <v>570.65</v>
      </c>
      <c r="AD27" s="33">
        <v>487.52</v>
      </c>
      <c r="AE27" s="33">
        <v>445.93</v>
      </c>
      <c r="AF27" s="33">
        <v>564.08</v>
      </c>
      <c r="AG27" s="33">
        <v>693.69</v>
      </c>
      <c r="AH27" s="33">
        <v>577.54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2668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>
        <v>528.63</v>
      </c>
      <c r="U28" s="33">
        <v>664.32</v>
      </c>
      <c r="V28" s="33">
        <v>421.01</v>
      </c>
      <c r="W28" s="33">
        <v>390.05</v>
      </c>
      <c r="X28" s="33">
        <v>395.05</v>
      </c>
      <c r="Y28" s="33">
        <v>538.49</v>
      </c>
      <c r="Z28" s="33">
        <v>742.52</v>
      </c>
      <c r="AA28" s="33">
        <v>685.23</v>
      </c>
      <c r="AB28" s="33">
        <v>829.76</v>
      </c>
      <c r="AC28" s="33">
        <v>494.28</v>
      </c>
      <c r="AD28" s="33">
        <v>361.38</v>
      </c>
      <c r="AE28" s="33">
        <v>371.72</v>
      </c>
      <c r="AF28" s="33">
        <v>508.35</v>
      </c>
      <c r="AG28" s="33">
        <v>515.18</v>
      </c>
      <c r="AH28" s="33">
        <v>401.38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2669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>
        <v>308.27</v>
      </c>
      <c r="U29" s="33">
        <v>412.21</v>
      </c>
      <c r="V29" s="33">
        <v>271.3</v>
      </c>
      <c r="W29" s="33">
        <v>321.81</v>
      </c>
      <c r="X29" s="33">
        <v>164.05</v>
      </c>
      <c r="Y29" s="33">
        <v>135.36</v>
      </c>
      <c r="Z29" s="33">
        <v>174.65</v>
      </c>
      <c r="AA29" s="33">
        <v>202.75</v>
      </c>
      <c r="AB29" s="33">
        <v>196.33</v>
      </c>
      <c r="AC29" s="33">
        <v>145.71</v>
      </c>
      <c r="AD29" s="33">
        <v>129.95</v>
      </c>
      <c r="AE29" s="33">
        <v>338.15</v>
      </c>
      <c r="AF29" s="33">
        <v>407.09</v>
      </c>
      <c r="AG29" s="33">
        <v>422.79</v>
      </c>
      <c r="AH29" s="33">
        <v>387.71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2670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>
        <v>369.27</v>
      </c>
      <c r="U30" s="33">
        <v>502.83</v>
      </c>
      <c r="V30" s="33">
        <v>311.61</v>
      </c>
      <c r="W30" s="33">
        <v>359.39</v>
      </c>
      <c r="X30" s="33">
        <v>362.59</v>
      </c>
      <c r="Y30" s="33">
        <v>419.04</v>
      </c>
      <c r="Z30" s="33">
        <v>415.83</v>
      </c>
      <c r="AA30" s="33">
        <v>388.7</v>
      </c>
      <c r="AB30" s="33">
        <v>439.82</v>
      </c>
      <c r="AC30" s="33">
        <v>336.93</v>
      </c>
      <c r="AD30" s="33">
        <v>229.23</v>
      </c>
      <c r="AE30" s="33">
        <v>338.15</v>
      </c>
      <c r="AF30" s="33">
        <v>370.61</v>
      </c>
      <c r="AG30" s="33">
        <v>454.92</v>
      </c>
      <c r="AH30" s="33">
        <v>435.92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2671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>
        <v>582.47</v>
      </c>
      <c r="U31" s="33">
        <v>647.08</v>
      </c>
      <c r="V31" s="33">
        <v>411.18</v>
      </c>
      <c r="W31" s="33">
        <v>432.54</v>
      </c>
      <c r="X31" s="33">
        <v>285.52</v>
      </c>
      <c r="Y31" s="33">
        <v>266.68</v>
      </c>
      <c r="Z31" s="33">
        <v>319.12</v>
      </c>
      <c r="AA31" s="33">
        <v>373.11</v>
      </c>
      <c r="AB31" s="33">
        <v>423.35</v>
      </c>
      <c r="AC31" s="33">
        <v>353.6</v>
      </c>
      <c r="AD31" s="33">
        <v>213.73</v>
      </c>
      <c r="AE31" s="33">
        <v>283.35</v>
      </c>
      <c r="AF31" s="33">
        <v>427.38</v>
      </c>
      <c r="AG31" s="33">
        <v>403.16</v>
      </c>
      <c r="AH31" s="33">
        <v>353.2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2672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>
        <v>434.15</v>
      </c>
      <c r="U32" s="33">
        <v>518.72</v>
      </c>
      <c r="V32" s="33">
        <v>334.47</v>
      </c>
      <c r="W32" s="33">
        <v>381.09</v>
      </c>
      <c r="X32" s="33">
        <v>337.28</v>
      </c>
      <c r="Y32" s="33">
        <v>246.95</v>
      </c>
      <c r="Z32" s="33">
        <v>272.98</v>
      </c>
      <c r="AA32" s="33">
        <v>381</v>
      </c>
      <c r="AB32" s="33">
        <v>452.46</v>
      </c>
      <c r="AC32" s="33">
        <v>352.83</v>
      </c>
      <c r="AD32" s="33">
        <v>295.41</v>
      </c>
      <c r="AE32" s="33">
        <v>323.65</v>
      </c>
      <c r="AF32" s="33">
        <v>504.41</v>
      </c>
      <c r="AG32" s="33">
        <v>486.53</v>
      </c>
      <c r="AH32" s="33">
        <v>418.66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2673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>
        <v>639.94</v>
      </c>
      <c r="U33" s="33">
        <v>762.54</v>
      </c>
      <c r="V33" s="33">
        <v>576.34</v>
      </c>
      <c r="W33" s="33">
        <v>686.86</v>
      </c>
      <c r="X33" s="33">
        <v>687.01</v>
      </c>
      <c r="Y33" s="33">
        <v>1012.94</v>
      </c>
      <c r="Z33" s="33">
        <v>1115.41</v>
      </c>
      <c r="AA33" s="33">
        <v>1203.17</v>
      </c>
      <c r="AB33" s="33">
        <v>1489.81</v>
      </c>
      <c r="AC33" s="33">
        <v>1157.93</v>
      </c>
      <c r="AD33" s="33">
        <v>743.8</v>
      </c>
      <c r="AE33" s="33">
        <v>525.52</v>
      </c>
      <c r="AF33" s="33">
        <v>570.89</v>
      </c>
      <c r="AG33" s="33">
        <v>724.23</v>
      </c>
      <c r="AH33" s="33">
        <v>651.12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2674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>
        <v>737.51</v>
      </c>
      <c r="U34" s="33">
        <v>907.28</v>
      </c>
      <c r="V34" s="33">
        <v>523.08</v>
      </c>
      <c r="W34" s="33">
        <v>575.26</v>
      </c>
      <c r="X34" s="33">
        <v>381.27</v>
      </c>
      <c r="Y34" s="33">
        <v>487.18</v>
      </c>
      <c r="Z34" s="33">
        <v>630.78</v>
      </c>
      <c r="AA34" s="33">
        <v>744.84</v>
      </c>
      <c r="AB34" s="33">
        <v>818.79</v>
      </c>
      <c r="AC34" s="33">
        <v>506.72</v>
      </c>
      <c r="AD34" s="33">
        <v>335.08</v>
      </c>
      <c r="AE34" s="33">
        <v>487.61</v>
      </c>
      <c r="AF34" s="33">
        <v>686.81</v>
      </c>
      <c r="AG34" s="33">
        <v>708.63</v>
      </c>
      <c r="AH34" s="33">
        <v>512.98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2675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>
        <v>275.51</v>
      </c>
      <c r="U35" s="33">
        <v>373.75</v>
      </c>
      <c r="V35" s="33">
        <v>441.65</v>
      </c>
      <c r="W35" s="33">
        <v>439.32</v>
      </c>
      <c r="X35" s="33">
        <v>354.26</v>
      </c>
      <c r="Y35" s="33">
        <v>354.73</v>
      </c>
      <c r="Z35" s="33">
        <v>386.95</v>
      </c>
      <c r="AA35" s="33">
        <v>455.82</v>
      </c>
      <c r="AB35" s="33">
        <v>477.94</v>
      </c>
      <c r="AC35" s="33">
        <v>257.46</v>
      </c>
      <c r="AD35" s="33">
        <v>270.63</v>
      </c>
      <c r="AE35" s="33">
        <v>355.35</v>
      </c>
      <c r="AF35" s="33">
        <v>443.22</v>
      </c>
      <c r="AG35" s="33">
        <v>377.29</v>
      </c>
      <c r="AH35" s="33">
        <v>386.71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2676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>
        <v>301.42</v>
      </c>
      <c r="U36" s="33">
        <v>496.3</v>
      </c>
      <c r="V36" s="33">
        <v>473.64</v>
      </c>
      <c r="W36" s="33">
        <v>491.46</v>
      </c>
      <c r="X36" s="33">
        <v>227.32</v>
      </c>
      <c r="Y36" s="33">
        <v>97.42</v>
      </c>
      <c r="Z36" s="33">
        <v>233.06</v>
      </c>
      <c r="AA36" s="33">
        <v>172.7</v>
      </c>
      <c r="AB36" s="33">
        <v>195.21</v>
      </c>
      <c r="AC36" s="33">
        <v>59.76</v>
      </c>
      <c r="AD36" s="33">
        <v>82.31</v>
      </c>
      <c r="AE36" s="33">
        <v>153.9</v>
      </c>
      <c r="AF36" s="33">
        <v>291.35</v>
      </c>
      <c r="AG36" s="33">
        <v>395.71</v>
      </c>
      <c r="AH36" s="33">
        <v>378.75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2677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>
        <v>326.16</v>
      </c>
      <c r="U37" s="33">
        <v>366.91</v>
      </c>
      <c r="V37" s="33">
        <v>228.12</v>
      </c>
      <c r="W37" s="33">
        <v>297.58</v>
      </c>
      <c r="X37" s="33">
        <v>344.46</v>
      </c>
      <c r="Y37" s="33">
        <v>177.27</v>
      </c>
      <c r="Z37" s="33">
        <v>330.55</v>
      </c>
      <c r="AA37" s="33">
        <v>421.95</v>
      </c>
      <c r="AB37" s="33">
        <v>552.36</v>
      </c>
      <c r="AC37" s="33">
        <v>490.08</v>
      </c>
      <c r="AD37" s="33">
        <v>251.23</v>
      </c>
      <c r="AE37" s="33">
        <v>368.27</v>
      </c>
      <c r="AF37" s="33">
        <v>422.27</v>
      </c>
      <c r="AG37" s="33">
        <v>429.21</v>
      </c>
      <c r="AH37" s="33">
        <v>409.15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2678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688.61</v>
      </c>
      <c r="U38" s="33">
        <v>816.89</v>
      </c>
      <c r="V38" s="33">
        <v>601.3</v>
      </c>
      <c r="W38" s="33">
        <v>585.16</v>
      </c>
      <c r="X38" s="33">
        <v>762.77</v>
      </c>
      <c r="Y38" s="33">
        <v>921.3</v>
      </c>
      <c r="Z38" s="33">
        <v>982.89</v>
      </c>
      <c r="AA38" s="33">
        <v>995.12</v>
      </c>
      <c r="AB38" s="33">
        <v>1235.66</v>
      </c>
      <c r="AC38" s="33">
        <v>1067.36</v>
      </c>
      <c r="AD38" s="33">
        <v>744.31</v>
      </c>
      <c r="AE38" s="33">
        <v>570.95</v>
      </c>
      <c r="AF38" s="33">
        <v>548.57</v>
      </c>
      <c r="AG38" s="33">
        <v>557.54</v>
      </c>
      <c r="AH38" s="33">
        <v>492.89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2679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>
        <v>430.82</v>
      </c>
      <c r="U39" s="33">
        <v>524.04</v>
      </c>
      <c r="V39" s="33">
        <v>409.29</v>
      </c>
      <c r="W39" s="33">
        <v>468.1</v>
      </c>
      <c r="X39" s="33">
        <v>226.93</v>
      </c>
      <c r="Y39" s="33">
        <v>252.31</v>
      </c>
      <c r="Z39" s="33">
        <v>350.54</v>
      </c>
      <c r="AA39" s="33">
        <v>400.1</v>
      </c>
      <c r="AB39" s="33">
        <v>502.8</v>
      </c>
      <c r="AC39" s="33">
        <v>379.8</v>
      </c>
      <c r="AD39" s="33">
        <v>314.97</v>
      </c>
      <c r="AE39" s="33">
        <v>323.83</v>
      </c>
      <c r="AF39" s="33">
        <v>473.71</v>
      </c>
      <c r="AG39" s="33">
        <v>503.54</v>
      </c>
      <c r="AH39" s="33">
        <v>430.91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2680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>
        <v>417.13</v>
      </c>
      <c r="U40" s="33">
        <v>561</v>
      </c>
      <c r="V40" s="33">
        <v>402.54</v>
      </c>
      <c r="W40" s="33">
        <v>440.49</v>
      </c>
      <c r="X40" s="33">
        <v>406.42</v>
      </c>
      <c r="Y40" s="33">
        <v>676.1</v>
      </c>
      <c r="Z40" s="33">
        <v>753.62</v>
      </c>
      <c r="AA40" s="33">
        <v>804.42</v>
      </c>
      <c r="AB40" s="33">
        <v>978.28</v>
      </c>
      <c r="AC40" s="33">
        <v>610.44</v>
      </c>
      <c r="AD40" s="33">
        <v>338.7</v>
      </c>
      <c r="AE40" s="33">
        <v>396.85</v>
      </c>
      <c r="AF40" s="33">
        <v>395.32</v>
      </c>
      <c r="AG40" s="33">
        <v>579.09</v>
      </c>
      <c r="AH40" s="33">
        <v>416.06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2681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>
        <v>1162.7</v>
      </c>
      <c r="U41" s="33">
        <v>1562.53</v>
      </c>
      <c r="V41" s="33">
        <v>1142.5</v>
      </c>
      <c r="W41" s="33">
        <v>1260.51</v>
      </c>
      <c r="X41" s="33">
        <v>720.84</v>
      </c>
      <c r="Y41" s="33">
        <v>674.94</v>
      </c>
      <c r="Z41" s="33">
        <v>880.39</v>
      </c>
      <c r="AA41" s="33">
        <v>923.65</v>
      </c>
      <c r="AB41" s="33">
        <v>1110.39</v>
      </c>
      <c r="AC41" s="33">
        <v>802.74</v>
      </c>
      <c r="AD41" s="33">
        <v>697.95</v>
      </c>
      <c r="AE41" s="33">
        <v>979.14</v>
      </c>
      <c r="AF41" s="33">
        <v>989.77</v>
      </c>
      <c r="AG41" s="33">
        <v>1114.09</v>
      </c>
      <c r="AH41" s="33">
        <v>995.59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2682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>
        <v>551.36</v>
      </c>
      <c r="U42" s="33">
        <v>518.56</v>
      </c>
      <c r="V42" s="33">
        <v>425.05</v>
      </c>
      <c r="W42" s="33">
        <v>431.2</v>
      </c>
      <c r="X42" s="33">
        <v>303.05</v>
      </c>
      <c r="Y42" s="33">
        <v>250.98</v>
      </c>
      <c r="Z42" s="33">
        <v>272.15</v>
      </c>
      <c r="AA42" s="33">
        <v>337.84</v>
      </c>
      <c r="AB42" s="33">
        <v>460.49</v>
      </c>
      <c r="AC42" s="33">
        <v>272.6</v>
      </c>
      <c r="AD42" s="33">
        <v>244.18</v>
      </c>
      <c r="AE42" s="33">
        <v>465.23</v>
      </c>
      <c r="AF42" s="33">
        <v>514.66</v>
      </c>
      <c r="AG42" s="33">
        <v>632.05</v>
      </c>
      <c r="AH42" s="33">
        <v>498.27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2683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>
        <v>263.48</v>
      </c>
      <c r="U43" s="33">
        <v>414.73</v>
      </c>
      <c r="V43" s="33">
        <v>337.01</v>
      </c>
      <c r="W43" s="33">
        <v>277.61</v>
      </c>
      <c r="X43" s="33">
        <v>205.02</v>
      </c>
      <c r="Y43" s="33">
        <v>255.58</v>
      </c>
      <c r="Z43" s="33">
        <v>357.4</v>
      </c>
      <c r="AA43" s="33">
        <v>382.16</v>
      </c>
      <c r="AB43" s="33">
        <v>614.4</v>
      </c>
      <c r="AC43" s="33">
        <v>629.97</v>
      </c>
      <c r="AD43" s="33">
        <v>379.93</v>
      </c>
      <c r="AE43" s="33">
        <v>370.7</v>
      </c>
      <c r="AF43" s="33">
        <v>341.46</v>
      </c>
      <c r="AG43" s="33">
        <v>344.12</v>
      </c>
      <c r="AH43" s="33">
        <v>355.42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2684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>
        <v>596.62</v>
      </c>
      <c r="U44" s="33">
        <v>820.06</v>
      </c>
      <c r="V44" s="33">
        <v>568.81</v>
      </c>
      <c r="W44" s="33">
        <v>579.5</v>
      </c>
      <c r="X44" s="33">
        <v>501.04</v>
      </c>
      <c r="Y44" s="33">
        <v>378.28</v>
      </c>
      <c r="Z44" s="33">
        <v>369.98</v>
      </c>
      <c r="AA44" s="33">
        <v>398.78</v>
      </c>
      <c r="AB44" s="33">
        <v>617.48</v>
      </c>
      <c r="AC44" s="33">
        <v>545.19</v>
      </c>
      <c r="AD44" s="33">
        <v>351.24</v>
      </c>
      <c r="AE44" s="33">
        <v>397.56</v>
      </c>
      <c r="AF44" s="33">
        <v>560.34</v>
      </c>
      <c r="AG44" s="33">
        <v>603.22</v>
      </c>
      <c r="AH44" s="33">
        <v>427.28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2685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>
        <v>517.91</v>
      </c>
      <c r="U45" s="33">
        <v>882.63</v>
      </c>
      <c r="V45" s="33">
        <v>638.22</v>
      </c>
      <c r="W45" s="33">
        <v>797.95</v>
      </c>
      <c r="X45" s="33">
        <v>380.15</v>
      </c>
      <c r="Y45" s="33">
        <v>284.28</v>
      </c>
      <c r="Z45" s="33">
        <v>406.24</v>
      </c>
      <c r="AA45" s="33">
        <v>634.4</v>
      </c>
      <c r="AB45" s="33">
        <v>699.77</v>
      </c>
      <c r="AC45" s="33">
        <v>609.51</v>
      </c>
      <c r="AD45" s="33">
        <v>402.26</v>
      </c>
      <c r="AE45" s="33">
        <v>468.32</v>
      </c>
      <c r="AF45" s="33">
        <v>576.5</v>
      </c>
      <c r="AG45" s="33">
        <v>639.01</v>
      </c>
      <c r="AH45" s="33">
        <v>620.56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2686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>
        <v>451.9</v>
      </c>
      <c r="U46" s="33">
        <v>423.09</v>
      </c>
      <c r="V46" s="33">
        <v>381.71</v>
      </c>
      <c r="W46" s="33">
        <v>442.01</v>
      </c>
      <c r="X46" s="33">
        <v>327.06</v>
      </c>
      <c r="Y46" s="33">
        <v>403.54</v>
      </c>
      <c r="Z46" s="33">
        <v>555.59</v>
      </c>
      <c r="AA46" s="33">
        <v>618.96</v>
      </c>
      <c r="AB46" s="33">
        <v>692.3</v>
      </c>
      <c r="AC46" s="33">
        <v>435.51</v>
      </c>
      <c r="AD46" s="33">
        <v>304.48</v>
      </c>
      <c r="AE46" s="33">
        <v>314.7</v>
      </c>
      <c r="AF46" s="33">
        <v>459.42</v>
      </c>
      <c r="AG46" s="33">
        <v>495.38</v>
      </c>
      <c r="AH46" s="33">
        <v>308.97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2687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>
        <v>449.52</v>
      </c>
      <c r="U47" s="33">
        <v>581.56</v>
      </c>
      <c r="V47" s="33">
        <v>439.25</v>
      </c>
      <c r="W47" s="33">
        <v>488.4</v>
      </c>
      <c r="X47" s="33">
        <v>212.4</v>
      </c>
      <c r="Y47" s="33">
        <v>296.89</v>
      </c>
      <c r="Z47" s="33">
        <v>349.49</v>
      </c>
      <c r="AA47" s="33">
        <v>415.75</v>
      </c>
      <c r="AB47" s="33">
        <v>489.18</v>
      </c>
      <c r="AC47" s="33">
        <v>390.32</v>
      </c>
      <c r="AD47" s="33">
        <v>213.07</v>
      </c>
      <c r="AE47" s="33">
        <v>372.06</v>
      </c>
      <c r="AF47" s="33">
        <v>532.05</v>
      </c>
      <c r="AG47" s="33">
        <v>517.08</v>
      </c>
      <c r="AH47" s="33">
        <v>435.06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2688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>
        <v>370.81</v>
      </c>
      <c r="U48" s="33">
        <v>497.32</v>
      </c>
      <c r="V48" s="33">
        <v>478.4</v>
      </c>
      <c r="W48" s="33">
        <v>486.71</v>
      </c>
      <c r="X48" s="33">
        <v>426.99</v>
      </c>
      <c r="Y48" s="33">
        <v>445.63</v>
      </c>
      <c r="Z48" s="33">
        <v>505.09</v>
      </c>
      <c r="AA48" s="33">
        <v>584.06</v>
      </c>
      <c r="AB48" s="33">
        <v>546.25</v>
      </c>
      <c r="AC48" s="33">
        <v>366.79</v>
      </c>
      <c r="AD48" s="33">
        <v>345.23</v>
      </c>
      <c r="AE48" s="33">
        <v>386</v>
      </c>
      <c r="AF48" s="33">
        <v>385.26</v>
      </c>
      <c r="AG48" s="33">
        <v>494.17</v>
      </c>
      <c r="AH48" s="33">
        <v>537.13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2689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>
        <v>627.87</v>
      </c>
      <c r="U49" s="33">
        <v>876.2</v>
      </c>
      <c r="V49" s="33">
        <v>583.38</v>
      </c>
      <c r="W49" s="33">
        <v>665.89</v>
      </c>
      <c r="X49" s="33">
        <v>359.18</v>
      </c>
      <c r="Y49" s="33">
        <v>423.06</v>
      </c>
      <c r="Z49" s="33">
        <v>479.4</v>
      </c>
      <c r="AA49" s="33">
        <v>500.97</v>
      </c>
      <c r="AB49" s="33">
        <v>603.12</v>
      </c>
      <c r="AC49" s="33">
        <v>445.84</v>
      </c>
      <c r="AD49" s="33">
        <v>390.76</v>
      </c>
      <c r="AE49" s="33">
        <v>354.84</v>
      </c>
      <c r="AF49" s="33">
        <v>528.8</v>
      </c>
      <c r="AG49" s="33">
        <v>763.49</v>
      </c>
      <c r="AH49" s="33">
        <v>662.43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2690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>
        <v>21.21</v>
      </c>
      <c r="U50" s="33">
        <v>21.21</v>
      </c>
      <c r="V50" s="33">
        <v>21.24</v>
      </c>
      <c r="W50" s="33">
        <v>21.24</v>
      </c>
      <c r="X50" s="33">
        <v>21.24</v>
      </c>
      <c r="Y50" s="33">
        <v>21.28</v>
      </c>
      <c r="Z50" s="33">
        <v>20.92</v>
      </c>
      <c r="AA50" s="33">
        <v>20.92</v>
      </c>
      <c r="AB50" s="33">
        <v>21.28</v>
      </c>
      <c r="AC50" s="33">
        <v>21.28</v>
      </c>
      <c r="AD50" s="33">
        <v>21.28</v>
      </c>
      <c r="AE50" s="33">
        <v>21.28</v>
      </c>
      <c r="AF50" s="33">
        <v>21.24</v>
      </c>
      <c r="AG50" s="33">
        <v>21.3</v>
      </c>
      <c r="AH50" s="33">
        <v>21.28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2691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>
        <v>479.32</v>
      </c>
      <c r="U51" s="33">
        <v>600.94</v>
      </c>
      <c r="V51" s="33">
        <v>438.1</v>
      </c>
      <c r="W51" s="33">
        <v>454.89</v>
      </c>
      <c r="X51" s="33">
        <v>510.11</v>
      </c>
      <c r="Y51" s="33">
        <v>605.68</v>
      </c>
      <c r="Z51" s="33">
        <v>534.46</v>
      </c>
      <c r="AA51" s="33">
        <v>604.36</v>
      </c>
      <c r="AB51" s="33">
        <v>671.07</v>
      </c>
      <c r="AC51" s="33">
        <v>246.76</v>
      </c>
      <c r="AD51" s="33">
        <v>199.34</v>
      </c>
      <c r="AE51" s="33">
        <v>379.44</v>
      </c>
      <c r="AF51" s="33">
        <v>341.98</v>
      </c>
      <c r="AG51" s="33">
        <v>447.43</v>
      </c>
      <c r="AH51" s="33">
        <v>377.88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2692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>
        <v>454.4</v>
      </c>
      <c r="U52" s="33">
        <v>509.01</v>
      </c>
      <c r="V52" s="33">
        <v>314.63</v>
      </c>
      <c r="W52" s="33">
        <v>398.85</v>
      </c>
      <c r="X52" s="33">
        <v>417.73</v>
      </c>
      <c r="Y52" s="33">
        <v>553.59</v>
      </c>
      <c r="Z52" s="33">
        <v>587.31</v>
      </c>
      <c r="AA52" s="33">
        <v>732.91</v>
      </c>
      <c r="AB52" s="33">
        <v>780.94</v>
      </c>
      <c r="AC52" s="33">
        <v>547.71</v>
      </c>
      <c r="AD52" s="33">
        <v>574.61</v>
      </c>
      <c r="AE52" s="33">
        <v>544.78</v>
      </c>
      <c r="AF52" s="33">
        <v>633.79</v>
      </c>
      <c r="AG52" s="33">
        <v>583.25</v>
      </c>
      <c r="AH52" s="33">
        <v>444.89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2693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v>400.91</v>
      </c>
      <c r="U53" s="33">
        <v>685.72</v>
      </c>
      <c r="V53" s="33">
        <v>515.96</v>
      </c>
      <c r="W53" s="33">
        <v>554.52</v>
      </c>
      <c r="X53" s="33">
        <v>320.65</v>
      </c>
      <c r="Y53" s="33">
        <v>101.49</v>
      </c>
      <c r="Z53" s="33">
        <v>88.04</v>
      </c>
      <c r="AA53" s="33">
        <v>99.03</v>
      </c>
      <c r="AB53" s="33">
        <v>109.81</v>
      </c>
      <c r="AC53" s="33">
        <v>106.06</v>
      </c>
      <c r="AD53" s="33">
        <v>200.38</v>
      </c>
      <c r="AE53" s="33">
        <v>309.55</v>
      </c>
      <c r="AF53" s="33">
        <v>400.09</v>
      </c>
      <c r="AG53" s="33">
        <v>563.63</v>
      </c>
      <c r="AH53" s="33">
        <v>567.75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2694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>
        <v>650.56</v>
      </c>
      <c r="U54" s="33">
        <v>960.71</v>
      </c>
      <c r="V54" s="33">
        <v>637.55</v>
      </c>
      <c r="W54" s="33">
        <v>504.95</v>
      </c>
      <c r="X54" s="33">
        <v>162.89</v>
      </c>
      <c r="Y54" s="33">
        <v>190.12</v>
      </c>
      <c r="Z54" s="33">
        <v>218.27</v>
      </c>
      <c r="AA54" s="33">
        <v>258.97</v>
      </c>
      <c r="AB54" s="33">
        <v>285.73</v>
      </c>
      <c r="AC54" s="33">
        <v>194.53</v>
      </c>
      <c r="AD54" s="33">
        <v>254.32</v>
      </c>
      <c r="AE54" s="33">
        <v>572.16</v>
      </c>
      <c r="AF54" s="33">
        <v>711.87</v>
      </c>
      <c r="AG54" s="33">
        <v>673.2</v>
      </c>
      <c r="AH54" s="33">
        <v>563.02</v>
      </c>
      <c r="AI54" s="32"/>
      <c r="AJ54" s="34">
        <f>SUM(E54:AI54)</f>
      </c>
      <c r="AK54" s="35"/>
    </row>
    <row r="55" ht="12.75" customHeight="1" spans="2:37" x14ac:dyDescent="0.25">
      <c r="B55" s="37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40"/>
    </row>
    <row r="56" ht="12.75" customHeight="1" spans="2:37" x14ac:dyDescent="0.25">
      <c r="B56" s="20" t="s">
        <v>85</v>
      </c>
      <c r="C56" s="21"/>
      <c r="D56" s="21"/>
      <c r="E56" s="22">
        <f>SUM(E14:E54)</f>
      </c>
      <c r="F56" s="22">
        <f>SUM(F14:F54)</f>
      </c>
      <c r="G56" s="22">
        <f>SUM(G14:G54)</f>
      </c>
      <c r="H56" s="22">
        <f>SUM(H14:H54)</f>
      </c>
      <c r="I56" s="22">
        <f>SUM(I14:I54)</f>
      </c>
      <c r="J56" s="22">
        <f>SUM(J14:J54)</f>
      </c>
      <c r="K56" s="22">
        <f>SUM(K14:K54)</f>
      </c>
      <c r="L56" s="22">
        <f>SUM(L14:L54)</f>
      </c>
      <c r="M56" s="22">
        <f>SUM(M14:M54)</f>
      </c>
      <c r="N56" s="22">
        <f>SUM(N14:N54)</f>
      </c>
      <c r="O56" s="22">
        <f>SUM(O14:O54)</f>
      </c>
      <c r="P56" s="22">
        <f>SUM(P14:P54)</f>
      </c>
      <c r="Q56" s="22">
        <f>SUM(Q14:Q54)</f>
      </c>
      <c r="R56" s="22">
        <f>SUM(R14:R54)</f>
      </c>
      <c r="S56" s="22">
        <f>SUM(S14:S54)</f>
      </c>
      <c r="T56" s="22">
        <f>SUM(T14:T54)</f>
      </c>
      <c r="U56" s="22">
        <f>SUM(U14:U54)</f>
      </c>
      <c r="V56" s="22">
        <f>SUM(V14:V54)</f>
      </c>
      <c r="W56" s="22">
        <f>SUM(W14:W54)</f>
      </c>
      <c r="X56" s="22">
        <f>SUM(X14:X54)</f>
      </c>
      <c r="Y56" s="22">
        <f>SUM(Y14:Y54)</f>
      </c>
      <c r="Z56" s="22">
        <f>SUM(Z14:Z54)</f>
      </c>
      <c r="AA56" s="22">
        <f>SUM(AA14:AA54)</f>
      </c>
      <c r="AB56" s="22">
        <f>SUM(AB14:AB54)</f>
      </c>
      <c r="AC56" s="22">
        <f>SUM(AC14:AC54)</f>
      </c>
      <c r="AD56" s="22">
        <f>SUM(AD14:AD54)</f>
      </c>
      <c r="AE56" s="22">
        <f>SUM(AE14:AE54)</f>
      </c>
      <c r="AF56" s="22">
        <f>SUM(AF14:AF54)</f>
      </c>
      <c r="AG56" s="22">
        <f>SUM(AG14:AG54)</f>
      </c>
      <c r="AH56" s="22">
        <f>SUM(AH14:AH54)</f>
      </c>
      <c r="AI56" s="22">
        <f>SUM(AI14:AI54)</f>
      </c>
      <c r="AJ56" s="22">
        <f>SUM(AJ14:AJ54)</f>
      </c>
      <c r="AK56" s="23"/>
    </row>
    <row r="58" ht="12.75" customHeight="1" spans="2:37" x14ac:dyDescent="0.25">
      <c r="B58" s="26" t="s">
        <v>43</v>
      </c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9"/>
    </row>
    <row r="59" ht="12.75" customHeight="1" spans="2:37" x14ac:dyDescent="0.25">
      <c r="B59" s="30" t="s">
        <v>43</v>
      </c>
      <c r="C59" s="31" t="s">
        <v>3</v>
      </c>
      <c r="D59" s="32" t="s">
        <v>2695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>
        <v>3202.81</v>
      </c>
      <c r="U59" s="33">
        <v>3225.47</v>
      </c>
      <c r="V59" s="33">
        <v>3533.69</v>
      </c>
      <c r="W59" s="33">
        <v>2941.39</v>
      </c>
      <c r="X59" s="33">
        <v>2035.38</v>
      </c>
      <c r="Y59" s="33">
        <v>1280.4</v>
      </c>
      <c r="Z59" s="33">
        <v>2435.25</v>
      </c>
      <c r="AA59" s="33">
        <v>2306.61</v>
      </c>
      <c r="AB59" s="33">
        <v>2430.31</v>
      </c>
      <c r="AC59" s="33">
        <v>2741.67</v>
      </c>
      <c r="AD59" s="33">
        <v>3438.47</v>
      </c>
      <c r="AE59" s="33">
        <v>3202.62</v>
      </c>
      <c r="AF59" s="33">
        <v>2563</v>
      </c>
      <c r="AG59" s="33">
        <v>2690.9</v>
      </c>
      <c r="AH59" s="33">
        <v>3258.54</v>
      </c>
      <c r="AI59" s="32"/>
      <c r="AJ59" s="34">
        <f>SUM(E59:AI59)</f>
      </c>
      <c r="AK59" s="35"/>
    </row>
    <row r="60" ht="12.75" customHeight="1" spans="2:37" x14ac:dyDescent="0.25">
      <c r="B60" s="37"/>
      <c r="C60" s="38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40"/>
    </row>
    <row r="61" ht="12.75" customHeight="1" spans="2:37" x14ac:dyDescent="0.25">
      <c r="B61" s="20" t="s">
        <v>89</v>
      </c>
      <c r="C61" s="21"/>
      <c r="D61" s="21"/>
      <c r="E61" s="22">
        <f>SUM(E59:E59)</f>
      </c>
      <c r="F61" s="22">
        <f>SUM(F59:F59)</f>
      </c>
      <c r="G61" s="22">
        <f>SUM(G59:G59)</f>
      </c>
      <c r="H61" s="22">
        <f>SUM(H59:H59)</f>
      </c>
      <c r="I61" s="22">
        <f>SUM(I59:I59)</f>
      </c>
      <c r="J61" s="22">
        <f>SUM(J59:J59)</f>
      </c>
      <c r="K61" s="22">
        <f>SUM(K59:K59)</f>
      </c>
      <c r="L61" s="22">
        <f>SUM(L59:L59)</f>
      </c>
      <c r="M61" s="22">
        <f>SUM(M59:M59)</f>
      </c>
      <c r="N61" s="22">
        <f>SUM(N59:N59)</f>
      </c>
      <c r="O61" s="22">
        <f>SUM(O59:O59)</f>
      </c>
      <c r="P61" s="22">
        <f>SUM(P59:P59)</f>
      </c>
      <c r="Q61" s="22">
        <f>SUM(Q59:Q59)</f>
      </c>
      <c r="R61" s="22">
        <f>SUM(R59:R59)</f>
      </c>
      <c r="S61" s="22">
        <f>SUM(S59:S59)</f>
      </c>
      <c r="T61" s="22">
        <f>SUM(T59:T59)</f>
      </c>
      <c r="U61" s="22">
        <f>SUM(U59:U59)</f>
      </c>
      <c r="V61" s="22">
        <f>SUM(V59:V59)</f>
      </c>
      <c r="W61" s="22">
        <f>SUM(W59:W59)</f>
      </c>
      <c r="X61" s="22">
        <f>SUM(X59:X59)</f>
      </c>
      <c r="Y61" s="22">
        <f>SUM(Y59:Y59)</f>
      </c>
      <c r="Z61" s="22">
        <f>SUM(Z59:Z59)</f>
      </c>
      <c r="AA61" s="22">
        <f>SUM(AA59:AA59)</f>
      </c>
      <c r="AB61" s="22">
        <f>SUM(AB59:AB59)</f>
      </c>
      <c r="AC61" s="22">
        <f>SUM(AC59:AC59)</f>
      </c>
      <c r="AD61" s="22">
        <f>SUM(AD59:AD59)</f>
      </c>
      <c r="AE61" s="22">
        <f>SUM(AE59:AE59)</f>
      </c>
      <c r="AF61" s="22">
        <f>SUM(AF59:AF59)</f>
      </c>
      <c r="AG61" s="22">
        <f>SUM(AG59:AG59)</f>
      </c>
      <c r="AH61" s="22">
        <f>SUM(AH59:AH59)</f>
      </c>
      <c r="AI61" s="22">
        <f>SUM(AI59:AI59)</f>
      </c>
      <c r="AJ61" s="22">
        <f>SUM(AJ59:AJ59)</f>
      </c>
      <c r="AK61" s="23"/>
    </row>
    <row r="63" ht="12.75" customHeight="1" spans="2:37" x14ac:dyDescent="0.25">
      <c r="B63" s="26" t="s">
        <v>44</v>
      </c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9"/>
    </row>
    <row r="64" ht="12.75" customHeight="1" spans="2:37" x14ac:dyDescent="0.25">
      <c r="B64" s="37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40"/>
    </row>
    <row r="65" ht="12.75" customHeight="1" spans="2:37" x14ac:dyDescent="0.25">
      <c r="B65" s="20" t="s">
        <v>90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3"/>
    </row>
    <row r="68" ht="12.75" customHeight="1" spans="2:37" x14ac:dyDescent="0.25">
      <c r="B68" s="11" t="s">
        <v>40</v>
      </c>
      <c r="C68" s="12"/>
      <c r="D68" s="13"/>
      <c r="E68" s="14" t="s">
        <v>7</v>
      </c>
      <c r="F68" s="14" t="s">
        <v>8</v>
      </c>
      <c r="G68" s="14" t="s">
        <v>9</v>
      </c>
      <c r="H68" s="14" t="s">
        <v>10</v>
      </c>
      <c r="I68" s="14" t="s">
        <v>11</v>
      </c>
      <c r="J68" s="14" t="s">
        <v>12</v>
      </c>
      <c r="K68" s="14" t="s">
        <v>13</v>
      </c>
      <c r="L68" s="14" t="s">
        <v>14</v>
      </c>
      <c r="M68" s="14" t="s">
        <v>15</v>
      </c>
      <c r="N68" s="14" t="s">
        <v>16</v>
      </c>
      <c r="O68" s="14" t="s">
        <v>17</v>
      </c>
      <c r="P68" s="14" t="s">
        <v>18</v>
      </c>
      <c r="Q68" s="14" t="s">
        <v>19</v>
      </c>
      <c r="R68" s="14" t="s">
        <v>20</v>
      </c>
      <c r="S68" s="14" t="s">
        <v>21</v>
      </c>
      <c r="T68" s="14" t="s">
        <v>22</v>
      </c>
      <c r="U68" s="14" t="s">
        <v>23</v>
      </c>
      <c r="V68" s="14" t="s">
        <v>24</v>
      </c>
      <c r="W68" s="14" t="s">
        <v>25</v>
      </c>
      <c r="X68" s="14" t="s">
        <v>26</v>
      </c>
      <c r="Y68" s="14" t="s">
        <v>27</v>
      </c>
      <c r="Z68" s="14" t="s">
        <v>28</v>
      </c>
      <c r="AA68" s="14" t="s">
        <v>29</v>
      </c>
      <c r="AB68" s="14" t="s">
        <v>30</v>
      </c>
      <c r="AC68" s="14" t="s">
        <v>31</v>
      </c>
      <c r="AD68" s="14" t="s">
        <v>32</v>
      </c>
      <c r="AE68" s="14" t="s">
        <v>33</v>
      </c>
      <c r="AF68" s="14" t="s">
        <v>34</v>
      </c>
      <c r="AG68" s="14" t="s">
        <v>35</v>
      </c>
      <c r="AH68" s="14" t="s">
        <v>36</v>
      </c>
      <c r="AI68" s="14" t="s">
        <v>37</v>
      </c>
      <c r="AJ68" s="14" t="s">
        <v>38</v>
      </c>
      <c r="AK68" s="15"/>
    </row>
    <row r="69" ht="12.75" customHeight="1" spans="2:37" x14ac:dyDescent="0.25">
      <c r="B69" s="16" t="s">
        <v>41</v>
      </c>
      <c r="C69" s="17"/>
      <c r="D69" s="17"/>
      <c r="E69" s="18">
        <f>E11</f>
      </c>
      <c r="F69" s="18">
        <f>F11</f>
      </c>
      <c r="G69" s="18">
        <f>G11</f>
      </c>
      <c r="H69" s="18">
        <f>H11</f>
      </c>
      <c r="I69" s="18">
        <f>I11</f>
      </c>
      <c r="J69" s="18">
        <f>J11</f>
      </c>
      <c r="K69" s="18">
        <f>K11</f>
      </c>
      <c r="L69" s="18">
        <f>L11</f>
      </c>
      <c r="M69" s="18">
        <f>M11</f>
      </c>
      <c r="N69" s="18">
        <f>N11</f>
      </c>
      <c r="O69" s="18">
        <f>O11</f>
      </c>
      <c r="P69" s="18">
        <f>P11</f>
      </c>
      <c r="Q69" s="18">
        <f>Q11</f>
      </c>
      <c r="R69" s="18">
        <f>R11</f>
      </c>
      <c r="S69" s="18">
        <f>S11</f>
      </c>
      <c r="T69" s="18">
        <f>T11</f>
      </c>
      <c r="U69" s="18">
        <f>U11</f>
      </c>
      <c r="V69" s="18">
        <f>V11</f>
      </c>
      <c r="W69" s="18">
        <f>W11</f>
      </c>
      <c r="X69" s="18">
        <f>X11</f>
      </c>
      <c r="Y69" s="18">
        <f>Y11</f>
      </c>
      <c r="Z69" s="18">
        <f>Z11</f>
      </c>
      <c r="AA69" s="18">
        <f>AA11</f>
      </c>
      <c r="AB69" s="18">
        <f>AB11</f>
      </c>
      <c r="AC69" s="18">
        <f>AC11</f>
      </c>
      <c r="AD69" s="18">
        <f>AD11</f>
      </c>
      <c r="AE69" s="18">
        <f>AE11</f>
      </c>
      <c r="AF69" s="18">
        <f>AF11</f>
      </c>
      <c r="AG69" s="18">
        <f>AG11</f>
      </c>
      <c r="AH69" s="18">
        <f>AH11</f>
      </c>
      <c r="AI69" s="18">
        <f>AI11</f>
      </c>
      <c r="AJ69" s="18">
        <f>AJ11</f>
      </c>
      <c r="AK69" s="19"/>
    </row>
    <row r="70" ht="12.75" customHeight="1" spans="2:37" x14ac:dyDescent="0.25">
      <c r="B70" s="16" t="s">
        <v>42</v>
      </c>
      <c r="C70" s="17"/>
      <c r="D70" s="17"/>
      <c r="E70" s="18">
        <f>E56</f>
      </c>
      <c r="F70" s="18">
        <f>F56</f>
      </c>
      <c r="G70" s="18">
        <f>G56</f>
      </c>
      <c r="H70" s="18">
        <f>H56</f>
      </c>
      <c r="I70" s="18">
        <f>I56</f>
      </c>
      <c r="J70" s="18">
        <f>J56</f>
      </c>
      <c r="K70" s="18">
        <f>K56</f>
      </c>
      <c r="L70" s="18">
        <f>L56</f>
      </c>
      <c r="M70" s="18">
        <f>M56</f>
      </c>
      <c r="N70" s="18">
        <f>N56</f>
      </c>
      <c r="O70" s="18">
        <f>O56</f>
      </c>
      <c r="P70" s="18">
        <f>P56</f>
      </c>
      <c r="Q70" s="18">
        <f>Q56</f>
      </c>
      <c r="R70" s="18">
        <f>R56</f>
      </c>
      <c r="S70" s="18">
        <f>S56</f>
      </c>
      <c r="T70" s="18">
        <f>T56</f>
      </c>
      <c r="U70" s="18">
        <f>U56</f>
      </c>
      <c r="V70" s="18">
        <f>V56</f>
      </c>
      <c r="W70" s="18">
        <f>W56</f>
      </c>
      <c r="X70" s="18">
        <f>X56</f>
      </c>
      <c r="Y70" s="18">
        <f>Y56</f>
      </c>
      <c r="Z70" s="18">
        <f>Z56</f>
      </c>
      <c r="AA70" s="18">
        <f>AA56</f>
      </c>
      <c r="AB70" s="18">
        <f>AB56</f>
      </c>
      <c r="AC70" s="18">
        <f>AC56</f>
      </c>
      <c r="AD70" s="18">
        <f>AD56</f>
      </c>
      <c r="AE70" s="18">
        <f>AE56</f>
      </c>
      <c r="AF70" s="18">
        <f>AF56</f>
      </c>
      <c r="AG70" s="18">
        <f>AG56</f>
      </c>
      <c r="AH70" s="18">
        <f>AH56</f>
      </c>
      <c r="AI70" s="18">
        <f>AI56</f>
      </c>
      <c r="AJ70" s="18">
        <f>AJ56</f>
      </c>
      <c r="AK70" s="19"/>
    </row>
    <row r="71" ht="12.75" customHeight="1" spans="2:37" x14ac:dyDescent="0.25">
      <c r="B71" s="16" t="s">
        <v>43</v>
      </c>
      <c r="C71" s="17"/>
      <c r="D71" s="17"/>
      <c r="E71" s="18">
        <f>E61</f>
      </c>
      <c r="F71" s="18">
        <f>F61</f>
      </c>
      <c r="G71" s="18">
        <f>G61</f>
      </c>
      <c r="H71" s="18">
        <f>H61</f>
      </c>
      <c r="I71" s="18">
        <f>I61</f>
      </c>
      <c r="J71" s="18">
        <f>J61</f>
      </c>
      <c r="K71" s="18">
        <f>K61</f>
      </c>
      <c r="L71" s="18">
        <f>L61</f>
      </c>
      <c r="M71" s="18">
        <f>M61</f>
      </c>
      <c r="N71" s="18">
        <f>N61</f>
      </c>
      <c r="O71" s="18">
        <f>O61</f>
      </c>
      <c r="P71" s="18">
        <f>P61</f>
      </c>
      <c r="Q71" s="18">
        <f>Q61</f>
      </c>
      <c r="R71" s="18">
        <f>R61</f>
      </c>
      <c r="S71" s="18">
        <f>S61</f>
      </c>
      <c r="T71" s="18">
        <f>T61</f>
      </c>
      <c r="U71" s="18">
        <f>U61</f>
      </c>
      <c r="V71" s="18">
        <f>V61</f>
      </c>
      <c r="W71" s="18">
        <f>W61</f>
      </c>
      <c r="X71" s="18">
        <f>X61</f>
      </c>
      <c r="Y71" s="18">
        <f>Y61</f>
      </c>
      <c r="Z71" s="18">
        <f>Z61</f>
      </c>
      <c r="AA71" s="18">
        <f>AA61</f>
      </c>
      <c r="AB71" s="18">
        <f>AB61</f>
      </c>
      <c r="AC71" s="18">
        <f>AC61</f>
      </c>
      <c r="AD71" s="18">
        <f>AD61</f>
      </c>
      <c r="AE71" s="18">
        <f>AE61</f>
      </c>
      <c r="AF71" s="18">
        <f>AF61</f>
      </c>
      <c r="AG71" s="18">
        <f>AG61</f>
      </c>
      <c r="AH71" s="18">
        <f>AH61</f>
      </c>
      <c r="AI71" s="18">
        <f>AI61</f>
      </c>
      <c r="AJ71" s="18">
        <f>AJ61</f>
      </c>
      <c r="AK71" s="19"/>
    </row>
    <row r="72" ht="12.75" customHeight="1" spans="2:37" x14ac:dyDescent="0.25">
      <c r="B72" s="16" t="s">
        <v>44</v>
      </c>
      <c r="C72" s="17"/>
      <c r="D72" s="17"/>
      <c r="E72" s="18">
        <f>E65</f>
      </c>
      <c r="F72" s="18">
        <f>F65</f>
      </c>
      <c r="G72" s="18">
        <f>G65</f>
      </c>
      <c r="H72" s="18">
        <f>H65</f>
      </c>
      <c r="I72" s="18">
        <f>I65</f>
      </c>
      <c r="J72" s="18">
        <f>J65</f>
      </c>
      <c r="K72" s="18">
        <f>K65</f>
      </c>
      <c r="L72" s="18">
        <f>L65</f>
      </c>
      <c r="M72" s="18">
        <f>M65</f>
      </c>
      <c r="N72" s="18">
        <f>N65</f>
      </c>
      <c r="O72" s="18">
        <f>O65</f>
      </c>
      <c r="P72" s="18">
        <f>P65</f>
      </c>
      <c r="Q72" s="18">
        <f>Q65</f>
      </c>
      <c r="R72" s="18">
        <f>R65</f>
      </c>
      <c r="S72" s="18">
        <f>S65</f>
      </c>
      <c r="T72" s="18">
        <f>T65</f>
      </c>
      <c r="U72" s="18">
        <f>U65</f>
      </c>
      <c r="V72" s="18">
        <f>V65</f>
      </c>
      <c r="W72" s="18">
        <f>W65</f>
      </c>
      <c r="X72" s="18">
        <f>X65</f>
      </c>
      <c r="Y72" s="18">
        <f>Y65</f>
      </c>
      <c r="Z72" s="18">
        <f>Z65</f>
      </c>
      <c r="AA72" s="18">
        <f>AA65</f>
      </c>
      <c r="AB72" s="18">
        <f>AB65</f>
      </c>
      <c r="AC72" s="18">
        <f>AC65</f>
      </c>
      <c r="AD72" s="18">
        <f>AD65</f>
      </c>
      <c r="AE72" s="18">
        <f>AE65</f>
      </c>
      <c r="AF72" s="18">
        <f>AF65</f>
      </c>
      <c r="AG72" s="18">
        <f>AG65</f>
      </c>
      <c r="AH72" s="18">
        <f>AH65</f>
      </c>
      <c r="AI72" s="18">
        <f>AI65</f>
      </c>
      <c r="AJ72" s="18">
        <f>AJ65</f>
      </c>
      <c r="AK72" s="19"/>
    </row>
    <row r="73" ht="12.75" customHeight="1" spans="2:37" x14ac:dyDescent="0.25">
      <c r="B73" s="20" t="s">
        <v>45</v>
      </c>
      <c r="C73" s="21"/>
      <c r="D73" s="21"/>
      <c r="E73" s="22">
        <f>E69+E70+E71+E72</f>
      </c>
      <c r="F73" s="22">
        <f>F69+F70+F71+F72</f>
      </c>
      <c r="G73" s="22">
        <f>G69+G70+G71+G72</f>
      </c>
      <c r="H73" s="22">
        <f>H69+H70+H71+H72</f>
      </c>
      <c r="I73" s="22">
        <f>I69+I70+I71+I72</f>
      </c>
      <c r="J73" s="22">
        <f>J69+J70+J71+J72</f>
      </c>
      <c r="K73" s="22">
        <f>K69+K70+K71+K72</f>
      </c>
      <c r="L73" s="22">
        <f>L69+L70+L71+L72</f>
      </c>
      <c r="M73" s="22">
        <f>M69+M70+M71+M72</f>
      </c>
      <c r="N73" s="22">
        <f>N69+N70+N71+N72</f>
      </c>
      <c r="O73" s="22">
        <f>O69+O70+O71+O72</f>
      </c>
      <c r="P73" s="22">
        <f>P69+P70+P71+P72</f>
      </c>
      <c r="Q73" s="22">
        <f>Q69+Q70+Q71+Q72</f>
      </c>
      <c r="R73" s="22">
        <f>R69+R70+R71+R72</f>
      </c>
      <c r="S73" s="22">
        <f>S69+S70+S71+S72</f>
      </c>
      <c r="T73" s="22">
        <f>T69+T70+T71+T72</f>
      </c>
      <c r="U73" s="22">
        <f>U69+U70+U71+U72</f>
      </c>
      <c r="V73" s="22">
        <f>V69+V70+V71+V72</f>
      </c>
      <c r="W73" s="22">
        <f>W69+W70+W71+W72</f>
      </c>
      <c r="X73" s="22">
        <f>X69+X70+X71+X72</f>
      </c>
      <c r="Y73" s="22">
        <f>Y69+Y70+Y71+Y72</f>
      </c>
      <c r="Z73" s="22">
        <f>Z69+Z70+Z71+Z72</f>
      </c>
      <c r="AA73" s="22">
        <f>AA69+AA70+AA71+AA72</f>
      </c>
      <c r="AB73" s="22">
        <f>AB69+AB70+AB71+AB72</f>
      </c>
      <c r="AC73" s="22">
        <f>AC69+AC70+AC71+AC72</f>
      </c>
      <c r="AD73" s="22">
        <f>AD69+AD70+AD71+AD72</f>
      </c>
      <c r="AE73" s="22">
        <f>AE69+AE70+AE71+AE72</f>
      </c>
      <c r="AF73" s="22">
        <f>AF69+AF70+AF71+AF72</f>
      </c>
      <c r="AG73" s="22">
        <f>AG69+AG70+AG71+AG72</f>
      </c>
      <c r="AH73" s="22">
        <f>AH69+AH70+AH71+AH72</f>
      </c>
      <c r="AI73" s="22">
        <f>AI69+AI70+AI71+AI72</f>
      </c>
      <c r="AJ73" s="22">
        <f>AJ69+AJ70+AJ71+AJ72</f>
      </c>
      <c r="AK73" s="23"/>
    </row>
    <row r="75" ht="12.75" customHeight="1" spans="2:37" x14ac:dyDescent="0.25">
      <c r="B75" s="11" t="s">
        <v>46</v>
      </c>
      <c r="C75" s="12"/>
      <c r="D75" s="13"/>
      <c r="E75" s="14" t="s">
        <v>7</v>
      </c>
      <c r="F75" s="14" t="s">
        <v>8</v>
      </c>
      <c r="G75" s="14" t="s">
        <v>9</v>
      </c>
      <c r="H75" s="14" t="s">
        <v>10</v>
      </c>
      <c r="I75" s="14" t="s">
        <v>11</v>
      </c>
      <c r="J75" s="14" t="s">
        <v>12</v>
      </c>
      <c r="K75" s="14" t="s">
        <v>13</v>
      </c>
      <c r="L75" s="14" t="s">
        <v>14</v>
      </c>
      <c r="M75" s="14" t="s">
        <v>15</v>
      </c>
      <c r="N75" s="14" t="s">
        <v>16</v>
      </c>
      <c r="O75" s="14" t="s">
        <v>17</v>
      </c>
      <c r="P75" s="14" t="s">
        <v>18</v>
      </c>
      <c r="Q75" s="14" t="s">
        <v>19</v>
      </c>
      <c r="R75" s="14" t="s">
        <v>20</v>
      </c>
      <c r="S75" s="14" t="s">
        <v>21</v>
      </c>
      <c r="T75" s="14" t="s">
        <v>22</v>
      </c>
      <c r="U75" s="14" t="s">
        <v>23</v>
      </c>
      <c r="V75" s="14" t="s">
        <v>24</v>
      </c>
      <c r="W75" s="14" t="s">
        <v>25</v>
      </c>
      <c r="X75" s="14" t="s">
        <v>26</v>
      </c>
      <c r="Y75" s="14" t="s">
        <v>27</v>
      </c>
      <c r="Z75" s="14" t="s">
        <v>28</v>
      </c>
      <c r="AA75" s="14" t="s">
        <v>29</v>
      </c>
      <c r="AB75" s="14" t="s">
        <v>30</v>
      </c>
      <c r="AC75" s="14" t="s">
        <v>31</v>
      </c>
      <c r="AD75" s="14" t="s">
        <v>32</v>
      </c>
      <c r="AE75" s="14" t="s">
        <v>33</v>
      </c>
      <c r="AF75" s="14" t="s">
        <v>34</v>
      </c>
      <c r="AG75" s="14" t="s">
        <v>35</v>
      </c>
      <c r="AH75" s="14" t="s">
        <v>36</v>
      </c>
      <c r="AI75" s="14" t="s">
        <v>37</v>
      </c>
      <c r="AJ75" s="14" t="s">
        <v>38</v>
      </c>
      <c r="AK75" s="15"/>
    </row>
    <row r="76" ht="12.75" customHeight="1" spans="2:37" x14ac:dyDescent="0.25">
      <c r="B76" s="16" t="s">
        <v>41</v>
      </c>
      <c r="C76" s="17"/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 ht="12.75" customHeight="1" spans="2:37" x14ac:dyDescent="0.25">
      <c r="B77" s="16" t="s">
        <v>42</v>
      </c>
      <c r="C77" s="17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 ht="12.75" customHeight="1" spans="2:37" x14ac:dyDescent="0.25">
      <c r="B78" s="16" t="s">
        <v>43</v>
      </c>
      <c r="C78" s="17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9"/>
    </row>
    <row r="79" ht="12.75" customHeight="1" spans="2:37" x14ac:dyDescent="0.25">
      <c r="B79" s="16" t="s">
        <v>44</v>
      </c>
      <c r="C79" s="17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9"/>
    </row>
    <row r="80" ht="12.75" customHeight="1" spans="2:37" x14ac:dyDescent="0.25">
      <c r="B80" s="20" t="s">
        <v>45</v>
      </c>
      <c r="C80" s="21"/>
      <c r="D80" s="21"/>
      <c r="E80" s="22">
        <f>E76+E77+E78+E79</f>
      </c>
      <c r="F80" s="22">
        <f>F76+F77+F78+F79</f>
      </c>
      <c r="G80" s="22">
        <f>G76+G77+G78+G79</f>
      </c>
      <c r="H80" s="22">
        <f>H76+H77+H78+H79</f>
      </c>
      <c r="I80" s="22">
        <f>I76+I77+I78+I79</f>
      </c>
      <c r="J80" s="22">
        <f>J76+J77+J78+J79</f>
      </c>
      <c r="K80" s="22">
        <f>K76+K77+K78+K79</f>
      </c>
      <c r="L80" s="22">
        <f>L76+L77+L78+L79</f>
      </c>
      <c r="M80" s="22">
        <f>M76+M77+M78+M79</f>
      </c>
      <c r="N80" s="22">
        <f>N76+N77+N78+N79</f>
      </c>
      <c r="O80" s="22">
        <f>O76+O77+O78+O79</f>
      </c>
      <c r="P80" s="22">
        <f>P76+P77+P78+P79</f>
      </c>
      <c r="Q80" s="22">
        <f>Q76+Q77+Q78+Q79</f>
      </c>
      <c r="R80" s="22">
        <f>R76+R77+R78+R79</f>
      </c>
      <c r="S80" s="22">
        <f>S76+S77+S78+S79</f>
      </c>
      <c r="T80" s="22">
        <f>T76+T77+T78+T79</f>
      </c>
      <c r="U80" s="22">
        <f>U76+U77+U78+U79</f>
      </c>
      <c r="V80" s="22">
        <f>V76+V77+V78+V79</f>
      </c>
      <c r="W80" s="22">
        <f>W76+W77+W78+W79</f>
      </c>
      <c r="X80" s="22">
        <f>X76+X77+X78+X79</f>
      </c>
      <c r="Y80" s="22">
        <f>Y76+Y77+Y78+Y79</f>
      </c>
      <c r="Z80" s="22">
        <f>Z76+Z77+Z78+Z79</f>
      </c>
      <c r="AA80" s="22">
        <f>AA76+AA77+AA78+AA79</f>
      </c>
      <c r="AB80" s="22">
        <f>AB76+AB77+AB78+AB79</f>
      </c>
      <c r="AC80" s="22">
        <f>AC76+AC77+AC78+AC79</f>
      </c>
      <c r="AD80" s="22">
        <f>AD76+AD77+AD78+AD79</f>
      </c>
      <c r="AE80" s="22">
        <f>AE76+AE77+AE78+AE79</f>
      </c>
      <c r="AF80" s="22">
        <f>AF76+AF77+AF78+AF79</f>
      </c>
      <c r="AG80" s="22">
        <f>AG76+AG77+AG78+AG79</f>
      </c>
      <c r="AH80" s="22">
        <f>AH76+AH77+AH78+AH79</f>
      </c>
      <c r="AI80" s="22">
        <f>AI76+AI77+AI78+AI79</f>
      </c>
      <c r="AJ80" s="22">
        <f>AJ76+AJ77+AJ78+AJ79</f>
      </c>
      <c r="AK80" s="23"/>
    </row>
    <row r="82" ht="12.75" customHeight="1" spans="2:37" x14ac:dyDescent="0.25">
      <c r="B82" s="11" t="s">
        <v>47</v>
      </c>
      <c r="C82" s="12"/>
      <c r="D82" s="13"/>
      <c r="E82" s="14" t="s">
        <v>7</v>
      </c>
      <c r="F82" s="14" t="s">
        <v>8</v>
      </c>
      <c r="G82" s="14" t="s">
        <v>9</v>
      </c>
      <c r="H82" s="14" t="s">
        <v>10</v>
      </c>
      <c r="I82" s="14" t="s">
        <v>11</v>
      </c>
      <c r="J82" s="14" t="s">
        <v>12</v>
      </c>
      <c r="K82" s="14" t="s">
        <v>13</v>
      </c>
      <c r="L82" s="14" t="s">
        <v>14</v>
      </c>
      <c r="M82" s="14" t="s">
        <v>15</v>
      </c>
      <c r="N82" s="14" t="s">
        <v>16</v>
      </c>
      <c r="O82" s="14" t="s">
        <v>17</v>
      </c>
      <c r="P82" s="14" t="s">
        <v>18</v>
      </c>
      <c r="Q82" s="14" t="s">
        <v>19</v>
      </c>
      <c r="R82" s="14" t="s">
        <v>20</v>
      </c>
      <c r="S82" s="14" t="s">
        <v>21</v>
      </c>
      <c r="T82" s="14" t="s">
        <v>22</v>
      </c>
      <c r="U82" s="14" t="s">
        <v>23</v>
      </c>
      <c r="V82" s="14" t="s">
        <v>24</v>
      </c>
      <c r="W82" s="14" t="s">
        <v>25</v>
      </c>
      <c r="X82" s="14" t="s">
        <v>26</v>
      </c>
      <c r="Y82" s="14" t="s">
        <v>27</v>
      </c>
      <c r="Z82" s="14" t="s">
        <v>28</v>
      </c>
      <c r="AA82" s="14" t="s">
        <v>29</v>
      </c>
      <c r="AB82" s="14" t="s">
        <v>30</v>
      </c>
      <c r="AC82" s="14" t="s">
        <v>31</v>
      </c>
      <c r="AD82" s="14" t="s">
        <v>32</v>
      </c>
      <c r="AE82" s="14" t="s">
        <v>33</v>
      </c>
      <c r="AF82" s="14" t="s">
        <v>34</v>
      </c>
      <c r="AG82" s="14" t="s">
        <v>35</v>
      </c>
      <c r="AH82" s="14" t="s">
        <v>36</v>
      </c>
      <c r="AI82" s="14" t="s">
        <v>37</v>
      </c>
      <c r="AJ82" s="14" t="s">
        <v>38</v>
      </c>
      <c r="AK82" s="15"/>
    </row>
    <row r="83" ht="12.75" customHeight="1" spans="2:37" x14ac:dyDescent="0.25">
      <c r="B83" s="16" t="s">
        <v>41</v>
      </c>
      <c r="C83" s="17"/>
      <c r="D83" s="17"/>
      <c r="E83" s="24">
        <f>E76-E69</f>
      </c>
      <c r="F83" s="24">
        <f>F76-F69</f>
      </c>
      <c r="G83" s="24">
        <f>G76-G69</f>
      </c>
      <c r="H83" s="24">
        <f>H76-H69</f>
      </c>
      <c r="I83" s="24">
        <f>I76-I69</f>
      </c>
      <c r="J83" s="24">
        <f>J76-J69</f>
      </c>
      <c r="K83" s="24">
        <f>K76-K69</f>
      </c>
      <c r="L83" s="24">
        <f>L76-L69</f>
      </c>
      <c r="M83" s="24">
        <f>M76-M69</f>
      </c>
      <c r="N83" s="24">
        <f>N76-N69</f>
      </c>
      <c r="O83" s="24">
        <f>O76-O69</f>
      </c>
      <c r="P83" s="24">
        <f>P76-P69</f>
      </c>
      <c r="Q83" s="24">
        <f>Q76-Q69</f>
      </c>
      <c r="R83" s="24">
        <f>R76-R69</f>
      </c>
      <c r="S83" s="24">
        <f>S76-S69</f>
      </c>
      <c r="T83" s="24">
        <f>T76-T69</f>
      </c>
      <c r="U83" s="24">
        <f>U76-U69</f>
      </c>
      <c r="V83" s="24">
        <f>V76-V69</f>
      </c>
      <c r="W83" s="24">
        <f>W76-W69</f>
      </c>
      <c r="X83" s="24">
        <f>X76-X69</f>
      </c>
      <c r="Y83" s="24">
        <f>Y76-Y69</f>
      </c>
      <c r="Z83" s="24">
        <f>Z76-Z69</f>
      </c>
      <c r="AA83" s="24">
        <f>AA76-AA69</f>
      </c>
      <c r="AB83" s="24">
        <f>AB76-AB69</f>
      </c>
      <c r="AC83" s="24">
        <f>AC76-AC69</f>
      </c>
      <c r="AD83" s="24">
        <f>AD76-AD69</f>
      </c>
      <c r="AE83" s="24">
        <f>AE76-AE69</f>
      </c>
      <c r="AF83" s="24">
        <f>AF76-AF69</f>
      </c>
      <c r="AG83" s="24">
        <f>AG76-AG69</f>
      </c>
      <c r="AH83" s="24">
        <f>AH76-AH69</f>
      </c>
      <c r="AI83" s="24">
        <f>AI76-AI69</f>
      </c>
      <c r="AJ83" s="24">
        <f>AJ76-AJ69</f>
      </c>
      <c r="AK83" s="19"/>
    </row>
    <row r="84" ht="12.75" customHeight="1" spans="2:37" x14ac:dyDescent="0.25">
      <c r="B84" s="16" t="s">
        <v>42</v>
      </c>
      <c r="C84" s="17"/>
      <c r="D84" s="17"/>
      <c r="E84" s="24">
        <f>E77-E70</f>
      </c>
      <c r="F84" s="24">
        <f>F77-F70</f>
      </c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19"/>
    </row>
    <row r="85" ht="12.75" customHeight="1" spans="2:37" x14ac:dyDescent="0.25">
      <c r="B85" s="16" t="s">
        <v>43</v>
      </c>
      <c r="C85" s="17"/>
      <c r="D85" s="17"/>
      <c r="E85" s="24">
        <f>E78-E71</f>
      </c>
      <c r="F85" s="24">
        <f>F78-F71</f>
      </c>
      <c r="G85" s="24">
        <f>G78-G71</f>
      </c>
      <c r="H85" s="24">
        <f>H78-H71</f>
      </c>
      <c r="I85" s="24">
        <f>I78-I71</f>
      </c>
      <c r="J85" s="24">
        <f>J78-J71</f>
      </c>
      <c r="K85" s="24">
        <f>K78-K71</f>
      </c>
      <c r="L85" s="24">
        <f>L78-L71</f>
      </c>
      <c r="M85" s="24">
        <f>M78-M71</f>
      </c>
      <c r="N85" s="24">
        <f>N78-N71</f>
      </c>
      <c r="O85" s="24">
        <f>O78-O71</f>
      </c>
      <c r="P85" s="24">
        <f>P78-P71</f>
      </c>
      <c r="Q85" s="24">
        <f>Q78-Q71</f>
      </c>
      <c r="R85" s="24">
        <f>R78-R71</f>
      </c>
      <c r="S85" s="24">
        <f>S78-S71</f>
      </c>
      <c r="T85" s="24">
        <f>T78-T71</f>
      </c>
      <c r="U85" s="24">
        <f>U78-U71</f>
      </c>
      <c r="V85" s="24">
        <f>V78-V71</f>
      </c>
      <c r="W85" s="24">
        <f>W78-W71</f>
      </c>
      <c r="X85" s="24">
        <f>X78-X71</f>
      </c>
      <c r="Y85" s="24">
        <f>Y78-Y71</f>
      </c>
      <c r="Z85" s="24">
        <f>Z78-Z71</f>
      </c>
      <c r="AA85" s="24">
        <f>AA78-AA71</f>
      </c>
      <c r="AB85" s="24">
        <f>AB78-AB71</f>
      </c>
      <c r="AC85" s="24">
        <f>AC78-AC71</f>
      </c>
      <c r="AD85" s="24">
        <f>AD78-AD71</f>
      </c>
      <c r="AE85" s="24">
        <f>AE78-AE71</f>
      </c>
      <c r="AF85" s="24">
        <f>AF78-AF71</f>
      </c>
      <c r="AG85" s="24">
        <f>AG78-AG71</f>
      </c>
      <c r="AH85" s="24">
        <f>AH78-AH71</f>
      </c>
      <c r="AI85" s="24">
        <f>AI78-AI71</f>
      </c>
      <c r="AJ85" s="24">
        <f>AJ78-AJ71</f>
      </c>
      <c r="AK85" s="19"/>
    </row>
    <row r="86" ht="12.75" customHeight="1" spans="2:37" x14ac:dyDescent="0.25">
      <c r="B86" s="16" t="s">
        <v>44</v>
      </c>
      <c r="C86" s="17"/>
      <c r="D86" s="17"/>
      <c r="E86" s="24">
        <f>E79-E72</f>
      </c>
      <c r="F86" s="24">
        <f>F79-F72</f>
      </c>
      <c r="G86" s="24">
        <f>G79-G72</f>
      </c>
      <c r="H86" s="24">
        <f>H79-H72</f>
      </c>
      <c r="I86" s="24">
        <f>I79-I72</f>
      </c>
      <c r="J86" s="24">
        <f>J79-J72</f>
      </c>
      <c r="K86" s="24">
        <f>K79-K72</f>
      </c>
      <c r="L86" s="24">
        <f>L79-L72</f>
      </c>
      <c r="M86" s="24">
        <f>M79-M72</f>
      </c>
      <c r="N86" s="24">
        <f>N79-N72</f>
      </c>
      <c r="O86" s="24">
        <f>O79-O72</f>
      </c>
      <c r="P86" s="24">
        <f>P79-P72</f>
      </c>
      <c r="Q86" s="24">
        <f>Q79-Q72</f>
      </c>
      <c r="R86" s="24">
        <f>R79-R72</f>
      </c>
      <c r="S86" s="24">
        <f>S79-S72</f>
      </c>
      <c r="T86" s="24">
        <f>T79-T72</f>
      </c>
      <c r="U86" s="24">
        <f>U79-U72</f>
      </c>
      <c r="V86" s="24">
        <f>V79-V72</f>
      </c>
      <c r="W86" s="24">
        <f>W79-W72</f>
      </c>
      <c r="X86" s="24">
        <f>X79-X72</f>
      </c>
      <c r="Y86" s="24">
        <f>Y79-Y72</f>
      </c>
      <c r="Z86" s="24">
        <f>Z79-Z72</f>
      </c>
      <c r="AA86" s="24">
        <f>AA79-AA72</f>
      </c>
      <c r="AB86" s="24">
        <f>AB79-AB72</f>
      </c>
      <c r="AC86" s="24">
        <f>AC79-AC72</f>
      </c>
      <c r="AD86" s="24">
        <f>AD79-AD72</f>
      </c>
      <c r="AE86" s="24">
        <f>AE79-AE72</f>
      </c>
      <c r="AF86" s="24">
        <f>AF79-AF72</f>
      </c>
      <c r="AG86" s="24">
        <f>AG79-AG72</f>
      </c>
      <c r="AH86" s="24">
        <f>AH79-AH72</f>
      </c>
      <c r="AI86" s="24">
        <f>AI79-AI72</f>
      </c>
      <c r="AJ86" s="24">
        <f>AJ79-AJ72</f>
      </c>
      <c r="AK86" s="19"/>
    </row>
    <row r="87" ht="12.75" customHeight="1" spans="2:37" x14ac:dyDescent="0.25">
      <c r="B87" s="20" t="s">
        <v>45</v>
      </c>
      <c r="C87" s="21"/>
      <c r="D87" s="21"/>
      <c r="E87" s="25">
        <f>E83+E84+E85+E86</f>
      </c>
      <c r="F87" s="25">
        <f>F83+F84+F85+F86</f>
      </c>
      <c r="G87" s="25">
        <f>G83+G84+G85+G86</f>
      </c>
      <c r="H87" s="25">
        <f>H83+H84+H85+H86</f>
      </c>
      <c r="I87" s="25">
        <f>I83+I84+I85+I86</f>
      </c>
      <c r="J87" s="25">
        <f>J83+J84+J85+J86</f>
      </c>
      <c r="K87" s="25">
        <f>K83+K84+K85+K86</f>
      </c>
      <c r="L87" s="25">
        <f>L83+L84+L85+L86</f>
      </c>
      <c r="M87" s="25">
        <f>M83+M84+M85+M86</f>
      </c>
      <c r="N87" s="25">
        <f>N83+N84+N85+N86</f>
      </c>
      <c r="O87" s="25">
        <f>O83+O84+O85+O86</f>
      </c>
      <c r="P87" s="25">
        <f>P83+P84+P85+P86</f>
      </c>
      <c r="Q87" s="25">
        <f>Q83+Q84+Q85+Q86</f>
      </c>
      <c r="R87" s="25">
        <f>R83+R84+R85+R86</f>
      </c>
      <c r="S87" s="25">
        <f>S83+S84+S85+S86</f>
      </c>
      <c r="T87" s="25">
        <f>T83+T84+T85+T86</f>
      </c>
      <c r="U87" s="25">
        <f>U83+U84+U85+U86</f>
      </c>
      <c r="V87" s="25">
        <f>V83+V84+V85+V86</f>
      </c>
      <c r="W87" s="25">
        <f>W83+W84+W85+W86</f>
      </c>
      <c r="X87" s="25">
        <f>X83+X84+X85+X86</f>
      </c>
      <c r="Y87" s="25">
        <f>Y83+Y84+Y85+Y86</f>
      </c>
      <c r="Z87" s="25">
        <f>Z83+Z84+Z85+Z86</f>
      </c>
      <c r="AA87" s="25">
        <f>AA83+AA84+AA85+AA86</f>
      </c>
      <c r="AB87" s="25">
        <f>AB83+AB84+AB85+AB86</f>
      </c>
      <c r="AC87" s="25">
        <f>AC83+AC84+AC85+AC86</f>
      </c>
      <c r="AD87" s="25">
        <f>AD83+AD84+AD85+AD86</f>
      </c>
      <c r="AE87" s="25">
        <f>AE83+AE84+AE85+AE86</f>
      </c>
      <c r="AF87" s="25">
        <f>AF83+AF84+AF85+AF86</f>
      </c>
      <c r="AG87" s="25">
        <f>AG83+AG84+AG85+AG86</f>
      </c>
      <c r="AH87" s="25">
        <f>AH83+AH84+AH85+AH86</f>
      </c>
      <c r="AI87" s="25">
        <f>AI83+AI84+AI85+AI86</f>
      </c>
      <c r="AJ87" s="25">
        <f>AJ83+AJ84+AJ85+AJ86</f>
      </c>
      <c r="AK8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2652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2696</v>
      </c>
      <c r="W8" s="44" t="s">
        <v>2697</v>
      </c>
      <c r="X8" s="44" t="s">
        <v>2698</v>
      </c>
      <c r="Y8" s="44" t="s">
        <v>2699</v>
      </c>
      <c r="Z8" s="44" t="s">
        <v>2700</v>
      </c>
      <c r="AA8" s="44" t="s">
        <v>2701</v>
      </c>
      <c r="AB8" s="44" t="s">
        <v>2702</v>
      </c>
      <c r="AC8" s="44" t="s">
        <v>2703</v>
      </c>
      <c r="AD8" s="44" t="s">
        <v>2704</v>
      </c>
      <c r="AE8" s="44" t="s">
        <v>2705</v>
      </c>
      <c r="AF8" s="44" t="s">
        <v>2706</v>
      </c>
      <c r="AG8" s="44" t="s">
        <v>2707</v>
      </c>
      <c r="AH8" s="44" t="s">
        <v>2708</v>
      </c>
      <c r="AI8" s="44" t="s">
        <v>2709</v>
      </c>
      <c r="AJ8" s="44" t="s">
        <v>2710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2652</v>
      </c>
      <c r="D10" s="50" t="s">
        <v>41</v>
      </c>
      <c r="E10" s="32" t="s">
        <v>3</v>
      </c>
      <c r="F10" s="32" t="s">
        <v>2653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>
        <f>929.21+1396.65</f>
        <v>2325.86</v>
      </c>
      <c r="W10" s="33">
        <f>1319.50+1249.52+1007.00+20.21+693.65+340.53</f>
        <v>4630.41</v>
      </c>
      <c r="X10" s="33">
        <v>942.48</v>
      </c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2652</v>
      </c>
      <c r="D15" s="50" t="s">
        <v>42</v>
      </c>
      <c r="E15" s="32" t="s">
        <v>3</v>
      </c>
      <c r="F15" s="32" t="s">
        <v>2654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v>332.35</v>
      </c>
      <c r="W15" s="33">
        <v>459.52</v>
      </c>
      <c r="X15" s="33">
        <v>394.75</v>
      </c>
      <c r="Y15" s="33">
        <v>488.08</v>
      </c>
      <c r="Z15" s="33">
        <v>514.45</v>
      </c>
      <c r="AA15" s="33">
        <v>638.23</v>
      </c>
      <c r="AB15" s="33">
        <v>748.77</v>
      </c>
      <c r="AC15" s="33">
        <v>761.76</v>
      </c>
      <c r="AD15" s="33">
        <v>847.73</v>
      </c>
      <c r="AE15" s="33">
        <v>570.1</v>
      </c>
      <c r="AF15" s="33">
        <v>351.08</v>
      </c>
      <c r="AG15" s="33">
        <v>265.65</v>
      </c>
      <c r="AH15" s="33">
        <v>315.91</v>
      </c>
      <c r="AI15" s="33">
        <v>478.87</v>
      </c>
      <c r="AJ15" s="33">
        <v>462.67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2652</v>
      </c>
      <c r="D16" s="50" t="s">
        <v>42</v>
      </c>
      <c r="E16" s="32" t="s">
        <v>3</v>
      </c>
      <c r="F16" s="32" t="s">
        <v>2655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358.09</v>
      </c>
      <c r="W16" s="33">
        <v>419.91</v>
      </c>
      <c r="X16" s="33">
        <v>425.05</v>
      </c>
      <c r="Y16" s="33">
        <v>533.96</v>
      </c>
      <c r="Z16" s="33">
        <v>256.98</v>
      </c>
      <c r="AA16" s="33">
        <v>169.06</v>
      </c>
      <c r="AB16" s="33">
        <v>164.75</v>
      </c>
      <c r="AC16" s="33">
        <v>137.97</v>
      </c>
      <c r="AD16" s="33">
        <v>152.12</v>
      </c>
      <c r="AE16" s="33">
        <v>118.71</v>
      </c>
      <c r="AF16" s="33">
        <v>118.39</v>
      </c>
      <c r="AG16" s="33">
        <v>229.29</v>
      </c>
      <c r="AH16" s="33">
        <v>294.94</v>
      </c>
      <c r="AI16" s="33">
        <v>413.07</v>
      </c>
      <c r="AJ16" s="33">
        <v>448.01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2652</v>
      </c>
      <c r="D17" s="50" t="s">
        <v>42</v>
      </c>
      <c r="E17" s="32" t="s">
        <v>3</v>
      </c>
      <c r="F17" s="32" t="s">
        <v>2656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v>787.48</v>
      </c>
      <c r="W17" s="33">
        <v>1050.54</v>
      </c>
      <c r="X17" s="33">
        <v>719.07</v>
      </c>
      <c r="Y17" s="33">
        <v>643.65</v>
      </c>
      <c r="Z17" s="33">
        <v>574.14</v>
      </c>
      <c r="AA17" s="33">
        <v>611.22</v>
      </c>
      <c r="AB17" s="33">
        <v>717.36</v>
      </c>
      <c r="AC17" s="33">
        <v>822.35</v>
      </c>
      <c r="AD17" s="33">
        <v>927</v>
      </c>
      <c r="AE17" s="33">
        <v>690.28</v>
      </c>
      <c r="AF17" s="33">
        <v>393.18</v>
      </c>
      <c r="AG17" s="33">
        <v>576.12</v>
      </c>
      <c r="AH17" s="33">
        <v>851.99</v>
      </c>
      <c r="AI17" s="33">
        <v>933.83</v>
      </c>
      <c r="AJ17" s="33">
        <v>784.54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2652</v>
      </c>
      <c r="D18" s="50" t="s">
        <v>42</v>
      </c>
      <c r="E18" s="32" t="s">
        <v>3</v>
      </c>
      <c r="F18" s="32" t="s">
        <v>2657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426.83</v>
      </c>
      <c r="W18" s="33">
        <v>849.65</v>
      </c>
      <c r="X18" s="33">
        <v>558.64</v>
      </c>
      <c r="Y18" s="33">
        <v>529.57</v>
      </c>
      <c r="Z18" s="33">
        <v>383.16</v>
      </c>
      <c r="AA18" s="33">
        <v>522.8</v>
      </c>
      <c r="AB18" s="33">
        <v>624.4</v>
      </c>
      <c r="AC18" s="33">
        <v>754.4</v>
      </c>
      <c r="AD18" s="33">
        <v>910.92</v>
      </c>
      <c r="AE18" s="33">
        <v>549.78</v>
      </c>
      <c r="AF18" s="33">
        <v>469.96</v>
      </c>
      <c r="AG18" s="33">
        <v>389.79</v>
      </c>
      <c r="AH18" s="33">
        <v>388.51</v>
      </c>
      <c r="AI18" s="33">
        <v>513.43</v>
      </c>
      <c r="AJ18" s="33">
        <v>417.61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2652</v>
      </c>
      <c r="D19" s="50" t="s">
        <v>42</v>
      </c>
      <c r="E19" s="32" t="s">
        <v>3</v>
      </c>
      <c r="F19" s="32" t="s">
        <v>2658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283.83</v>
      </c>
      <c r="W19" s="33">
        <v>471.95</v>
      </c>
      <c r="X19" s="33">
        <v>430.97</v>
      </c>
      <c r="Y19" s="33">
        <v>560.38</v>
      </c>
      <c r="Z19" s="33">
        <v>285.72</v>
      </c>
      <c r="AA19" s="33">
        <v>292.7</v>
      </c>
      <c r="AB19" s="33">
        <v>414.28</v>
      </c>
      <c r="AC19" s="33">
        <v>477.99</v>
      </c>
      <c r="AD19" s="33">
        <v>637.95</v>
      </c>
      <c r="AE19" s="33">
        <v>227.42</v>
      </c>
      <c r="AF19" s="33">
        <v>118.59</v>
      </c>
      <c r="AG19" s="33">
        <v>319.53</v>
      </c>
      <c r="AH19" s="33">
        <v>376.41</v>
      </c>
      <c r="AI19" s="33">
        <v>498.84</v>
      </c>
      <c r="AJ19" s="33">
        <v>476.66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2652</v>
      </c>
      <c r="D20" s="50" t="s">
        <v>42</v>
      </c>
      <c r="E20" s="32" t="s">
        <v>3</v>
      </c>
      <c r="F20" s="32" t="s">
        <v>2659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465.08</v>
      </c>
      <c r="W20" s="33">
        <v>606.3</v>
      </c>
      <c r="X20" s="33">
        <v>481.76</v>
      </c>
      <c r="Y20" s="33">
        <v>550.7</v>
      </c>
      <c r="Z20" s="33">
        <v>675.03</v>
      </c>
      <c r="AA20" s="33">
        <v>754.4</v>
      </c>
      <c r="AB20" s="33">
        <v>897.11</v>
      </c>
      <c r="AC20" s="33">
        <v>1024.91</v>
      </c>
      <c r="AD20" s="33">
        <v>1160.31</v>
      </c>
      <c r="AE20" s="33">
        <v>859.69</v>
      </c>
      <c r="AF20" s="33">
        <v>449.53</v>
      </c>
      <c r="AG20" s="33">
        <v>412.51</v>
      </c>
      <c r="AH20" s="33">
        <v>527.6</v>
      </c>
      <c r="AI20" s="33">
        <v>556.51</v>
      </c>
      <c r="AJ20" s="33">
        <v>432.82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2652</v>
      </c>
      <c r="D21" s="50" t="s">
        <v>42</v>
      </c>
      <c r="E21" s="32" t="s">
        <v>3</v>
      </c>
      <c r="F21" s="32" t="s">
        <v>2660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249.09</v>
      </c>
      <c r="W21" s="33">
        <v>712.28</v>
      </c>
      <c r="X21" s="33">
        <v>490.62</v>
      </c>
      <c r="Y21" s="33">
        <v>464.36</v>
      </c>
      <c r="Z21" s="33">
        <v>130.78</v>
      </c>
      <c r="AA21" s="33">
        <v>66.44</v>
      </c>
      <c r="AB21" s="33">
        <v>89.23</v>
      </c>
      <c r="AC21" s="33">
        <v>103.42</v>
      </c>
      <c r="AD21" s="33">
        <v>151.72</v>
      </c>
      <c r="AE21" s="33">
        <v>109.53</v>
      </c>
      <c r="AF21" s="33">
        <v>160.32</v>
      </c>
      <c r="AG21" s="33">
        <v>271.5</v>
      </c>
      <c r="AH21" s="33">
        <v>328.68</v>
      </c>
      <c r="AI21" s="33">
        <v>490.79</v>
      </c>
      <c r="AJ21" s="33">
        <v>369.43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2652</v>
      </c>
      <c r="D22" s="50" t="s">
        <v>42</v>
      </c>
      <c r="E22" s="32" t="s">
        <v>3</v>
      </c>
      <c r="F22" s="32" t="s">
        <v>2661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>
        <v>680.59</v>
      </c>
      <c r="W22" s="33">
        <v>777.5</v>
      </c>
      <c r="X22" s="33">
        <v>591.14</v>
      </c>
      <c r="Y22" s="33">
        <v>636.9</v>
      </c>
      <c r="Z22" s="33">
        <v>430.01</v>
      </c>
      <c r="AA22" s="33">
        <v>552.28</v>
      </c>
      <c r="AB22" s="33">
        <v>789.85</v>
      </c>
      <c r="AC22" s="33">
        <v>884.36</v>
      </c>
      <c r="AD22" s="33">
        <v>929.09</v>
      </c>
      <c r="AE22" s="33">
        <v>600.53</v>
      </c>
      <c r="AF22" s="33">
        <v>603.83</v>
      </c>
      <c r="AG22" s="33">
        <v>642.95</v>
      </c>
      <c r="AH22" s="33">
        <v>713.73</v>
      </c>
      <c r="AI22" s="33">
        <v>745.79</v>
      </c>
      <c r="AJ22" s="33">
        <v>735.4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2652</v>
      </c>
      <c r="D23" s="50" t="s">
        <v>42</v>
      </c>
      <c r="E23" s="32" t="s">
        <v>3</v>
      </c>
      <c r="F23" s="32" t="s">
        <v>2662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v>902.57</v>
      </c>
      <c r="W23" s="33">
        <v>1233.67</v>
      </c>
      <c r="X23" s="33">
        <v>1028</v>
      </c>
      <c r="Y23" s="33">
        <v>1262.53</v>
      </c>
      <c r="Z23" s="33">
        <v>963.53</v>
      </c>
      <c r="AA23" s="33">
        <v>1053.02</v>
      </c>
      <c r="AB23" s="33">
        <v>1290.65</v>
      </c>
      <c r="AC23" s="33">
        <v>1325.29</v>
      </c>
      <c r="AD23" s="33">
        <v>1525.04</v>
      </c>
      <c r="AE23" s="33">
        <v>1048.85</v>
      </c>
      <c r="AF23" s="33">
        <v>800.84</v>
      </c>
      <c r="AG23" s="33">
        <v>897.64</v>
      </c>
      <c r="AH23" s="33">
        <v>824.11</v>
      </c>
      <c r="AI23" s="33">
        <v>1013.07</v>
      </c>
      <c r="AJ23" s="33">
        <v>1323.26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2652</v>
      </c>
      <c r="D24" s="50" t="s">
        <v>42</v>
      </c>
      <c r="E24" s="32" t="s">
        <v>3</v>
      </c>
      <c r="F24" s="32" t="s">
        <v>2663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3">
        <v>500.52</v>
      </c>
      <c r="W24" s="33">
        <v>707.93</v>
      </c>
      <c r="X24" s="33">
        <v>511.9</v>
      </c>
      <c r="Y24" s="33">
        <v>506.89</v>
      </c>
      <c r="Z24" s="33">
        <v>418.09</v>
      </c>
      <c r="AA24" s="33">
        <v>529.09</v>
      </c>
      <c r="AB24" s="33">
        <v>682.46</v>
      </c>
      <c r="AC24" s="33">
        <v>773.18</v>
      </c>
      <c r="AD24" s="33">
        <v>926.78</v>
      </c>
      <c r="AE24" s="33">
        <v>780.65</v>
      </c>
      <c r="AF24" s="33">
        <v>339.19</v>
      </c>
      <c r="AG24" s="33">
        <v>360.16</v>
      </c>
      <c r="AH24" s="33">
        <v>443.91</v>
      </c>
      <c r="AI24" s="33">
        <v>420.01</v>
      </c>
      <c r="AJ24" s="33">
        <v>360.08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2652</v>
      </c>
      <c r="D25" s="50" t="s">
        <v>42</v>
      </c>
      <c r="E25" s="32" t="s">
        <v>3</v>
      </c>
      <c r="F25" s="32" t="s">
        <v>2664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>
        <v>558.22</v>
      </c>
      <c r="W25" s="33">
        <v>790.36</v>
      </c>
      <c r="X25" s="33">
        <v>756.43</v>
      </c>
      <c r="Y25" s="33">
        <v>765.67</v>
      </c>
      <c r="Z25" s="33">
        <v>865.38</v>
      </c>
      <c r="AA25" s="33">
        <v>1136.6</v>
      </c>
      <c r="AB25" s="33">
        <v>998.45</v>
      </c>
      <c r="AC25" s="33">
        <v>1181.78</v>
      </c>
      <c r="AD25" s="33">
        <v>1117.3</v>
      </c>
      <c r="AE25" s="33">
        <v>880.6</v>
      </c>
      <c r="AF25" s="33">
        <v>613.65</v>
      </c>
      <c r="AG25" s="33">
        <v>469.49</v>
      </c>
      <c r="AH25" s="33">
        <v>546.38</v>
      </c>
      <c r="AI25" s="33">
        <v>694.81</v>
      </c>
      <c r="AJ25" s="33">
        <v>653.23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2652</v>
      </c>
      <c r="D26" s="50" t="s">
        <v>42</v>
      </c>
      <c r="E26" s="32" t="s">
        <v>3</v>
      </c>
      <c r="F26" s="32" t="s">
        <v>2665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>
        <v>363.94</v>
      </c>
      <c r="W26" s="33">
        <v>558.15</v>
      </c>
      <c r="X26" s="33">
        <v>338.88</v>
      </c>
      <c r="Y26" s="33">
        <v>329.76</v>
      </c>
      <c r="Z26" s="33">
        <v>311.77</v>
      </c>
      <c r="AA26" s="33">
        <v>214.03</v>
      </c>
      <c r="AB26" s="33">
        <v>379.04</v>
      </c>
      <c r="AC26" s="33">
        <v>431.67</v>
      </c>
      <c r="AD26" s="33">
        <v>483.85</v>
      </c>
      <c r="AE26" s="33">
        <v>283.92</v>
      </c>
      <c r="AF26" s="33">
        <v>156.39</v>
      </c>
      <c r="AG26" s="33">
        <v>173.5</v>
      </c>
      <c r="AH26" s="33">
        <v>246.89</v>
      </c>
      <c r="AI26" s="33">
        <v>343.24</v>
      </c>
      <c r="AJ26" s="33">
        <v>239.89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2652</v>
      </c>
      <c r="D27" s="50" t="s">
        <v>42</v>
      </c>
      <c r="E27" s="32" t="s">
        <v>3</v>
      </c>
      <c r="F27" s="32" t="s">
        <v>2666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873.15</v>
      </c>
      <c r="W27" s="33">
        <v>1112.15</v>
      </c>
      <c r="X27" s="33">
        <v>757.92</v>
      </c>
      <c r="Y27" s="33">
        <v>964.82</v>
      </c>
      <c r="Z27" s="33">
        <v>855.25</v>
      </c>
      <c r="AA27" s="33">
        <v>1002.68</v>
      </c>
      <c r="AB27" s="33">
        <v>1318.37</v>
      </c>
      <c r="AC27" s="33">
        <v>1401.12</v>
      </c>
      <c r="AD27" s="33">
        <v>1561.72</v>
      </c>
      <c r="AE27" s="33">
        <v>1135.19</v>
      </c>
      <c r="AF27" s="33">
        <v>676.77</v>
      </c>
      <c r="AG27" s="33">
        <v>535.26</v>
      </c>
      <c r="AH27" s="33">
        <v>737.2</v>
      </c>
      <c r="AI27" s="33">
        <v>944.27</v>
      </c>
      <c r="AJ27" s="33">
        <v>824.07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2652</v>
      </c>
      <c r="D28" s="50" t="s">
        <v>42</v>
      </c>
      <c r="E28" s="32" t="s">
        <v>3</v>
      </c>
      <c r="F28" s="32" t="s">
        <v>2667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>
        <v>531.45</v>
      </c>
      <c r="W28" s="33">
        <v>875.29</v>
      </c>
      <c r="X28" s="33">
        <v>606.39</v>
      </c>
      <c r="Y28" s="33">
        <v>658.77</v>
      </c>
      <c r="Z28" s="33">
        <v>592.1</v>
      </c>
      <c r="AA28" s="33">
        <v>545.38</v>
      </c>
      <c r="AB28" s="33">
        <v>689.2</v>
      </c>
      <c r="AC28" s="33">
        <v>850.89</v>
      </c>
      <c r="AD28" s="33">
        <v>910.33</v>
      </c>
      <c r="AE28" s="33">
        <v>570.65</v>
      </c>
      <c r="AF28" s="33">
        <v>487.52</v>
      </c>
      <c r="AG28" s="33">
        <v>445.93</v>
      </c>
      <c r="AH28" s="33">
        <v>564.08</v>
      </c>
      <c r="AI28" s="33">
        <v>693.69</v>
      </c>
      <c r="AJ28" s="33">
        <v>577.54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2652</v>
      </c>
      <c r="D29" s="50" t="s">
        <v>42</v>
      </c>
      <c r="E29" s="32" t="s">
        <v>3</v>
      </c>
      <c r="F29" s="32" t="s">
        <v>2668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528.63</v>
      </c>
      <c r="W29" s="33">
        <v>664.32</v>
      </c>
      <c r="X29" s="33">
        <v>421.01</v>
      </c>
      <c r="Y29" s="33">
        <v>390.05</v>
      </c>
      <c r="Z29" s="33">
        <v>395.05</v>
      </c>
      <c r="AA29" s="33">
        <v>538.49</v>
      </c>
      <c r="AB29" s="33">
        <v>742.52</v>
      </c>
      <c r="AC29" s="33">
        <v>685.23</v>
      </c>
      <c r="AD29" s="33">
        <v>829.76</v>
      </c>
      <c r="AE29" s="33">
        <v>494.28</v>
      </c>
      <c r="AF29" s="33">
        <v>361.38</v>
      </c>
      <c r="AG29" s="33">
        <v>371.72</v>
      </c>
      <c r="AH29" s="33">
        <v>508.35</v>
      </c>
      <c r="AI29" s="33">
        <v>515.18</v>
      </c>
      <c r="AJ29" s="33">
        <v>401.38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2652</v>
      </c>
      <c r="D30" s="50" t="s">
        <v>42</v>
      </c>
      <c r="E30" s="32" t="s">
        <v>3</v>
      </c>
      <c r="F30" s="32" t="s">
        <v>2669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>
        <v>308.27</v>
      </c>
      <c r="W30" s="33">
        <v>412.21</v>
      </c>
      <c r="X30" s="33">
        <v>271.3</v>
      </c>
      <c r="Y30" s="33">
        <v>321.81</v>
      </c>
      <c r="Z30" s="33">
        <v>164.05</v>
      </c>
      <c r="AA30" s="33">
        <v>135.36</v>
      </c>
      <c r="AB30" s="33">
        <v>174.65</v>
      </c>
      <c r="AC30" s="33">
        <v>202.75</v>
      </c>
      <c r="AD30" s="33">
        <v>196.33</v>
      </c>
      <c r="AE30" s="33">
        <v>145.71</v>
      </c>
      <c r="AF30" s="33">
        <v>129.95</v>
      </c>
      <c r="AG30" s="33">
        <v>338.15</v>
      </c>
      <c r="AH30" s="33">
        <v>407.09</v>
      </c>
      <c r="AI30" s="33">
        <v>422.79</v>
      </c>
      <c r="AJ30" s="33">
        <v>387.71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2652</v>
      </c>
      <c r="D31" s="50" t="s">
        <v>42</v>
      </c>
      <c r="E31" s="32" t="s">
        <v>3</v>
      </c>
      <c r="F31" s="32" t="s">
        <v>2670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>
        <v>369.27</v>
      </c>
      <c r="W31" s="33">
        <v>502.83</v>
      </c>
      <c r="X31" s="33">
        <v>311.61</v>
      </c>
      <c r="Y31" s="33">
        <v>359.39</v>
      </c>
      <c r="Z31" s="33">
        <v>362.59</v>
      </c>
      <c r="AA31" s="33">
        <v>419.04</v>
      </c>
      <c r="AB31" s="33">
        <v>415.83</v>
      </c>
      <c r="AC31" s="33">
        <v>388.7</v>
      </c>
      <c r="AD31" s="33">
        <v>439.82</v>
      </c>
      <c r="AE31" s="33">
        <v>336.93</v>
      </c>
      <c r="AF31" s="33">
        <v>229.23</v>
      </c>
      <c r="AG31" s="33">
        <v>338.15</v>
      </c>
      <c r="AH31" s="33">
        <v>370.61</v>
      </c>
      <c r="AI31" s="33">
        <v>454.92</v>
      </c>
      <c r="AJ31" s="33">
        <v>435.92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2652</v>
      </c>
      <c r="D32" s="50" t="s">
        <v>42</v>
      </c>
      <c r="E32" s="32" t="s">
        <v>3</v>
      </c>
      <c r="F32" s="32" t="s">
        <v>2671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>
        <v>582.47</v>
      </c>
      <c r="W32" s="33">
        <v>647.08</v>
      </c>
      <c r="X32" s="33">
        <v>411.18</v>
      </c>
      <c r="Y32" s="33">
        <v>432.54</v>
      </c>
      <c r="Z32" s="33">
        <v>285.52</v>
      </c>
      <c r="AA32" s="33">
        <v>266.68</v>
      </c>
      <c r="AB32" s="33">
        <v>319.12</v>
      </c>
      <c r="AC32" s="33">
        <v>373.11</v>
      </c>
      <c r="AD32" s="33">
        <v>423.35</v>
      </c>
      <c r="AE32" s="33">
        <v>353.6</v>
      </c>
      <c r="AF32" s="33">
        <v>213.73</v>
      </c>
      <c r="AG32" s="33">
        <v>283.35</v>
      </c>
      <c r="AH32" s="33">
        <v>427.38</v>
      </c>
      <c r="AI32" s="33">
        <v>403.16</v>
      </c>
      <c r="AJ32" s="33">
        <v>353.2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2652</v>
      </c>
      <c r="D33" s="50" t="s">
        <v>42</v>
      </c>
      <c r="E33" s="32" t="s">
        <v>3</v>
      </c>
      <c r="F33" s="32" t="s">
        <v>2672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>
        <v>434.15</v>
      </c>
      <c r="W33" s="33">
        <v>518.72</v>
      </c>
      <c r="X33" s="33">
        <v>334.47</v>
      </c>
      <c r="Y33" s="33">
        <v>381.09</v>
      </c>
      <c r="Z33" s="33">
        <v>337.28</v>
      </c>
      <c r="AA33" s="33">
        <v>246.95</v>
      </c>
      <c r="AB33" s="33">
        <v>272.98</v>
      </c>
      <c r="AC33" s="33">
        <v>381</v>
      </c>
      <c r="AD33" s="33">
        <v>452.46</v>
      </c>
      <c r="AE33" s="33">
        <v>352.83</v>
      </c>
      <c r="AF33" s="33">
        <v>295.41</v>
      </c>
      <c r="AG33" s="33">
        <v>323.65</v>
      </c>
      <c r="AH33" s="33">
        <v>504.41</v>
      </c>
      <c r="AI33" s="33">
        <v>486.53</v>
      </c>
      <c r="AJ33" s="33">
        <v>418.66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2652</v>
      </c>
      <c r="D34" s="50" t="s">
        <v>42</v>
      </c>
      <c r="E34" s="32" t="s">
        <v>3</v>
      </c>
      <c r="F34" s="32" t="s">
        <v>2673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639.94</v>
      </c>
      <c r="W34" s="33">
        <v>762.54</v>
      </c>
      <c r="X34" s="33">
        <v>576.34</v>
      </c>
      <c r="Y34" s="33">
        <v>686.86</v>
      </c>
      <c r="Z34" s="33">
        <v>687.01</v>
      </c>
      <c r="AA34" s="33">
        <v>1012.94</v>
      </c>
      <c r="AB34" s="33">
        <v>1115.41</v>
      </c>
      <c r="AC34" s="33">
        <v>1203.17</v>
      </c>
      <c r="AD34" s="33">
        <v>1489.81</v>
      </c>
      <c r="AE34" s="33">
        <v>1157.93</v>
      </c>
      <c r="AF34" s="33">
        <v>743.8</v>
      </c>
      <c r="AG34" s="33">
        <v>525.52</v>
      </c>
      <c r="AH34" s="33">
        <v>570.89</v>
      </c>
      <c r="AI34" s="33">
        <v>724.23</v>
      </c>
      <c r="AJ34" s="33">
        <v>651.12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2652</v>
      </c>
      <c r="D35" s="50" t="s">
        <v>42</v>
      </c>
      <c r="E35" s="32" t="s">
        <v>3</v>
      </c>
      <c r="F35" s="32" t="s">
        <v>2674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v>737.51</v>
      </c>
      <c r="W35" s="33">
        <v>907.28</v>
      </c>
      <c r="X35" s="33">
        <v>523.08</v>
      </c>
      <c r="Y35" s="33">
        <v>575.26</v>
      </c>
      <c r="Z35" s="33">
        <v>381.27</v>
      </c>
      <c r="AA35" s="33">
        <v>487.18</v>
      </c>
      <c r="AB35" s="33">
        <v>630.78</v>
      </c>
      <c r="AC35" s="33">
        <v>744.84</v>
      </c>
      <c r="AD35" s="33">
        <v>818.79</v>
      </c>
      <c r="AE35" s="33">
        <v>506.72</v>
      </c>
      <c r="AF35" s="33">
        <v>335.08</v>
      </c>
      <c r="AG35" s="33">
        <v>487.61</v>
      </c>
      <c r="AH35" s="33">
        <v>686.81</v>
      </c>
      <c r="AI35" s="33">
        <v>708.63</v>
      </c>
      <c r="AJ35" s="33">
        <v>512.98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2652</v>
      </c>
      <c r="D36" s="50" t="s">
        <v>42</v>
      </c>
      <c r="E36" s="32" t="s">
        <v>3</v>
      </c>
      <c r="F36" s="32" t="s">
        <v>2675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3">
        <v>275.51</v>
      </c>
      <c r="W36" s="33">
        <v>373.75</v>
      </c>
      <c r="X36" s="33">
        <v>441.65</v>
      </c>
      <c r="Y36" s="33">
        <v>439.32</v>
      </c>
      <c r="Z36" s="33">
        <v>354.26</v>
      </c>
      <c r="AA36" s="33">
        <v>354.73</v>
      </c>
      <c r="AB36" s="33">
        <v>386.95</v>
      </c>
      <c r="AC36" s="33">
        <v>455.82</v>
      </c>
      <c r="AD36" s="33">
        <v>477.94</v>
      </c>
      <c r="AE36" s="33">
        <v>257.46</v>
      </c>
      <c r="AF36" s="33">
        <v>270.63</v>
      </c>
      <c r="AG36" s="33">
        <v>355.35</v>
      </c>
      <c r="AH36" s="33">
        <v>443.22</v>
      </c>
      <c r="AI36" s="33">
        <v>377.29</v>
      </c>
      <c r="AJ36" s="33">
        <v>386.71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2652</v>
      </c>
      <c r="D37" s="50" t="s">
        <v>42</v>
      </c>
      <c r="E37" s="32" t="s">
        <v>3</v>
      </c>
      <c r="F37" s="32" t="s">
        <v>2676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>
        <v>301.42</v>
      </c>
      <c r="W37" s="33">
        <v>496.3</v>
      </c>
      <c r="X37" s="33">
        <v>473.64</v>
      </c>
      <c r="Y37" s="33">
        <v>491.46</v>
      </c>
      <c r="Z37" s="33">
        <v>227.32</v>
      </c>
      <c r="AA37" s="33">
        <v>97.42</v>
      </c>
      <c r="AB37" s="33">
        <v>233.06</v>
      </c>
      <c r="AC37" s="33">
        <v>172.7</v>
      </c>
      <c r="AD37" s="33">
        <v>195.21</v>
      </c>
      <c r="AE37" s="33">
        <v>59.76</v>
      </c>
      <c r="AF37" s="33">
        <v>82.31</v>
      </c>
      <c r="AG37" s="33">
        <v>153.9</v>
      </c>
      <c r="AH37" s="33">
        <v>291.35</v>
      </c>
      <c r="AI37" s="33">
        <v>395.71</v>
      </c>
      <c r="AJ37" s="33">
        <v>378.75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2652</v>
      </c>
      <c r="D38" s="50" t="s">
        <v>42</v>
      </c>
      <c r="E38" s="32" t="s">
        <v>3</v>
      </c>
      <c r="F38" s="32" t="s">
        <v>2677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>
        <v>326.16</v>
      </c>
      <c r="W38" s="33">
        <v>366.91</v>
      </c>
      <c r="X38" s="33">
        <v>228.12</v>
      </c>
      <c r="Y38" s="33">
        <v>297.58</v>
      </c>
      <c r="Z38" s="33">
        <v>344.46</v>
      </c>
      <c r="AA38" s="33">
        <v>177.27</v>
      </c>
      <c r="AB38" s="33">
        <v>330.55</v>
      </c>
      <c r="AC38" s="33">
        <v>421.95</v>
      </c>
      <c r="AD38" s="33">
        <v>552.36</v>
      </c>
      <c r="AE38" s="33">
        <v>490.08</v>
      </c>
      <c r="AF38" s="33">
        <v>251.23</v>
      </c>
      <c r="AG38" s="33">
        <v>368.27</v>
      </c>
      <c r="AH38" s="33">
        <v>422.27</v>
      </c>
      <c r="AI38" s="33">
        <v>429.21</v>
      </c>
      <c r="AJ38" s="33">
        <v>409.15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2652</v>
      </c>
      <c r="D39" s="50" t="s">
        <v>42</v>
      </c>
      <c r="E39" s="32" t="s">
        <v>3</v>
      </c>
      <c r="F39" s="32" t="s">
        <v>2678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688.61</v>
      </c>
      <c r="W39" s="33">
        <v>816.89</v>
      </c>
      <c r="X39" s="33">
        <v>601.3</v>
      </c>
      <c r="Y39" s="33">
        <v>585.16</v>
      </c>
      <c r="Z39" s="33">
        <v>762.77</v>
      </c>
      <c r="AA39" s="33">
        <v>921.3</v>
      </c>
      <c r="AB39" s="33">
        <v>982.89</v>
      </c>
      <c r="AC39" s="33">
        <v>995.12</v>
      </c>
      <c r="AD39" s="33">
        <v>1235.66</v>
      </c>
      <c r="AE39" s="33">
        <v>1067.36</v>
      </c>
      <c r="AF39" s="33">
        <v>744.31</v>
      </c>
      <c r="AG39" s="33">
        <v>570.95</v>
      </c>
      <c r="AH39" s="33">
        <v>548.57</v>
      </c>
      <c r="AI39" s="33">
        <v>557.54</v>
      </c>
      <c r="AJ39" s="33">
        <v>492.89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2652</v>
      </c>
      <c r="D40" s="50" t="s">
        <v>42</v>
      </c>
      <c r="E40" s="32" t="s">
        <v>3</v>
      </c>
      <c r="F40" s="32" t="s">
        <v>2679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>
        <v>430.82</v>
      </c>
      <c r="W40" s="33">
        <v>524.04</v>
      </c>
      <c r="X40" s="33">
        <v>409.29</v>
      </c>
      <c r="Y40" s="33">
        <v>468.1</v>
      </c>
      <c r="Z40" s="33">
        <v>226.93</v>
      </c>
      <c r="AA40" s="33">
        <v>252.31</v>
      </c>
      <c r="AB40" s="33">
        <v>350.54</v>
      </c>
      <c r="AC40" s="33">
        <v>400.1</v>
      </c>
      <c r="AD40" s="33">
        <v>502.8</v>
      </c>
      <c r="AE40" s="33">
        <v>379.8</v>
      </c>
      <c r="AF40" s="33">
        <v>314.97</v>
      </c>
      <c r="AG40" s="33">
        <v>323.83</v>
      </c>
      <c r="AH40" s="33">
        <v>473.71</v>
      </c>
      <c r="AI40" s="33">
        <v>503.54</v>
      </c>
      <c r="AJ40" s="33">
        <v>430.91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2652</v>
      </c>
      <c r="D41" s="50" t="s">
        <v>42</v>
      </c>
      <c r="E41" s="32" t="s">
        <v>3</v>
      </c>
      <c r="F41" s="32" t="s">
        <v>2680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3">
        <v>417.13</v>
      </c>
      <c r="W41" s="33">
        <v>561</v>
      </c>
      <c r="X41" s="33">
        <v>402.54</v>
      </c>
      <c r="Y41" s="33">
        <v>440.49</v>
      </c>
      <c r="Z41" s="33">
        <v>406.42</v>
      </c>
      <c r="AA41" s="33">
        <v>676.1</v>
      </c>
      <c r="AB41" s="33">
        <v>753.62</v>
      </c>
      <c r="AC41" s="33">
        <v>804.42</v>
      </c>
      <c r="AD41" s="33">
        <v>978.28</v>
      </c>
      <c r="AE41" s="33">
        <v>610.44</v>
      </c>
      <c r="AF41" s="33">
        <v>338.7</v>
      </c>
      <c r="AG41" s="33">
        <v>396.85</v>
      </c>
      <c r="AH41" s="33">
        <v>395.32</v>
      </c>
      <c r="AI41" s="33">
        <v>579.09</v>
      </c>
      <c r="AJ41" s="33">
        <v>416.06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2652</v>
      </c>
      <c r="D42" s="50" t="s">
        <v>42</v>
      </c>
      <c r="E42" s="32" t="s">
        <v>3</v>
      </c>
      <c r="F42" s="32" t="s">
        <v>2681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>
        <v>1162.7</v>
      </c>
      <c r="W42" s="33">
        <v>1562.53</v>
      </c>
      <c r="X42" s="33">
        <v>1142.5</v>
      </c>
      <c r="Y42" s="33">
        <v>1260.51</v>
      </c>
      <c r="Z42" s="33">
        <v>720.84</v>
      </c>
      <c r="AA42" s="33">
        <v>674.94</v>
      </c>
      <c r="AB42" s="33">
        <v>880.39</v>
      </c>
      <c r="AC42" s="33">
        <v>923.65</v>
      </c>
      <c r="AD42" s="33">
        <v>1110.39</v>
      </c>
      <c r="AE42" s="33">
        <v>802.74</v>
      </c>
      <c r="AF42" s="33">
        <v>697.95</v>
      </c>
      <c r="AG42" s="33">
        <v>979.14</v>
      </c>
      <c r="AH42" s="33">
        <v>989.77</v>
      </c>
      <c r="AI42" s="33">
        <v>1114.09</v>
      </c>
      <c r="AJ42" s="33">
        <v>995.59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2652</v>
      </c>
      <c r="D43" s="50" t="s">
        <v>42</v>
      </c>
      <c r="E43" s="32" t="s">
        <v>3</v>
      </c>
      <c r="F43" s="32" t="s">
        <v>2682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>
        <v>551.36</v>
      </c>
      <c r="W43" s="33">
        <v>518.56</v>
      </c>
      <c r="X43" s="33">
        <v>425.05</v>
      </c>
      <c r="Y43" s="33">
        <v>431.2</v>
      </c>
      <c r="Z43" s="33">
        <v>303.05</v>
      </c>
      <c r="AA43" s="33">
        <v>250.98</v>
      </c>
      <c r="AB43" s="33">
        <v>272.15</v>
      </c>
      <c r="AC43" s="33">
        <v>337.84</v>
      </c>
      <c r="AD43" s="33">
        <v>460.49</v>
      </c>
      <c r="AE43" s="33">
        <v>272.6</v>
      </c>
      <c r="AF43" s="33">
        <v>244.18</v>
      </c>
      <c r="AG43" s="33">
        <v>465.23</v>
      </c>
      <c r="AH43" s="33">
        <v>514.66</v>
      </c>
      <c r="AI43" s="33">
        <v>632.05</v>
      </c>
      <c r="AJ43" s="33">
        <v>498.27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2652</v>
      </c>
      <c r="D44" s="50" t="s">
        <v>42</v>
      </c>
      <c r="E44" s="32" t="s">
        <v>3</v>
      </c>
      <c r="F44" s="32" t="s">
        <v>2683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>
        <v>263.48</v>
      </c>
      <c r="W44" s="33">
        <v>414.73</v>
      </c>
      <c r="X44" s="33">
        <v>337.01</v>
      </c>
      <c r="Y44" s="33">
        <v>277.61</v>
      </c>
      <c r="Z44" s="33">
        <v>205.02</v>
      </c>
      <c r="AA44" s="33">
        <v>255.58</v>
      </c>
      <c r="AB44" s="33">
        <v>357.4</v>
      </c>
      <c r="AC44" s="33">
        <v>382.16</v>
      </c>
      <c r="AD44" s="33">
        <v>614.4</v>
      </c>
      <c r="AE44" s="33">
        <v>629.97</v>
      </c>
      <c r="AF44" s="33">
        <v>379.93</v>
      </c>
      <c r="AG44" s="33">
        <v>370.7</v>
      </c>
      <c r="AH44" s="33">
        <v>341.46</v>
      </c>
      <c r="AI44" s="33">
        <v>344.12</v>
      </c>
      <c r="AJ44" s="33">
        <v>355.42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2652</v>
      </c>
      <c r="D45" s="50" t="s">
        <v>42</v>
      </c>
      <c r="E45" s="32" t="s">
        <v>3</v>
      </c>
      <c r="F45" s="32" t="s">
        <v>2684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v>596.62</v>
      </c>
      <c r="W45" s="33">
        <v>820.06</v>
      </c>
      <c r="X45" s="33">
        <v>568.81</v>
      </c>
      <c r="Y45" s="33">
        <v>579.5</v>
      </c>
      <c r="Z45" s="33">
        <v>501.04</v>
      </c>
      <c r="AA45" s="33">
        <v>378.28</v>
      </c>
      <c r="AB45" s="33">
        <v>369.98</v>
      </c>
      <c r="AC45" s="33">
        <v>398.78</v>
      </c>
      <c r="AD45" s="33">
        <v>617.48</v>
      </c>
      <c r="AE45" s="33">
        <v>545.19</v>
      </c>
      <c r="AF45" s="33">
        <v>351.24</v>
      </c>
      <c r="AG45" s="33">
        <v>397.56</v>
      </c>
      <c r="AH45" s="33">
        <v>560.34</v>
      </c>
      <c r="AI45" s="33">
        <v>603.22</v>
      </c>
      <c r="AJ45" s="33">
        <v>427.28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2652</v>
      </c>
      <c r="D46" s="50" t="s">
        <v>42</v>
      </c>
      <c r="E46" s="32" t="s">
        <v>3</v>
      </c>
      <c r="F46" s="32" t="s">
        <v>2685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>
        <v>517.91</v>
      </c>
      <c r="W46" s="33">
        <v>882.63</v>
      </c>
      <c r="X46" s="33">
        <v>638.22</v>
      </c>
      <c r="Y46" s="33">
        <v>797.95</v>
      </c>
      <c r="Z46" s="33">
        <v>380.15</v>
      </c>
      <c r="AA46" s="33">
        <v>284.28</v>
      </c>
      <c r="AB46" s="33">
        <v>406.24</v>
      </c>
      <c r="AC46" s="33">
        <v>634.4</v>
      </c>
      <c r="AD46" s="33">
        <v>699.77</v>
      </c>
      <c r="AE46" s="33">
        <v>609.51</v>
      </c>
      <c r="AF46" s="33">
        <v>402.26</v>
      </c>
      <c r="AG46" s="33">
        <v>468.32</v>
      </c>
      <c r="AH46" s="33">
        <v>576.5</v>
      </c>
      <c r="AI46" s="33">
        <v>639.01</v>
      </c>
      <c r="AJ46" s="33">
        <v>620.56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2652</v>
      </c>
      <c r="D47" s="50" t="s">
        <v>42</v>
      </c>
      <c r="E47" s="32" t="s">
        <v>3</v>
      </c>
      <c r="F47" s="32" t="s">
        <v>2686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>
        <v>451.9</v>
      </c>
      <c r="W47" s="33">
        <v>423.09</v>
      </c>
      <c r="X47" s="33">
        <v>381.71</v>
      </c>
      <c r="Y47" s="33">
        <v>442.01</v>
      </c>
      <c r="Z47" s="33">
        <v>327.06</v>
      </c>
      <c r="AA47" s="33">
        <v>403.54</v>
      </c>
      <c r="AB47" s="33">
        <v>555.59</v>
      </c>
      <c r="AC47" s="33">
        <v>618.96</v>
      </c>
      <c r="AD47" s="33">
        <v>692.3</v>
      </c>
      <c r="AE47" s="33">
        <v>435.51</v>
      </c>
      <c r="AF47" s="33">
        <v>304.48</v>
      </c>
      <c r="AG47" s="33">
        <v>314.7</v>
      </c>
      <c r="AH47" s="33">
        <v>459.42</v>
      </c>
      <c r="AI47" s="33">
        <v>495.38</v>
      </c>
      <c r="AJ47" s="33">
        <v>308.97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2652</v>
      </c>
      <c r="D48" s="50" t="s">
        <v>42</v>
      </c>
      <c r="E48" s="32" t="s">
        <v>3</v>
      </c>
      <c r="F48" s="32" t="s">
        <v>2687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>
        <v>449.52</v>
      </c>
      <c r="W48" s="33">
        <v>581.56</v>
      </c>
      <c r="X48" s="33">
        <v>439.25</v>
      </c>
      <c r="Y48" s="33">
        <v>488.4</v>
      </c>
      <c r="Z48" s="33">
        <v>212.4</v>
      </c>
      <c r="AA48" s="33">
        <v>296.89</v>
      </c>
      <c r="AB48" s="33">
        <v>349.49</v>
      </c>
      <c r="AC48" s="33">
        <v>415.75</v>
      </c>
      <c r="AD48" s="33">
        <v>489.18</v>
      </c>
      <c r="AE48" s="33">
        <v>390.32</v>
      </c>
      <c r="AF48" s="33">
        <v>213.07</v>
      </c>
      <c r="AG48" s="33">
        <v>372.06</v>
      </c>
      <c r="AH48" s="33">
        <v>532.05</v>
      </c>
      <c r="AI48" s="33">
        <v>517.08</v>
      </c>
      <c r="AJ48" s="33">
        <v>435.06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2652</v>
      </c>
      <c r="D49" s="50" t="s">
        <v>42</v>
      </c>
      <c r="E49" s="32" t="s">
        <v>3</v>
      </c>
      <c r="F49" s="32" t="s">
        <v>2688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>
        <v>370.81</v>
      </c>
      <c r="W49" s="33">
        <v>497.32</v>
      </c>
      <c r="X49" s="33">
        <v>478.4</v>
      </c>
      <c r="Y49" s="33">
        <v>486.71</v>
      </c>
      <c r="Z49" s="33">
        <v>426.99</v>
      </c>
      <c r="AA49" s="33">
        <v>445.63</v>
      </c>
      <c r="AB49" s="33">
        <v>505.09</v>
      </c>
      <c r="AC49" s="33">
        <v>584.06</v>
      </c>
      <c r="AD49" s="33">
        <v>546.25</v>
      </c>
      <c r="AE49" s="33">
        <v>366.79</v>
      </c>
      <c r="AF49" s="33">
        <v>345.23</v>
      </c>
      <c r="AG49" s="33">
        <v>386</v>
      </c>
      <c r="AH49" s="33">
        <v>385.26</v>
      </c>
      <c r="AI49" s="33">
        <v>494.17</v>
      </c>
      <c r="AJ49" s="33">
        <v>537.13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2652</v>
      </c>
      <c r="D50" s="50" t="s">
        <v>42</v>
      </c>
      <c r="E50" s="32" t="s">
        <v>3</v>
      </c>
      <c r="F50" s="32" t="s">
        <v>2689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3">
        <v>627.87</v>
      </c>
      <c r="W50" s="33">
        <v>876.2</v>
      </c>
      <c r="X50" s="33">
        <v>583.38</v>
      </c>
      <c r="Y50" s="33">
        <v>665.89</v>
      </c>
      <c r="Z50" s="33">
        <v>359.18</v>
      </c>
      <c r="AA50" s="33">
        <v>423.06</v>
      </c>
      <c r="AB50" s="33">
        <v>479.4</v>
      </c>
      <c r="AC50" s="33">
        <v>500.97</v>
      </c>
      <c r="AD50" s="33">
        <v>603.12</v>
      </c>
      <c r="AE50" s="33">
        <v>445.84</v>
      </c>
      <c r="AF50" s="33">
        <v>390.76</v>
      </c>
      <c r="AG50" s="33">
        <v>354.84</v>
      </c>
      <c r="AH50" s="33">
        <v>528.8</v>
      </c>
      <c r="AI50" s="33">
        <v>763.49</v>
      </c>
      <c r="AJ50" s="33">
        <v>662.43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2652</v>
      </c>
      <c r="D51" s="50" t="s">
        <v>42</v>
      </c>
      <c r="E51" s="32" t="s">
        <v>3</v>
      </c>
      <c r="F51" s="32" t="s">
        <v>2690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v>21.21</v>
      </c>
      <c r="W51" s="33">
        <v>21.21</v>
      </c>
      <c r="X51" s="33">
        <v>21.24</v>
      </c>
      <c r="Y51" s="33">
        <v>21.24</v>
      </c>
      <c r="Z51" s="33">
        <v>21.24</v>
      </c>
      <c r="AA51" s="33">
        <v>21.28</v>
      </c>
      <c r="AB51" s="33">
        <v>20.92</v>
      </c>
      <c r="AC51" s="33">
        <v>20.92</v>
      </c>
      <c r="AD51" s="33">
        <v>21.28</v>
      </c>
      <c r="AE51" s="33">
        <v>21.28</v>
      </c>
      <c r="AF51" s="33">
        <v>21.28</v>
      </c>
      <c r="AG51" s="33">
        <v>21.28</v>
      </c>
      <c r="AH51" s="33">
        <v>21.24</v>
      </c>
      <c r="AI51" s="33">
        <v>21.3</v>
      </c>
      <c r="AJ51" s="33">
        <v>21.28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2652</v>
      </c>
      <c r="D52" s="50" t="s">
        <v>42</v>
      </c>
      <c r="E52" s="32" t="s">
        <v>3</v>
      </c>
      <c r="F52" s="32" t="s">
        <v>2691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3">
        <v>479.32</v>
      </c>
      <c r="W52" s="33">
        <v>600.94</v>
      </c>
      <c r="X52" s="33">
        <v>438.1</v>
      </c>
      <c r="Y52" s="33">
        <v>454.89</v>
      </c>
      <c r="Z52" s="33">
        <v>510.11</v>
      </c>
      <c r="AA52" s="33">
        <v>605.68</v>
      </c>
      <c r="AB52" s="33">
        <v>534.46</v>
      </c>
      <c r="AC52" s="33">
        <v>604.36</v>
      </c>
      <c r="AD52" s="33">
        <v>671.07</v>
      </c>
      <c r="AE52" s="33">
        <v>246.76</v>
      </c>
      <c r="AF52" s="33">
        <v>199.34</v>
      </c>
      <c r="AG52" s="33">
        <v>379.44</v>
      </c>
      <c r="AH52" s="33">
        <v>341.98</v>
      </c>
      <c r="AI52" s="33">
        <v>447.43</v>
      </c>
      <c r="AJ52" s="33">
        <v>377.88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2652</v>
      </c>
      <c r="D53" s="50" t="s">
        <v>42</v>
      </c>
      <c r="E53" s="32" t="s">
        <v>3</v>
      </c>
      <c r="F53" s="32" t="s">
        <v>2692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3">
        <v>454.4</v>
      </c>
      <c r="W53" s="33">
        <v>509.01</v>
      </c>
      <c r="X53" s="33">
        <v>314.63</v>
      </c>
      <c r="Y53" s="33">
        <v>398.85</v>
      </c>
      <c r="Z53" s="33">
        <v>417.73</v>
      </c>
      <c r="AA53" s="33">
        <v>553.59</v>
      </c>
      <c r="AB53" s="33">
        <v>587.31</v>
      </c>
      <c r="AC53" s="33">
        <v>732.91</v>
      </c>
      <c r="AD53" s="33">
        <v>780.94</v>
      </c>
      <c r="AE53" s="33">
        <v>547.71</v>
      </c>
      <c r="AF53" s="33">
        <v>574.61</v>
      </c>
      <c r="AG53" s="33">
        <v>544.78</v>
      </c>
      <c r="AH53" s="33">
        <v>633.79</v>
      </c>
      <c r="AI53" s="33">
        <v>583.25</v>
      </c>
      <c r="AJ53" s="33">
        <v>444.89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2652</v>
      </c>
      <c r="D54" s="50" t="s">
        <v>42</v>
      </c>
      <c r="E54" s="32" t="s">
        <v>3</v>
      </c>
      <c r="F54" s="32" t="s">
        <v>2693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>
        <v>400.91</v>
      </c>
      <c r="W54" s="33">
        <v>685.72</v>
      </c>
      <c r="X54" s="33">
        <v>515.96</v>
      </c>
      <c r="Y54" s="33">
        <v>554.52</v>
      </c>
      <c r="Z54" s="33">
        <v>320.65</v>
      </c>
      <c r="AA54" s="33">
        <v>101.49</v>
      </c>
      <c r="AB54" s="33">
        <v>88.04</v>
      </c>
      <c r="AC54" s="33">
        <v>99.03</v>
      </c>
      <c r="AD54" s="33">
        <v>109.81</v>
      </c>
      <c r="AE54" s="33">
        <v>106.06</v>
      </c>
      <c r="AF54" s="33">
        <v>200.38</v>
      </c>
      <c r="AG54" s="33">
        <v>309.55</v>
      </c>
      <c r="AH54" s="33">
        <v>400.09</v>
      </c>
      <c r="AI54" s="33">
        <v>563.63</v>
      </c>
      <c r="AJ54" s="33">
        <v>567.75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2652</v>
      </c>
      <c r="D55" s="50" t="s">
        <v>42</v>
      </c>
      <c r="E55" s="32" t="s">
        <v>3</v>
      </c>
      <c r="F55" s="32" t="s">
        <v>2694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3">
        <v>650.56</v>
      </c>
      <c r="W55" s="33">
        <v>960.71</v>
      </c>
      <c r="X55" s="33">
        <v>637.55</v>
      </c>
      <c r="Y55" s="33">
        <v>504.95</v>
      </c>
      <c r="Z55" s="33">
        <v>162.89</v>
      </c>
      <c r="AA55" s="33">
        <v>190.12</v>
      </c>
      <c r="AB55" s="33">
        <v>218.27</v>
      </c>
      <c r="AC55" s="33">
        <v>258.97</v>
      </c>
      <c r="AD55" s="33">
        <v>285.73</v>
      </c>
      <c r="AE55" s="33">
        <v>194.53</v>
      </c>
      <c r="AF55" s="33">
        <v>254.32</v>
      </c>
      <c r="AG55" s="33">
        <v>572.16</v>
      </c>
      <c r="AH55" s="33">
        <v>711.87</v>
      </c>
      <c r="AI55" s="33">
        <v>673.2</v>
      </c>
      <c r="AJ55" s="33">
        <v>563.02</v>
      </c>
      <c r="AK55" s="32"/>
      <c r="AL55" s="34">
        <f>SUM(G55:AK55)</f>
      </c>
      <c r="AM55" s="35"/>
    </row>
    <row r="56" ht="13.5" customHeight="1" spans="2:39" x14ac:dyDescent="0.25">
      <c r="B56" s="51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40"/>
    </row>
    <row r="57" ht="13.5" customHeight="1" spans="2:39" x14ac:dyDescent="0.25">
      <c r="B57" s="20"/>
      <c r="C57" s="21"/>
      <c r="D57" s="21" t="s">
        <v>85</v>
      </c>
      <c r="E57" s="21"/>
      <c r="F57" s="21"/>
      <c r="G57" s="22">
        <f>SUM(G15:G55)</f>
      </c>
      <c r="H57" s="22">
        <f>SUM(H15:H55)</f>
      </c>
      <c r="I57" s="22">
        <f>SUM(I15:I55)</f>
      </c>
      <c r="J57" s="22">
        <f>SUM(J15:J55)</f>
      </c>
      <c r="K57" s="22">
        <f>SUM(K15:K55)</f>
      </c>
      <c r="L57" s="22">
        <f>SUM(L15:L55)</f>
      </c>
      <c r="M57" s="22">
        <f>SUM(M15:M55)</f>
      </c>
      <c r="N57" s="22">
        <f>SUM(N15:N55)</f>
      </c>
      <c r="O57" s="22">
        <f>SUM(O15:O55)</f>
      </c>
      <c r="P57" s="22">
        <f>SUM(P15:P55)</f>
      </c>
      <c r="Q57" s="22">
        <f>SUM(Q15:Q55)</f>
      </c>
      <c r="R57" s="22">
        <f>SUM(R15:R55)</f>
      </c>
      <c r="S57" s="22">
        <f>SUM(S15:S55)</f>
      </c>
      <c r="T57" s="22">
        <f>SUM(T15:T55)</f>
      </c>
      <c r="U57" s="22">
        <f>SUM(U15:U55)</f>
      </c>
      <c r="V57" s="22">
        <f>SUM(V15:V55)</f>
      </c>
      <c r="W57" s="22">
        <f>SUM(W15:W55)</f>
      </c>
      <c r="X57" s="22">
        <f>SUM(X15:X55)</f>
      </c>
      <c r="Y57" s="22">
        <f>SUM(Y15:Y55)</f>
      </c>
      <c r="Z57" s="22">
        <f>SUM(Z15:Z55)</f>
      </c>
      <c r="AA57" s="22">
        <f>SUM(AA15:AA55)</f>
      </c>
      <c r="AB57" s="22">
        <f>SUM(AB15:AB55)</f>
      </c>
      <c r="AC57" s="22">
        <f>SUM(AC15:AC55)</f>
      </c>
      <c r="AD57" s="22">
        <f>SUM(AD15:AD55)</f>
      </c>
      <c r="AE57" s="22">
        <f>SUM(AE15:AE55)</f>
      </c>
      <c r="AF57" s="22">
        <f>SUM(AF15:AF55)</f>
      </c>
      <c r="AG57" s="22">
        <f>SUM(AG15:AG55)</f>
      </c>
      <c r="AH57" s="22">
        <f>SUM(AH15:AH55)</f>
      </c>
      <c r="AI57" s="22">
        <f>SUM(AI15:AI55)</f>
      </c>
      <c r="AJ57" s="22">
        <f>SUM(AJ15:AJ55)</f>
      </c>
      <c r="AK57" s="22">
        <f>SUM(AK15:AK55)</f>
      </c>
      <c r="AL57" s="22">
        <f>SUM(AL15:AL55)</f>
      </c>
      <c r="AM57" s="23"/>
    </row>
    <row r="59" ht="13.5" customHeight="1" spans="2:39" x14ac:dyDescent="0.25">
      <c r="B59" s="46"/>
      <c r="C59" s="28"/>
      <c r="D59" s="47" t="s">
        <v>43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9"/>
    </row>
    <row r="60" ht="13.5" customHeight="1" spans="2:39" x14ac:dyDescent="0.25">
      <c r="B60" s="48" t="s">
        <v>3</v>
      </c>
      <c r="C60" s="49" t="s">
        <v>2652</v>
      </c>
      <c r="D60" s="50" t="s">
        <v>43</v>
      </c>
      <c r="E60" s="32" t="s">
        <v>3</v>
      </c>
      <c r="F60" s="32" t="s">
        <v>2695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3">
        <v>3202.81</v>
      </c>
      <c r="W60" s="33">
        <v>3225.47</v>
      </c>
      <c r="X60" s="33">
        <v>3533.69</v>
      </c>
      <c r="Y60" s="33">
        <v>2941.39</v>
      </c>
      <c r="Z60" s="33">
        <v>2035.38</v>
      </c>
      <c r="AA60" s="33">
        <v>1280.4</v>
      </c>
      <c r="AB60" s="33">
        <v>2435.25</v>
      </c>
      <c r="AC60" s="33">
        <v>2306.61</v>
      </c>
      <c r="AD60" s="33">
        <v>2430.31</v>
      </c>
      <c r="AE60" s="33">
        <v>2741.67</v>
      </c>
      <c r="AF60" s="33">
        <v>3438.47</v>
      </c>
      <c r="AG60" s="33">
        <v>3202.62</v>
      </c>
      <c r="AH60" s="33">
        <v>2563</v>
      </c>
      <c r="AI60" s="33">
        <v>2690.9</v>
      </c>
      <c r="AJ60" s="33">
        <v>3258.54</v>
      </c>
      <c r="AK60" s="32"/>
      <c r="AL60" s="34">
        <f>SUM(G60:AK60)</f>
      </c>
      <c r="AM60" s="35"/>
    </row>
    <row r="61" ht="13.5" customHeight="1" spans="2:39" x14ac:dyDescent="0.25">
      <c r="B61" s="51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40"/>
    </row>
    <row r="62" ht="13.5" customHeight="1" spans="2:39" x14ac:dyDescent="0.25">
      <c r="B62" s="20"/>
      <c r="C62" s="21"/>
      <c r="D62" s="21" t="s">
        <v>89</v>
      </c>
      <c r="E62" s="21"/>
      <c r="F62" s="21"/>
      <c r="G62" s="22">
        <f>SUM(G60:G60)</f>
      </c>
      <c r="H62" s="22">
        <f>SUM(H60:H60)</f>
      </c>
      <c r="I62" s="22">
        <f>SUM(I60:I60)</f>
      </c>
      <c r="J62" s="22">
        <f>SUM(J60:J60)</f>
      </c>
      <c r="K62" s="22">
        <f>SUM(K60:K60)</f>
      </c>
      <c r="L62" s="22">
        <f>SUM(L60:L60)</f>
      </c>
      <c r="M62" s="22">
        <f>SUM(M60:M60)</f>
      </c>
      <c r="N62" s="22">
        <f>SUM(N60:N60)</f>
      </c>
      <c r="O62" s="22">
        <f>SUM(O60:O60)</f>
      </c>
      <c r="P62" s="22">
        <f>SUM(P60:P60)</f>
      </c>
      <c r="Q62" s="22">
        <f>SUM(Q60:Q60)</f>
      </c>
      <c r="R62" s="22">
        <f>SUM(R60:R60)</f>
      </c>
      <c r="S62" s="22">
        <f>SUM(S60:S60)</f>
      </c>
      <c r="T62" s="22">
        <f>SUM(T60:T60)</f>
      </c>
      <c r="U62" s="22">
        <f>SUM(U60:U60)</f>
      </c>
      <c r="V62" s="22">
        <f>SUM(V60:V60)</f>
      </c>
      <c r="W62" s="22">
        <f>SUM(W60:W60)</f>
      </c>
      <c r="X62" s="22">
        <f>SUM(X60:X60)</f>
      </c>
      <c r="Y62" s="22">
        <f>SUM(Y60:Y60)</f>
      </c>
      <c r="Z62" s="22">
        <f>SUM(Z60:Z60)</f>
      </c>
      <c r="AA62" s="22">
        <f>SUM(AA60:AA60)</f>
      </c>
      <c r="AB62" s="22">
        <f>SUM(AB60:AB60)</f>
      </c>
      <c r="AC62" s="22">
        <f>SUM(AC60:AC60)</f>
      </c>
      <c r="AD62" s="22">
        <f>SUM(AD60:AD60)</f>
      </c>
      <c r="AE62" s="22">
        <f>SUM(AE60:AE60)</f>
      </c>
      <c r="AF62" s="22">
        <f>SUM(AF60:AF60)</f>
      </c>
      <c r="AG62" s="22">
        <f>SUM(AG60:AG60)</f>
      </c>
      <c r="AH62" s="22">
        <f>SUM(AH60:AH60)</f>
      </c>
      <c r="AI62" s="22">
        <f>SUM(AI60:AI60)</f>
      </c>
      <c r="AJ62" s="22">
        <f>SUM(AJ60:AJ60)</f>
      </c>
      <c r="AK62" s="22">
        <f>SUM(AK60:AK60)</f>
      </c>
      <c r="AL62" s="22">
        <f>SUM(AL60:AL60)</f>
      </c>
      <c r="AM62" s="23"/>
    </row>
    <row r="64" ht="13.5" customHeight="1" spans="2:39" x14ac:dyDescent="0.25">
      <c r="B64" s="46"/>
      <c r="C64" s="28"/>
      <c r="D64" s="47" t="s">
        <v>44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9"/>
    </row>
    <row r="65" ht="13.5" customHeight="1" spans="2:39" x14ac:dyDescent="0.25">
      <c r="B65" s="51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40"/>
    </row>
    <row r="66" ht="13.5" customHeight="1" spans="2:39" x14ac:dyDescent="0.25">
      <c r="B66" s="20"/>
      <c r="C66" s="21"/>
      <c r="D66" s="21" t="s">
        <v>90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3"/>
    </row>
    <row r="69" ht="12.75" customHeight="1" spans="2:39" x14ac:dyDescent="0.25">
      <c r="B69" s="11" t="s">
        <v>40</v>
      </c>
      <c r="C69" s="12"/>
      <c r="D69" s="12"/>
      <c r="E69" s="12"/>
      <c r="F69" s="12"/>
      <c r="G69" s="52" t="s">
        <v>7</v>
      </c>
      <c r="H69" s="52" t="s">
        <v>8</v>
      </c>
      <c r="I69" s="52" t="s">
        <v>9</v>
      </c>
      <c r="J69" s="52" t="s">
        <v>10</v>
      </c>
      <c r="K69" s="52" t="s">
        <v>11</v>
      </c>
      <c r="L69" s="52" t="s">
        <v>12</v>
      </c>
      <c r="M69" s="52" t="s">
        <v>13</v>
      </c>
      <c r="N69" s="52" t="s">
        <v>14</v>
      </c>
      <c r="O69" s="52" t="s">
        <v>15</v>
      </c>
      <c r="P69" s="52" t="s">
        <v>16</v>
      </c>
      <c r="Q69" s="52" t="s">
        <v>17</v>
      </c>
      <c r="R69" s="52" t="s">
        <v>18</v>
      </c>
      <c r="S69" s="52" t="s">
        <v>19</v>
      </c>
      <c r="T69" s="52" t="s">
        <v>20</v>
      </c>
      <c r="U69" s="52" t="s">
        <v>21</v>
      </c>
      <c r="V69" s="52" t="s">
        <v>22</v>
      </c>
      <c r="W69" s="52" t="s">
        <v>23</v>
      </c>
      <c r="X69" s="52" t="s">
        <v>24</v>
      </c>
      <c r="Y69" s="52" t="s">
        <v>25</v>
      </c>
      <c r="Z69" s="52" t="s">
        <v>26</v>
      </c>
      <c r="AA69" s="52" t="s">
        <v>27</v>
      </c>
      <c r="AB69" s="52" t="s">
        <v>28</v>
      </c>
      <c r="AC69" s="52" t="s">
        <v>29</v>
      </c>
      <c r="AD69" s="52" t="s">
        <v>30</v>
      </c>
      <c r="AE69" s="52" t="s">
        <v>31</v>
      </c>
      <c r="AF69" s="52" t="s">
        <v>32</v>
      </c>
      <c r="AG69" s="52" t="s">
        <v>33</v>
      </c>
      <c r="AH69" s="52" t="s">
        <v>34</v>
      </c>
      <c r="AI69" s="52" t="s">
        <v>35</v>
      </c>
      <c r="AJ69" s="52" t="s">
        <v>36</v>
      </c>
      <c r="AK69" s="52" t="s">
        <v>37</v>
      </c>
      <c r="AL69" s="52" t="s">
        <v>38</v>
      </c>
      <c r="AM69" s="15"/>
    </row>
    <row r="70" ht="12.75" customHeight="1" spans="2:39" x14ac:dyDescent="0.25">
      <c r="B70" s="16"/>
      <c r="C70" s="17"/>
      <c r="D70" s="17" t="s">
        <v>41</v>
      </c>
      <c r="E70" s="17"/>
      <c r="F70" s="17"/>
      <c r="G70" s="18">
        <f>G12</f>
      </c>
      <c r="H70" s="18">
        <f>H12</f>
      </c>
      <c r="I70" s="18">
        <f>I12</f>
      </c>
      <c r="J70" s="18">
        <f>J12</f>
      </c>
      <c r="K70" s="18">
        <f>K12</f>
      </c>
      <c r="L70" s="18">
        <f>L12</f>
      </c>
      <c r="M70" s="18">
        <f>M12</f>
      </c>
      <c r="N70" s="18">
        <f>N12</f>
      </c>
      <c r="O70" s="18">
        <f>O12</f>
      </c>
      <c r="P70" s="18">
        <f>P12</f>
      </c>
      <c r="Q70" s="18">
        <f>Q12</f>
      </c>
      <c r="R70" s="18">
        <f>R12</f>
      </c>
      <c r="S70" s="18">
        <f>S12</f>
      </c>
      <c r="T70" s="18">
        <f>T12</f>
      </c>
      <c r="U70" s="18">
        <f>U12</f>
      </c>
      <c r="V70" s="18">
        <f>V12</f>
      </c>
      <c r="W70" s="18">
        <f>W12</f>
      </c>
      <c r="X70" s="18">
        <f>X12</f>
      </c>
      <c r="Y70" s="18">
        <f>Y12</f>
      </c>
      <c r="Z70" s="18">
        <f>Z12</f>
      </c>
      <c r="AA70" s="18">
        <f>AA12</f>
      </c>
      <c r="AB70" s="18">
        <f>AB12</f>
      </c>
      <c r="AC70" s="18">
        <f>AC12</f>
      </c>
      <c r="AD70" s="18">
        <f>AD12</f>
      </c>
      <c r="AE70" s="18">
        <f>AE12</f>
      </c>
      <c r="AF70" s="18">
        <f>AF12</f>
      </c>
      <c r="AG70" s="18">
        <f>AG12</f>
      </c>
      <c r="AH70" s="18">
        <f>AH12</f>
      </c>
      <c r="AI70" s="18">
        <f>AI12</f>
      </c>
      <c r="AJ70" s="18">
        <f>AJ12</f>
      </c>
      <c r="AK70" s="18">
        <f>AK12</f>
      </c>
      <c r="AL70" s="18">
        <f>AL12</f>
      </c>
      <c r="AM70" s="19"/>
    </row>
    <row r="71" ht="12.75" customHeight="1" spans="2:39" x14ac:dyDescent="0.25">
      <c r="B71" s="16"/>
      <c r="C71" s="17"/>
      <c r="D71" s="17" t="s">
        <v>42</v>
      </c>
      <c r="E71" s="17"/>
      <c r="F71" s="17"/>
      <c r="G71" s="18">
        <f>G57</f>
      </c>
      <c r="H71" s="18">
        <f>H57</f>
      </c>
      <c r="I71" s="18">
        <f>I57</f>
      </c>
      <c r="J71" s="18">
        <f>J57</f>
      </c>
      <c r="K71" s="18">
        <f>K57</f>
      </c>
      <c r="L71" s="18">
        <f>L57</f>
      </c>
      <c r="M71" s="18">
        <f>M57</f>
      </c>
      <c r="N71" s="18">
        <f>N57</f>
      </c>
      <c r="O71" s="18">
        <f>O57</f>
      </c>
      <c r="P71" s="18">
        <f>P57</f>
      </c>
      <c r="Q71" s="18">
        <f>Q57</f>
      </c>
      <c r="R71" s="18">
        <f>R57</f>
      </c>
      <c r="S71" s="18">
        <f>S57</f>
      </c>
      <c r="T71" s="18">
        <f>T57</f>
      </c>
      <c r="U71" s="18">
        <f>U57</f>
      </c>
      <c r="V71" s="18">
        <f>V57</f>
      </c>
      <c r="W71" s="18">
        <f>W57</f>
      </c>
      <c r="X71" s="18">
        <f>X57</f>
      </c>
      <c r="Y71" s="18">
        <f>Y57</f>
      </c>
      <c r="Z71" s="18">
        <f>Z57</f>
      </c>
      <c r="AA71" s="18">
        <f>AA57</f>
      </c>
      <c r="AB71" s="18">
        <f>AB57</f>
      </c>
      <c r="AC71" s="18">
        <f>AC57</f>
      </c>
      <c r="AD71" s="18">
        <f>AD57</f>
      </c>
      <c r="AE71" s="18">
        <f>AE57</f>
      </c>
      <c r="AF71" s="18">
        <f>AF57</f>
      </c>
      <c r="AG71" s="18">
        <f>AG57</f>
      </c>
      <c r="AH71" s="18">
        <f>AH57</f>
      </c>
      <c r="AI71" s="18">
        <f>AI57</f>
      </c>
      <c r="AJ71" s="18">
        <f>AJ57</f>
      </c>
      <c r="AK71" s="18">
        <f>AK57</f>
      </c>
      <c r="AL71" s="18">
        <f>AL57</f>
      </c>
      <c r="AM71" s="19"/>
    </row>
    <row r="72" ht="12.75" customHeight="1" spans="2:39" x14ac:dyDescent="0.25">
      <c r="B72" s="16"/>
      <c r="C72" s="17"/>
      <c r="D72" s="17" t="s">
        <v>43</v>
      </c>
      <c r="E72" s="17"/>
      <c r="F72" s="17"/>
      <c r="G72" s="18">
        <f>G62</f>
      </c>
      <c r="H72" s="18">
        <f>H62</f>
      </c>
      <c r="I72" s="18">
        <f>I62</f>
      </c>
      <c r="J72" s="18">
        <f>J62</f>
      </c>
      <c r="K72" s="18">
        <f>K62</f>
      </c>
      <c r="L72" s="18">
        <f>L62</f>
      </c>
      <c r="M72" s="18">
        <f>M62</f>
      </c>
      <c r="N72" s="18">
        <f>N62</f>
      </c>
      <c r="O72" s="18">
        <f>O62</f>
      </c>
      <c r="P72" s="18">
        <f>P62</f>
      </c>
      <c r="Q72" s="18">
        <f>Q62</f>
      </c>
      <c r="R72" s="18">
        <f>R62</f>
      </c>
      <c r="S72" s="18">
        <f>S62</f>
      </c>
      <c r="T72" s="18">
        <f>T62</f>
      </c>
      <c r="U72" s="18">
        <f>U62</f>
      </c>
      <c r="V72" s="18">
        <f>V62</f>
      </c>
      <c r="W72" s="18">
        <f>W62</f>
      </c>
      <c r="X72" s="18">
        <f>X62</f>
      </c>
      <c r="Y72" s="18">
        <f>Y62</f>
      </c>
      <c r="Z72" s="18">
        <f>Z62</f>
      </c>
      <c r="AA72" s="18">
        <f>AA62</f>
      </c>
      <c r="AB72" s="18">
        <f>AB62</f>
      </c>
      <c r="AC72" s="18">
        <f>AC62</f>
      </c>
      <c r="AD72" s="18">
        <f>AD62</f>
      </c>
      <c r="AE72" s="18">
        <f>AE62</f>
      </c>
      <c r="AF72" s="18">
        <f>AF62</f>
      </c>
      <c r="AG72" s="18">
        <f>AG62</f>
      </c>
      <c r="AH72" s="18">
        <f>AH62</f>
      </c>
      <c r="AI72" s="18">
        <f>AI62</f>
      </c>
      <c r="AJ72" s="18">
        <f>AJ62</f>
      </c>
      <c r="AK72" s="18">
        <f>AK62</f>
      </c>
      <c r="AL72" s="18">
        <f>AL62</f>
      </c>
      <c r="AM72" s="19"/>
    </row>
    <row r="73" ht="12.75" customHeight="1" spans="2:39" x14ac:dyDescent="0.25">
      <c r="B73" s="16"/>
      <c r="C73" s="17"/>
      <c r="D73" s="17" t="s">
        <v>44</v>
      </c>
      <c r="E73" s="17"/>
      <c r="F73" s="17"/>
      <c r="G73" s="18">
        <f>G66</f>
      </c>
      <c r="H73" s="18">
        <f>H66</f>
      </c>
      <c r="I73" s="18">
        <f>I66</f>
      </c>
      <c r="J73" s="18">
        <f>J66</f>
      </c>
      <c r="K73" s="18">
        <f>K66</f>
      </c>
      <c r="L73" s="18">
        <f>L66</f>
      </c>
      <c r="M73" s="18">
        <f>M66</f>
      </c>
      <c r="N73" s="18">
        <f>N66</f>
      </c>
      <c r="O73" s="18">
        <f>O66</f>
      </c>
      <c r="P73" s="18">
        <f>P66</f>
      </c>
      <c r="Q73" s="18">
        <f>Q66</f>
      </c>
      <c r="R73" s="18">
        <f>R66</f>
      </c>
      <c r="S73" s="18">
        <f>S66</f>
      </c>
      <c r="T73" s="18">
        <f>T66</f>
      </c>
      <c r="U73" s="18">
        <f>U66</f>
      </c>
      <c r="V73" s="18">
        <f>V66</f>
      </c>
      <c r="W73" s="18">
        <f>W66</f>
      </c>
      <c r="X73" s="18">
        <f>X66</f>
      </c>
      <c r="Y73" s="18">
        <f>Y66</f>
      </c>
      <c r="Z73" s="18">
        <f>Z66</f>
      </c>
      <c r="AA73" s="18">
        <f>AA66</f>
      </c>
      <c r="AB73" s="18">
        <f>AB66</f>
      </c>
      <c r="AC73" s="18">
        <f>AC66</f>
      </c>
      <c r="AD73" s="18">
        <f>AD66</f>
      </c>
      <c r="AE73" s="18">
        <f>AE66</f>
      </c>
      <c r="AF73" s="18">
        <f>AF66</f>
      </c>
      <c r="AG73" s="18">
        <f>AG66</f>
      </c>
      <c r="AH73" s="18">
        <f>AH66</f>
      </c>
      <c r="AI73" s="18">
        <f>AI66</f>
      </c>
      <c r="AJ73" s="18">
        <f>AJ66</f>
      </c>
      <c r="AK73" s="18">
        <f>AK66</f>
      </c>
      <c r="AL73" s="18">
        <f>AL66</f>
      </c>
      <c r="AM73" s="19"/>
    </row>
    <row r="74" ht="12.75" customHeight="1" spans="2:39" x14ac:dyDescent="0.25">
      <c r="B74" s="20"/>
      <c r="C74" s="21"/>
      <c r="D74" s="21" t="s">
        <v>45</v>
      </c>
      <c r="E74" s="21"/>
      <c r="F74" s="21"/>
      <c r="G74" s="22">
        <f>G70+G71+G72+G73</f>
      </c>
      <c r="H74" s="22">
        <f>H70+H71+H72+H73</f>
      </c>
      <c r="I74" s="22">
        <f>I70+I71+I72+I73</f>
      </c>
      <c r="J74" s="22">
        <f>J70+J71+J72+J73</f>
      </c>
      <c r="K74" s="22">
        <f>K70+K71+K72+K73</f>
      </c>
      <c r="L74" s="22">
        <f>L70+L71+L72+L73</f>
      </c>
      <c r="M74" s="22">
        <f>M70+M71+M72+M73</f>
      </c>
      <c r="N74" s="22">
        <f>N70+N71+N72+N73</f>
      </c>
      <c r="O74" s="22">
        <f>O70+O71+O72+O73</f>
      </c>
      <c r="P74" s="22">
        <f>P70+P71+P72+P73</f>
      </c>
      <c r="Q74" s="22">
        <f>Q70+Q71+Q72+Q73</f>
      </c>
      <c r="R74" s="22">
        <f>R70+R71+R72+R73</f>
      </c>
      <c r="S74" s="22">
        <f>S70+S71+S72+S73</f>
      </c>
      <c r="T74" s="22">
        <f>T70+T71+T72+T73</f>
      </c>
      <c r="U74" s="22">
        <f>U70+U71+U72+U73</f>
      </c>
      <c r="V74" s="22">
        <f>V70+V71+V72+V73</f>
      </c>
      <c r="W74" s="22">
        <f>W70+W71+W72+W73</f>
      </c>
      <c r="X74" s="22">
        <f>X70+X71+X72+X73</f>
      </c>
      <c r="Y74" s="22">
        <f>Y70+Y71+Y72+Y73</f>
      </c>
      <c r="Z74" s="22">
        <f>Z70+Z71+Z72+Z73</f>
      </c>
      <c r="AA74" s="22">
        <f>AA70+AA71+AA72+AA73</f>
      </c>
      <c r="AB74" s="22">
        <f>AB70+AB71+AB72+AB73</f>
      </c>
      <c r="AC74" s="22">
        <f>AC70+AC71+AC72+AC73</f>
      </c>
      <c r="AD74" s="22">
        <f>AD70+AD71+AD72+AD73</f>
      </c>
      <c r="AE74" s="22">
        <f>AE70+AE71+AE72+AE73</f>
      </c>
      <c r="AF74" s="22">
        <f>AF70+AF71+AF72+AF73</f>
      </c>
      <c r="AG74" s="22">
        <f>AG70+AG71+AG72+AG73</f>
      </c>
      <c r="AH74" s="22">
        <f>AH70+AH71+AH72+AH73</f>
      </c>
      <c r="AI74" s="22">
        <f>AI70+AI71+AI72+AI73</f>
      </c>
      <c r="AJ74" s="22">
        <f>AJ70+AJ71+AJ72+AJ73</f>
      </c>
      <c r="AK74" s="22">
        <f>AK70+AK71+AK72+AK73</f>
      </c>
      <c r="AL74" s="22">
        <f>AL70+AL71+AL72+AL73</f>
      </c>
      <c r="AM74" s="23"/>
    </row>
    <row r="76" ht="12.75" customHeight="1" spans="2:39" x14ac:dyDescent="0.25">
      <c r="B76" s="11" t="s">
        <v>46</v>
      </c>
      <c r="C76" s="12"/>
      <c r="D76" s="12"/>
      <c r="E76" s="12"/>
      <c r="F76" s="12"/>
      <c r="G76" s="52" t="s">
        <v>7</v>
      </c>
      <c r="H76" s="52" t="s">
        <v>8</v>
      </c>
      <c r="I76" s="52" t="s">
        <v>9</v>
      </c>
      <c r="J76" s="52" t="s">
        <v>10</v>
      </c>
      <c r="K76" s="52" t="s">
        <v>11</v>
      </c>
      <c r="L76" s="52" t="s">
        <v>12</v>
      </c>
      <c r="M76" s="52" t="s">
        <v>13</v>
      </c>
      <c r="N76" s="52" t="s">
        <v>14</v>
      </c>
      <c r="O76" s="52" t="s">
        <v>15</v>
      </c>
      <c r="P76" s="52" t="s">
        <v>16</v>
      </c>
      <c r="Q76" s="52" t="s">
        <v>17</v>
      </c>
      <c r="R76" s="52" t="s">
        <v>18</v>
      </c>
      <c r="S76" s="52" t="s">
        <v>19</v>
      </c>
      <c r="T76" s="52" t="s">
        <v>20</v>
      </c>
      <c r="U76" s="52" t="s">
        <v>21</v>
      </c>
      <c r="V76" s="52" t="s">
        <v>22</v>
      </c>
      <c r="W76" s="52" t="s">
        <v>23</v>
      </c>
      <c r="X76" s="52" t="s">
        <v>24</v>
      </c>
      <c r="Y76" s="52" t="s">
        <v>25</v>
      </c>
      <c r="Z76" s="52" t="s">
        <v>26</v>
      </c>
      <c r="AA76" s="52" t="s">
        <v>27</v>
      </c>
      <c r="AB76" s="52" t="s">
        <v>28</v>
      </c>
      <c r="AC76" s="52" t="s">
        <v>29</v>
      </c>
      <c r="AD76" s="52" t="s">
        <v>30</v>
      </c>
      <c r="AE76" s="52" t="s">
        <v>31</v>
      </c>
      <c r="AF76" s="52" t="s">
        <v>32</v>
      </c>
      <c r="AG76" s="52" t="s">
        <v>33</v>
      </c>
      <c r="AH76" s="52" t="s">
        <v>34</v>
      </c>
      <c r="AI76" s="52" t="s">
        <v>35</v>
      </c>
      <c r="AJ76" s="52" t="s">
        <v>36</v>
      </c>
      <c r="AK76" s="52" t="s">
        <v>37</v>
      </c>
      <c r="AL76" s="52" t="s">
        <v>38</v>
      </c>
      <c r="AM76" s="15"/>
    </row>
    <row r="77" ht="12.75" customHeight="1" spans="2:39" x14ac:dyDescent="0.25">
      <c r="B77" s="16"/>
      <c r="C77" s="17"/>
      <c r="D77" s="17" t="s">
        <v>41</v>
      </c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9"/>
    </row>
    <row r="78" ht="12.75" customHeight="1" spans="2:39" x14ac:dyDescent="0.25">
      <c r="B78" s="16"/>
      <c r="C78" s="17"/>
      <c r="D78" s="17" t="s">
        <v>42</v>
      </c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9"/>
    </row>
    <row r="79" ht="12.75" customHeight="1" spans="2:39" x14ac:dyDescent="0.25">
      <c r="B79" s="16"/>
      <c r="C79" s="17"/>
      <c r="D79" s="17" t="s">
        <v>43</v>
      </c>
      <c r="E79" s="17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9"/>
    </row>
    <row r="80" ht="12.75" customHeight="1" spans="2:39" x14ac:dyDescent="0.25">
      <c r="B80" s="16"/>
      <c r="C80" s="17"/>
      <c r="D80" s="17" t="s">
        <v>44</v>
      </c>
      <c r="E80" s="17"/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</row>
    <row r="81" ht="12.75" customHeight="1" spans="2:39" x14ac:dyDescent="0.25">
      <c r="B81" s="20"/>
      <c r="C81" s="21"/>
      <c r="D81" s="21" t="s">
        <v>45</v>
      </c>
      <c r="E81" s="21"/>
      <c r="F81" s="21"/>
      <c r="G81" s="22">
        <f>G77+G78+G79+G80</f>
      </c>
      <c r="H81" s="22">
        <f>H77+H78+H79+H80</f>
      </c>
      <c r="I81" s="22">
        <f>I77+I78+I79+I80</f>
      </c>
      <c r="J81" s="22">
        <f>J77+J78+J79+J80</f>
      </c>
      <c r="K81" s="22">
        <f>K77+K78+K79+K80</f>
      </c>
      <c r="L81" s="22">
        <f>L77+L78+L79+L80</f>
      </c>
      <c r="M81" s="22">
        <f>M77+M78+M79+M80</f>
      </c>
      <c r="N81" s="22">
        <f>N77+N78+N79+N80</f>
      </c>
      <c r="O81" s="22">
        <f>O77+O78+O79+O80</f>
      </c>
      <c r="P81" s="22">
        <f>P77+P78+P79+P80</f>
      </c>
      <c r="Q81" s="22">
        <f>Q77+Q78+Q79+Q80</f>
      </c>
      <c r="R81" s="22">
        <f>R77+R78+R79+R80</f>
      </c>
      <c r="S81" s="22">
        <f>S77+S78+S79+S80</f>
      </c>
      <c r="T81" s="22">
        <f>T77+T78+T79+T80</f>
      </c>
      <c r="U81" s="22">
        <f>U77+U78+U79+U80</f>
      </c>
      <c r="V81" s="22">
        <f>V77+V78+V79+V80</f>
      </c>
      <c r="W81" s="22">
        <f>W77+W78+W79+W80</f>
      </c>
      <c r="X81" s="22">
        <f>X77+X78+X79+X80</f>
      </c>
      <c r="Y81" s="22">
        <f>Y77+Y78+Y79+Y80</f>
      </c>
      <c r="Z81" s="22">
        <f>Z77+Z78+Z79+Z80</f>
      </c>
      <c r="AA81" s="22">
        <f>AA77+AA78+AA79+AA80</f>
      </c>
      <c r="AB81" s="22">
        <f>AB77+AB78+AB79+AB80</f>
      </c>
      <c r="AC81" s="22">
        <f>AC77+AC78+AC79+AC80</f>
      </c>
      <c r="AD81" s="22">
        <f>AD77+AD78+AD79+AD80</f>
      </c>
      <c r="AE81" s="22">
        <f>AE77+AE78+AE79+AE80</f>
      </c>
      <c r="AF81" s="22">
        <f>AF77+AF78+AF79+AF80</f>
      </c>
      <c r="AG81" s="22">
        <f>AG77+AG78+AG79+AG80</f>
      </c>
      <c r="AH81" s="22">
        <f>AH77+AH78+AH79+AH80</f>
      </c>
      <c r="AI81" s="22">
        <f>AI77+AI78+AI79+AI80</f>
      </c>
      <c r="AJ81" s="22">
        <f>AJ77+AJ78+AJ79+AJ80</f>
      </c>
      <c r="AK81" s="22">
        <f>AK77+AK78+AK79+AK80</f>
      </c>
      <c r="AL81" s="22">
        <f>AL77+AL78+AL79+AL80</f>
      </c>
      <c r="AM81" s="23"/>
    </row>
    <row r="83" ht="12.75" customHeight="1" spans="2:39" x14ac:dyDescent="0.25">
      <c r="B83" s="11" t="s">
        <v>47</v>
      </c>
      <c r="C83" s="12"/>
      <c r="D83" s="12"/>
      <c r="E83" s="12"/>
      <c r="F83" s="12"/>
      <c r="G83" s="52" t="s">
        <v>7</v>
      </c>
      <c r="H83" s="52" t="s">
        <v>8</v>
      </c>
      <c r="I83" s="52" t="s">
        <v>9</v>
      </c>
      <c r="J83" s="52" t="s">
        <v>10</v>
      </c>
      <c r="K83" s="52" t="s">
        <v>11</v>
      </c>
      <c r="L83" s="52" t="s">
        <v>12</v>
      </c>
      <c r="M83" s="52" t="s">
        <v>13</v>
      </c>
      <c r="N83" s="52" t="s">
        <v>14</v>
      </c>
      <c r="O83" s="52" t="s">
        <v>15</v>
      </c>
      <c r="P83" s="52" t="s">
        <v>16</v>
      </c>
      <c r="Q83" s="52" t="s">
        <v>17</v>
      </c>
      <c r="R83" s="52" t="s">
        <v>18</v>
      </c>
      <c r="S83" s="52" t="s">
        <v>19</v>
      </c>
      <c r="T83" s="52" t="s">
        <v>20</v>
      </c>
      <c r="U83" s="52" t="s">
        <v>21</v>
      </c>
      <c r="V83" s="52" t="s">
        <v>22</v>
      </c>
      <c r="W83" s="52" t="s">
        <v>23</v>
      </c>
      <c r="X83" s="52" t="s">
        <v>24</v>
      </c>
      <c r="Y83" s="52" t="s">
        <v>25</v>
      </c>
      <c r="Z83" s="52" t="s">
        <v>26</v>
      </c>
      <c r="AA83" s="52" t="s">
        <v>27</v>
      </c>
      <c r="AB83" s="52" t="s">
        <v>28</v>
      </c>
      <c r="AC83" s="52" t="s">
        <v>29</v>
      </c>
      <c r="AD83" s="52" t="s">
        <v>30</v>
      </c>
      <c r="AE83" s="52" t="s">
        <v>31</v>
      </c>
      <c r="AF83" s="52" t="s">
        <v>32</v>
      </c>
      <c r="AG83" s="52" t="s">
        <v>33</v>
      </c>
      <c r="AH83" s="52" t="s">
        <v>34</v>
      </c>
      <c r="AI83" s="52" t="s">
        <v>35</v>
      </c>
      <c r="AJ83" s="52" t="s">
        <v>36</v>
      </c>
      <c r="AK83" s="52" t="s">
        <v>37</v>
      </c>
      <c r="AL83" s="52" t="s">
        <v>38</v>
      </c>
      <c r="AM83" s="15"/>
    </row>
    <row r="84" ht="12.75" customHeight="1" spans="2:39" x14ac:dyDescent="0.25">
      <c r="B84" s="16"/>
      <c r="C84" s="17"/>
      <c r="D84" s="17" t="s">
        <v>41</v>
      </c>
      <c r="E84" s="17"/>
      <c r="F84" s="17"/>
      <c r="G84" s="24">
        <f>G77-G70</f>
      </c>
      <c r="H84" s="24">
        <f>H77-H70</f>
      </c>
      <c r="I84" s="24">
        <f>I77-I70</f>
      </c>
      <c r="J84" s="24">
        <f>J77-J70</f>
      </c>
      <c r="K84" s="24">
        <f>K77-K70</f>
      </c>
      <c r="L84" s="24">
        <f>L77-L70</f>
      </c>
      <c r="M84" s="24">
        <f>M77-M70</f>
      </c>
      <c r="N84" s="24">
        <f>N77-N70</f>
      </c>
      <c r="O84" s="24">
        <f>O77-O70</f>
      </c>
      <c r="P84" s="24">
        <f>P77-P70</f>
      </c>
      <c r="Q84" s="24">
        <f>Q77-Q70</f>
      </c>
      <c r="R84" s="24">
        <f>R77-R70</f>
      </c>
      <c r="S84" s="24">
        <f>S77-S70</f>
      </c>
      <c r="T84" s="24">
        <f>T77-T70</f>
      </c>
      <c r="U84" s="24">
        <f>U77-U70</f>
      </c>
      <c r="V84" s="24">
        <f>V77-V70</f>
      </c>
      <c r="W84" s="24">
        <f>W77-W70</f>
      </c>
      <c r="X84" s="24">
        <f>X77-X70</f>
      </c>
      <c r="Y84" s="24">
        <f>Y77-Y70</f>
      </c>
      <c r="Z84" s="24">
        <f>Z77-Z70</f>
      </c>
      <c r="AA84" s="24">
        <f>AA77-AA70</f>
      </c>
      <c r="AB84" s="24">
        <f>AB77-AB70</f>
      </c>
      <c r="AC84" s="24">
        <f>AC77-AC70</f>
      </c>
      <c r="AD84" s="24">
        <f>AD77-AD70</f>
      </c>
      <c r="AE84" s="24">
        <f>AE77-AE70</f>
      </c>
      <c r="AF84" s="24">
        <f>AF77-AF70</f>
      </c>
      <c r="AG84" s="24">
        <f>AG77-AG70</f>
      </c>
      <c r="AH84" s="24">
        <f>AH77-AH70</f>
      </c>
      <c r="AI84" s="24">
        <f>AI77-AI70</f>
      </c>
      <c r="AJ84" s="24">
        <f>AJ77-AJ70</f>
      </c>
      <c r="AK84" s="24">
        <f>AK77-AK70</f>
      </c>
      <c r="AL84" s="24">
        <f>AL77-AL70</f>
      </c>
      <c r="AM84" s="19"/>
    </row>
    <row r="85" ht="12.75" customHeight="1" spans="2:39" x14ac:dyDescent="0.25">
      <c r="B85" s="16"/>
      <c r="C85" s="17"/>
      <c r="D85" s="17" t="s">
        <v>42</v>
      </c>
      <c r="E85" s="17"/>
      <c r="F85" s="17"/>
      <c r="G85" s="24">
        <f>G78-G71</f>
      </c>
      <c r="H85" s="24">
        <f>H78-H71</f>
      </c>
      <c r="I85" s="24">
        <f>I78-I71</f>
      </c>
      <c r="J85" s="24">
        <f>J78-J71</f>
      </c>
      <c r="K85" s="24">
        <f>K78-K71</f>
      </c>
      <c r="L85" s="24">
        <f>L78-L71</f>
      </c>
      <c r="M85" s="24">
        <f>M78-M71</f>
      </c>
      <c r="N85" s="24">
        <f>N78-N71</f>
      </c>
      <c r="O85" s="24">
        <f>O78-O71</f>
      </c>
      <c r="P85" s="24">
        <f>P78-P71</f>
      </c>
      <c r="Q85" s="24">
        <f>Q78-Q71</f>
      </c>
      <c r="R85" s="24">
        <f>R78-R71</f>
      </c>
      <c r="S85" s="24">
        <f>S78-S71</f>
      </c>
      <c r="T85" s="24">
        <f>T78-T71</f>
      </c>
      <c r="U85" s="24">
        <f>U78-U71</f>
      </c>
      <c r="V85" s="24">
        <f>V78-V71</f>
      </c>
      <c r="W85" s="24">
        <f>W78-W71</f>
      </c>
      <c r="X85" s="24">
        <f>X78-X71</f>
      </c>
      <c r="Y85" s="24">
        <f>Y78-Y71</f>
      </c>
      <c r="Z85" s="24">
        <f>Z78-Z71</f>
      </c>
      <c r="AA85" s="24">
        <f>AA78-AA71</f>
      </c>
      <c r="AB85" s="24">
        <f>AB78-AB71</f>
      </c>
      <c r="AC85" s="24">
        <f>AC78-AC71</f>
      </c>
      <c r="AD85" s="24">
        <f>AD78-AD71</f>
      </c>
      <c r="AE85" s="24">
        <f>AE78-AE71</f>
      </c>
      <c r="AF85" s="24">
        <f>AF78-AF71</f>
      </c>
      <c r="AG85" s="24">
        <f>AG78-AG71</f>
      </c>
      <c r="AH85" s="24">
        <f>AH78-AH71</f>
      </c>
      <c r="AI85" s="24">
        <f>AI78-AI71</f>
      </c>
      <c r="AJ85" s="24">
        <f>AJ78-AJ71</f>
      </c>
      <c r="AK85" s="24">
        <f>AK78-AK71</f>
      </c>
      <c r="AL85" s="24">
        <f>AL78-AL71</f>
      </c>
      <c r="AM85" s="19"/>
    </row>
    <row r="86" ht="12.75" customHeight="1" spans="2:39" x14ac:dyDescent="0.25">
      <c r="B86" s="16"/>
      <c r="C86" s="17"/>
      <c r="D86" s="17" t="s">
        <v>43</v>
      </c>
      <c r="E86" s="17"/>
      <c r="F86" s="17"/>
      <c r="G86" s="24">
        <f>G79-G72</f>
      </c>
      <c r="H86" s="24">
        <f>H79-H72</f>
      </c>
      <c r="I86" s="24">
        <f>I79-I72</f>
      </c>
      <c r="J86" s="24">
        <f>J79-J72</f>
      </c>
      <c r="K86" s="24">
        <f>K79-K72</f>
      </c>
      <c r="L86" s="24">
        <f>L79-L72</f>
      </c>
      <c r="M86" s="24">
        <f>M79-M72</f>
      </c>
      <c r="N86" s="24">
        <f>N79-N72</f>
      </c>
      <c r="O86" s="24">
        <f>O79-O72</f>
      </c>
      <c r="P86" s="24">
        <f>P79-P72</f>
      </c>
      <c r="Q86" s="24">
        <f>Q79-Q72</f>
      </c>
      <c r="R86" s="24">
        <f>R79-R72</f>
      </c>
      <c r="S86" s="24">
        <f>S79-S72</f>
      </c>
      <c r="T86" s="24">
        <f>T79-T72</f>
      </c>
      <c r="U86" s="24">
        <f>U79-U72</f>
      </c>
      <c r="V86" s="24">
        <f>V79-V72</f>
      </c>
      <c r="W86" s="24">
        <f>W79-W72</f>
      </c>
      <c r="X86" s="24">
        <f>X79-X72</f>
      </c>
      <c r="Y86" s="24">
        <f>Y79-Y72</f>
      </c>
      <c r="Z86" s="24">
        <f>Z79-Z72</f>
      </c>
      <c r="AA86" s="24">
        <f>AA79-AA72</f>
      </c>
      <c r="AB86" s="24">
        <f>AB79-AB72</f>
      </c>
      <c r="AC86" s="24">
        <f>AC79-AC72</f>
      </c>
      <c r="AD86" s="24">
        <f>AD79-AD72</f>
      </c>
      <c r="AE86" s="24">
        <f>AE79-AE72</f>
      </c>
      <c r="AF86" s="24">
        <f>AF79-AF72</f>
      </c>
      <c r="AG86" s="24">
        <f>AG79-AG72</f>
      </c>
      <c r="AH86" s="24">
        <f>AH79-AH72</f>
      </c>
      <c r="AI86" s="24">
        <f>AI79-AI72</f>
      </c>
      <c r="AJ86" s="24">
        <f>AJ79-AJ72</f>
      </c>
      <c r="AK86" s="24">
        <f>AK79-AK72</f>
      </c>
      <c r="AL86" s="24">
        <f>AL79-AL72</f>
      </c>
      <c r="AM86" s="19"/>
    </row>
    <row r="87" ht="12.75" customHeight="1" spans="2:39" x14ac:dyDescent="0.25">
      <c r="B87" s="16"/>
      <c r="C87" s="17"/>
      <c r="D87" s="17" t="s">
        <v>44</v>
      </c>
      <c r="E87" s="17"/>
      <c r="F87" s="17"/>
      <c r="G87" s="24">
        <f>G80-G73</f>
      </c>
      <c r="H87" s="24">
        <f>H80-H73</f>
      </c>
      <c r="I87" s="24">
        <f>I80-I73</f>
      </c>
      <c r="J87" s="24">
        <f>J80-J73</f>
      </c>
      <c r="K87" s="24">
        <f>K80-K73</f>
      </c>
      <c r="L87" s="24">
        <f>L80-L73</f>
      </c>
      <c r="M87" s="24">
        <f>M80-M73</f>
      </c>
      <c r="N87" s="24">
        <f>N80-N73</f>
      </c>
      <c r="O87" s="24">
        <f>O80-O73</f>
      </c>
      <c r="P87" s="24">
        <f>P80-P73</f>
      </c>
      <c r="Q87" s="24">
        <f>Q80-Q73</f>
      </c>
      <c r="R87" s="24">
        <f>R80-R73</f>
      </c>
      <c r="S87" s="24">
        <f>S80-S73</f>
      </c>
      <c r="T87" s="24">
        <f>T80-T73</f>
      </c>
      <c r="U87" s="24">
        <f>U80-U73</f>
      </c>
      <c r="V87" s="24">
        <f>V80-V73</f>
      </c>
      <c r="W87" s="24">
        <f>W80-W73</f>
      </c>
      <c r="X87" s="24">
        <f>X80-X73</f>
      </c>
      <c r="Y87" s="24">
        <f>Y80-Y73</f>
      </c>
      <c r="Z87" s="24">
        <f>Z80-Z73</f>
      </c>
      <c r="AA87" s="24">
        <f>AA80-AA73</f>
      </c>
      <c r="AB87" s="24">
        <f>AB80-AB73</f>
      </c>
      <c r="AC87" s="24">
        <f>AC80-AC73</f>
      </c>
      <c r="AD87" s="24">
        <f>AD80-AD73</f>
      </c>
      <c r="AE87" s="24">
        <f>AE80-AE73</f>
      </c>
      <c r="AF87" s="24">
        <f>AF80-AF73</f>
      </c>
      <c r="AG87" s="24">
        <f>AG80-AG73</f>
      </c>
      <c r="AH87" s="24">
        <f>AH80-AH73</f>
      </c>
      <c r="AI87" s="24">
        <f>AI80-AI73</f>
      </c>
      <c r="AJ87" s="24">
        <f>AJ80-AJ73</f>
      </c>
      <c r="AK87" s="24">
        <f>AK80-AK73</f>
      </c>
      <c r="AL87" s="24">
        <f>AL80-AL73</f>
      </c>
      <c r="AM87" s="19"/>
    </row>
    <row r="88" ht="12.75" customHeight="1" spans="2:39" x14ac:dyDescent="0.25">
      <c r="B88" s="20"/>
      <c r="C88" s="21"/>
      <c r="D88" s="21" t="s">
        <v>45</v>
      </c>
      <c r="E88" s="21"/>
      <c r="F88" s="21"/>
      <c r="G88" s="25">
        <f>G84+G85+G86+G87</f>
      </c>
      <c r="H88" s="25">
        <f>H84+H85+H86+H87</f>
      </c>
      <c r="I88" s="25">
        <f>I84+I85+I86+I87</f>
      </c>
      <c r="J88" s="25">
        <f>J84+J85+J86+J87</f>
      </c>
      <c r="K88" s="25">
        <f>K84+K85+K86+K87</f>
      </c>
      <c r="L88" s="25">
        <f>L84+L85+L86+L87</f>
      </c>
      <c r="M88" s="25">
        <f>M84+M85+M86+M87</f>
      </c>
      <c r="N88" s="25">
        <f>N84+N85+N86+N87</f>
      </c>
      <c r="O88" s="25">
        <f>O84+O85+O86+O87</f>
      </c>
      <c r="P88" s="25">
        <f>P84+P85+P86+P87</f>
      </c>
      <c r="Q88" s="25">
        <f>Q84+Q85+Q86+Q87</f>
      </c>
      <c r="R88" s="25">
        <f>R84+R85+R86+R87</f>
      </c>
      <c r="S88" s="25">
        <f>S84+S85+S86+S87</f>
      </c>
      <c r="T88" s="25">
        <f>T84+T85+T86+T87</f>
      </c>
      <c r="U88" s="25">
        <f>U84+U85+U86+U87</f>
      </c>
      <c r="V88" s="25">
        <f>V84+V85+V86+V87</f>
      </c>
      <c r="W88" s="25">
        <f>W84+W85+W86+W87</f>
      </c>
      <c r="X88" s="25">
        <f>X84+X85+X86+X87</f>
      </c>
      <c r="Y88" s="25">
        <f>Y84+Y85+Y86+Y87</f>
      </c>
      <c r="Z88" s="25">
        <f>Z84+Z85+Z86+Z87</f>
      </c>
      <c r="AA88" s="25">
        <f>AA84+AA85+AA86+AA87</f>
      </c>
      <c r="AB88" s="25">
        <f>AB84+AB85+AB86+AB87</f>
      </c>
      <c r="AC88" s="25">
        <f>AC84+AC85+AC86+AC87</f>
      </c>
      <c r="AD88" s="25">
        <f>AD84+AD85+AD86+AD87</f>
      </c>
      <c r="AE88" s="25">
        <f>AE84+AE85+AE86+AE87</f>
      </c>
      <c r="AF88" s="25">
        <f>AF84+AF85+AF86+AF87</f>
      </c>
      <c r="AG88" s="25">
        <f>AG84+AG85+AG86+AG87</f>
      </c>
      <c r="AH88" s="25">
        <f>AH84+AH85+AH86+AH87</f>
      </c>
      <c r="AI88" s="25">
        <f>AI84+AI85+AI86+AI87</f>
      </c>
      <c r="AJ88" s="25">
        <f>AJ84+AJ85+AJ86+AJ87</f>
      </c>
      <c r="AK88" s="25">
        <f>AK84+AK85+AK86+AK87</f>
      </c>
      <c r="AL88" s="25">
        <f>AL84+AL85+AL86+AL87</f>
      </c>
      <c r="AM8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74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2711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2712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6">
        <f>297.02+0.00</f>
        <v>297.02</v>
      </c>
      <c r="V9" s="32"/>
      <c r="W9" s="32"/>
      <c r="X9" s="33">
        <v>175.02</v>
      </c>
      <c r="Y9" s="32"/>
      <c r="Z9" s="32"/>
      <c r="AA9" s="33">
        <v>255.6</v>
      </c>
      <c r="AB9" s="32"/>
      <c r="AC9" s="32"/>
      <c r="AD9" s="33">
        <v>483.45</v>
      </c>
      <c r="AE9" s="32"/>
      <c r="AF9" s="36">
        <f>0.00+244.65</f>
        <v>244.65</v>
      </c>
      <c r="AG9" s="32"/>
      <c r="AH9" s="33">
        <v>358.34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2713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6">
        <f>230.81+-40.31</f>
        <v>190.5</v>
      </c>
      <c r="V10" s="32"/>
      <c r="W10" s="32"/>
      <c r="X10" s="33">
        <v>162.23</v>
      </c>
      <c r="Y10" s="32"/>
      <c r="Z10" s="33">
        <v>110.28</v>
      </c>
      <c r="AA10" s="32"/>
      <c r="AB10" s="33">
        <v>158.82</v>
      </c>
      <c r="AC10" s="32"/>
      <c r="AD10" s="32"/>
      <c r="AE10" s="32"/>
      <c r="AF10" s="33">
        <v>196.25</v>
      </c>
      <c r="AG10" s="33">
        <v>0</v>
      </c>
      <c r="AH10" s="32"/>
      <c r="AI10" s="32"/>
      <c r="AJ10" s="34">
        <f>SUM(E10:AI10)</f>
      </c>
      <c r="AK10" s="35"/>
    </row>
    <row r="11" ht="12.75" customHeight="1" spans="2:37" x14ac:dyDescent="0.25">
      <c r="B11" s="30" t="s">
        <v>41</v>
      </c>
      <c r="C11" s="31" t="s">
        <v>3</v>
      </c>
      <c r="D11" s="32" t="s">
        <v>2714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>
        <v>1586.43</v>
      </c>
      <c r="V11" s="33">
        <v>-5.01</v>
      </c>
      <c r="W11" s="32"/>
      <c r="X11" s="33">
        <v>647.87</v>
      </c>
      <c r="Y11" s="32"/>
      <c r="Z11" s="32"/>
      <c r="AA11" s="32"/>
      <c r="AB11" s="32"/>
      <c r="AC11" s="32"/>
      <c r="AD11" s="32"/>
      <c r="AE11" s="36">
        <f>266.77+2396.87</f>
        <v>2663.64</v>
      </c>
      <c r="AF11" s="36">
        <f>789.68+3012.41</f>
        <v>3802.0899999999997</v>
      </c>
      <c r="AG11" s="33">
        <v>2654.03</v>
      </c>
      <c r="AH11" s="33">
        <v>2513.48</v>
      </c>
      <c r="AI11" s="32"/>
      <c r="AJ11" s="34">
        <f>SUM(E11:AI11)</f>
      </c>
      <c r="AK11" s="35"/>
    </row>
    <row r="12" ht="12.75" customHeight="1" spans="2:37" x14ac:dyDescent="0.25">
      <c r="B12" s="30" t="s">
        <v>41</v>
      </c>
      <c r="C12" s="31" t="s">
        <v>3</v>
      </c>
      <c r="D12" s="32" t="s">
        <v>2715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>
        <v>219.69</v>
      </c>
      <c r="U12" s="32"/>
      <c r="V12" s="33">
        <v>587.1</v>
      </c>
      <c r="W12" s="32"/>
      <c r="X12" s="33">
        <v>312.98</v>
      </c>
      <c r="Y12" s="32"/>
      <c r="Z12" s="32"/>
      <c r="AA12" s="32"/>
      <c r="AB12" s="32"/>
      <c r="AC12" s="32"/>
      <c r="AD12" s="32"/>
      <c r="AE12" s="36">
        <f>154.46+455.46</f>
        <v>609.92</v>
      </c>
      <c r="AF12" s="33">
        <v>162.19</v>
      </c>
      <c r="AG12" s="33">
        <v>423.3</v>
      </c>
      <c r="AH12" s="32"/>
      <c r="AI12" s="32"/>
      <c r="AJ12" s="34">
        <f>SUM(E12:AI12)</f>
      </c>
      <c r="AK12" s="35"/>
    </row>
    <row r="13" ht="12.75" customHeight="1" spans="2:37" x14ac:dyDescent="0.25">
      <c r="B13" s="37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40"/>
    </row>
    <row r="14" ht="12.75" customHeight="1" spans="2:37" x14ac:dyDescent="0.25">
      <c r="B14" s="20" t="s">
        <v>64</v>
      </c>
      <c r="C14" s="21"/>
      <c r="D14" s="21"/>
      <c r="E14" s="22">
        <f>SUM(E9:E12)</f>
      </c>
      <c r="F14" s="22">
        <f>SUM(F9:F12)</f>
      </c>
      <c r="G14" s="22">
        <f>SUM(G9:G12)</f>
      </c>
      <c r="H14" s="22">
        <f>SUM(H9:H12)</f>
      </c>
      <c r="I14" s="22">
        <f>SUM(I9:I12)</f>
      </c>
      <c r="J14" s="22">
        <f>SUM(J9:J12)</f>
      </c>
      <c r="K14" s="22">
        <f>SUM(K9:K12)</f>
      </c>
      <c r="L14" s="22">
        <f>SUM(L9:L12)</f>
      </c>
      <c r="M14" s="22">
        <f>SUM(M9:M12)</f>
      </c>
      <c r="N14" s="22">
        <f>SUM(N9:N12)</f>
      </c>
      <c r="O14" s="22">
        <f>SUM(O9:O12)</f>
      </c>
      <c r="P14" s="22">
        <f>SUM(P9:P12)</f>
      </c>
      <c r="Q14" s="22">
        <f>SUM(Q9:Q12)</f>
      </c>
      <c r="R14" s="22">
        <f>SUM(R9:R12)</f>
      </c>
      <c r="S14" s="22">
        <f>SUM(S9:S12)</f>
      </c>
      <c r="T14" s="22">
        <f>SUM(T9:T12)</f>
      </c>
      <c r="U14" s="22">
        <f>SUM(U9:U12)</f>
      </c>
      <c r="V14" s="22">
        <f>SUM(V9:V12)</f>
      </c>
      <c r="W14" s="22">
        <f>SUM(W9:W12)</f>
      </c>
      <c r="X14" s="22">
        <f>SUM(X9:X12)</f>
      </c>
      <c r="Y14" s="22">
        <f>SUM(Y9:Y12)</f>
      </c>
      <c r="Z14" s="22">
        <f>SUM(Z9:Z12)</f>
      </c>
      <c r="AA14" s="22">
        <f>SUM(AA9:AA12)</f>
      </c>
      <c r="AB14" s="22">
        <f>SUM(AB9:AB12)</f>
      </c>
      <c r="AC14" s="22">
        <f>SUM(AC9:AC12)</f>
      </c>
      <c r="AD14" s="22">
        <f>SUM(AD9:AD12)</f>
      </c>
      <c r="AE14" s="22">
        <f>SUM(AE9:AE12)</f>
      </c>
      <c r="AF14" s="22">
        <f>SUM(AF9:AF12)</f>
      </c>
      <c r="AG14" s="22">
        <f>SUM(AG9:AG12)</f>
      </c>
      <c r="AH14" s="22">
        <f>SUM(AH9:AH12)</f>
      </c>
      <c r="AI14" s="22">
        <f>SUM(AI9:AI12)</f>
      </c>
      <c r="AJ14" s="22">
        <f>SUM(AJ9:AJ12)</f>
      </c>
      <c r="AK14" s="23"/>
    </row>
    <row r="16" ht="12.75" customHeight="1" spans="2:37" x14ac:dyDescent="0.25">
      <c r="B16" s="26" t="s">
        <v>42</v>
      </c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9"/>
    </row>
    <row r="17" ht="12.75" customHeight="1" spans="2:37" x14ac:dyDescent="0.25">
      <c r="B17" s="30" t="s">
        <v>42</v>
      </c>
      <c r="C17" s="31" t="s">
        <v>3</v>
      </c>
      <c r="D17" s="32" t="s">
        <v>2716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>
        <v>619.93</v>
      </c>
      <c r="V17" s="33">
        <v>647.43</v>
      </c>
      <c r="W17" s="33">
        <v>505.8</v>
      </c>
      <c r="X17" s="33">
        <v>586.14</v>
      </c>
      <c r="Y17" s="33">
        <v>519.26</v>
      </c>
      <c r="Z17" s="33">
        <v>573.95</v>
      </c>
      <c r="AA17" s="33">
        <v>549.82</v>
      </c>
      <c r="AB17" s="33">
        <v>600.1</v>
      </c>
      <c r="AC17" s="33">
        <v>486.37</v>
      </c>
      <c r="AD17" s="33">
        <v>341.75</v>
      </c>
      <c r="AE17" s="33">
        <v>452.46</v>
      </c>
      <c r="AF17" s="33">
        <v>551.47</v>
      </c>
      <c r="AG17" s="33">
        <v>614.65</v>
      </c>
      <c r="AH17" s="33">
        <v>716.52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2717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6">
        <f>190.85+9.30</f>
        <v>200.15</v>
      </c>
      <c r="V18" s="36">
        <f>146.80+10.63</f>
        <v>157.43</v>
      </c>
      <c r="W18" s="36">
        <f>8.70+125.09</f>
        <v>133.79</v>
      </c>
      <c r="X18" s="36">
        <f>96.20+8.70</f>
        <v>104.9</v>
      </c>
      <c r="Y18" s="36">
        <f>9.63+124.72</f>
        <v>134.35</v>
      </c>
      <c r="Z18" s="36">
        <f>9.73+176.25</f>
        <v>185.98</v>
      </c>
      <c r="AA18" s="36">
        <f>9.12+170.42</f>
        <v>179.54</v>
      </c>
      <c r="AB18" s="36">
        <f>199.70+9.07</f>
        <v>208.76999999999998</v>
      </c>
      <c r="AC18" s="36">
        <f>10.63+142.08</f>
        <v>152.71</v>
      </c>
      <c r="AD18" s="36">
        <f>96.51+19.98</f>
        <v>116.49000000000001</v>
      </c>
      <c r="AE18" s="36">
        <f>2.26+29.79</f>
        <v>32.05</v>
      </c>
      <c r="AF18" s="36">
        <f>131.28+9.96</f>
        <v>141.24</v>
      </c>
      <c r="AG18" s="36">
        <f>185.49+10.96</f>
        <v>196.45000000000002</v>
      </c>
      <c r="AH18" s="36">
        <f>10.30+227.51</f>
        <v>237.81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2718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>
        <v>265.48</v>
      </c>
      <c r="V19" s="33">
        <v>308.51</v>
      </c>
      <c r="W19" s="33">
        <v>273.62</v>
      </c>
      <c r="X19" s="33">
        <v>157.2</v>
      </c>
      <c r="Y19" s="33">
        <v>170.59</v>
      </c>
      <c r="Z19" s="33">
        <v>209.13</v>
      </c>
      <c r="AA19" s="33">
        <v>189.89</v>
      </c>
      <c r="AB19" s="33">
        <v>223.29</v>
      </c>
      <c r="AC19" s="33">
        <v>134.02</v>
      </c>
      <c r="AD19" s="33">
        <v>77.62</v>
      </c>
      <c r="AE19" s="33">
        <v>123.62</v>
      </c>
      <c r="AF19" s="33">
        <v>132.09</v>
      </c>
      <c r="AG19" s="33">
        <v>236.14</v>
      </c>
      <c r="AH19" s="33">
        <v>319.28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2719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>
        <v>453.61</v>
      </c>
      <c r="V20" s="33">
        <v>515.51</v>
      </c>
      <c r="W20" s="33">
        <v>404.76</v>
      </c>
      <c r="X20" s="33">
        <v>283.05</v>
      </c>
      <c r="Y20" s="33">
        <v>194.94</v>
      </c>
      <c r="Z20" s="33">
        <v>233.73</v>
      </c>
      <c r="AA20" s="33">
        <v>240.16</v>
      </c>
      <c r="AB20" s="33">
        <v>274.18</v>
      </c>
      <c r="AC20" s="33">
        <v>233.35</v>
      </c>
      <c r="AD20" s="33">
        <v>179.04</v>
      </c>
      <c r="AE20" s="33">
        <v>156.29</v>
      </c>
      <c r="AF20" s="33">
        <v>194.73</v>
      </c>
      <c r="AG20" s="33">
        <v>348.94</v>
      </c>
      <c r="AH20" s="33">
        <v>625.87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2720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>
        <v>161.66</v>
      </c>
      <c r="V21" s="33">
        <v>209.72</v>
      </c>
      <c r="W21" s="33">
        <v>154.51</v>
      </c>
      <c r="X21" s="33">
        <v>119.89</v>
      </c>
      <c r="Y21" s="33">
        <v>127.28</v>
      </c>
      <c r="Z21" s="33">
        <v>69.66</v>
      </c>
      <c r="AA21" s="33">
        <v>46.5</v>
      </c>
      <c r="AB21" s="33">
        <v>46.5</v>
      </c>
      <c r="AC21" s="33">
        <v>49.6</v>
      </c>
      <c r="AD21" s="33">
        <v>44.95</v>
      </c>
      <c r="AE21" s="33">
        <v>45.07</v>
      </c>
      <c r="AF21" s="33">
        <v>74.24</v>
      </c>
      <c r="AG21" s="33">
        <v>139.72</v>
      </c>
      <c r="AH21" s="33">
        <v>170.75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2721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>
        <v>298.29</v>
      </c>
      <c r="V22" s="33">
        <v>278.96</v>
      </c>
      <c r="W22" s="33">
        <v>156.3</v>
      </c>
      <c r="X22" s="33">
        <v>163.27</v>
      </c>
      <c r="Y22" s="33">
        <v>103.92</v>
      </c>
      <c r="Z22" s="33">
        <v>121.29</v>
      </c>
      <c r="AA22" s="33">
        <v>120.26</v>
      </c>
      <c r="AB22" s="33">
        <v>170.42</v>
      </c>
      <c r="AC22" s="33">
        <v>162.02</v>
      </c>
      <c r="AD22" s="33">
        <v>114.8</v>
      </c>
      <c r="AE22" s="33">
        <v>119.94</v>
      </c>
      <c r="AF22" s="33">
        <v>139.67</v>
      </c>
      <c r="AG22" s="33">
        <v>226.71</v>
      </c>
      <c r="AH22" s="33">
        <v>247.71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2722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>
        <v>518</v>
      </c>
      <c r="V23" s="33">
        <v>495.5</v>
      </c>
      <c r="W23" s="33">
        <v>310.25</v>
      </c>
      <c r="X23" s="33">
        <v>295.64</v>
      </c>
      <c r="Y23" s="33">
        <v>373.8</v>
      </c>
      <c r="Z23" s="33">
        <v>511.32</v>
      </c>
      <c r="AA23" s="33">
        <v>537.58</v>
      </c>
      <c r="AB23" s="33">
        <v>524.86</v>
      </c>
      <c r="AC23" s="33">
        <v>432.41</v>
      </c>
      <c r="AD23" s="33">
        <v>308.73</v>
      </c>
      <c r="AE23" s="32"/>
      <c r="AF23" s="33">
        <v>278.54</v>
      </c>
      <c r="AG23" s="33">
        <v>471.39</v>
      </c>
      <c r="AH23" s="33">
        <v>697.2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2723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>
        <v>705.11</v>
      </c>
      <c r="V24" s="33">
        <v>713.07</v>
      </c>
      <c r="W24" s="33">
        <v>580.97</v>
      </c>
      <c r="X24" s="33">
        <v>436.12</v>
      </c>
      <c r="Y24" s="33">
        <v>448.06</v>
      </c>
      <c r="Z24" s="33">
        <v>476.08</v>
      </c>
      <c r="AA24" s="33">
        <v>438.72</v>
      </c>
      <c r="AB24" s="33">
        <v>381.96</v>
      </c>
      <c r="AC24" s="33">
        <v>342.12</v>
      </c>
      <c r="AD24" s="33">
        <v>301.24</v>
      </c>
      <c r="AE24" s="33">
        <v>283.22</v>
      </c>
      <c r="AF24" s="33">
        <v>307.34</v>
      </c>
      <c r="AG24" s="33">
        <v>499.78</v>
      </c>
      <c r="AH24" s="33">
        <v>550.75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2724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>
        <v>341.9</v>
      </c>
      <c r="V25" s="33">
        <v>420.66</v>
      </c>
      <c r="W25" s="33">
        <v>339.58</v>
      </c>
      <c r="X25" s="33">
        <v>328.01</v>
      </c>
      <c r="Y25" s="33">
        <v>179.15</v>
      </c>
      <c r="Z25" s="33">
        <v>69.66</v>
      </c>
      <c r="AA25" s="33">
        <v>63.14</v>
      </c>
      <c r="AB25" s="33">
        <v>63.14</v>
      </c>
      <c r="AC25" s="33">
        <v>67.83</v>
      </c>
      <c r="AD25" s="33">
        <v>63.55</v>
      </c>
      <c r="AE25" s="33">
        <v>61.46</v>
      </c>
      <c r="AF25" s="33">
        <v>136.25</v>
      </c>
      <c r="AG25" s="33">
        <v>310.14</v>
      </c>
      <c r="AH25" s="33">
        <v>418.38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2725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6">
        <f>18.29+161.02</f>
        <v>179.31</v>
      </c>
      <c r="V26" s="36">
        <f>20.90+161.18</f>
        <v>182.08</v>
      </c>
      <c r="W26" s="36">
        <f>17.11+129.60</f>
        <v>146.70999999999998</v>
      </c>
      <c r="X26" s="36">
        <f>172.28+17.11</f>
        <v>189.39</v>
      </c>
      <c r="Y26" s="36">
        <f>150.04+18.94</f>
        <v>168.98</v>
      </c>
      <c r="Z26" s="36">
        <f>148.14+19.38</f>
        <v>167.51999999999998</v>
      </c>
      <c r="AA26" s="36">
        <f>18.10+151.01</f>
        <v>169.10999999999999</v>
      </c>
      <c r="AB26" s="36">
        <f>17.91+197.94</f>
        <v>215.85</v>
      </c>
      <c r="AC26" s="36">
        <f>20.90+193.96</f>
        <v>214.86</v>
      </c>
      <c r="AD26" s="36">
        <f>31.36+115.85</f>
        <v>147.20999999999998</v>
      </c>
      <c r="AE26" s="36">
        <f>18.94+108.93</f>
        <v>127.87</v>
      </c>
      <c r="AF26" s="36">
        <f>122.80+20.25</f>
        <v>143.05</v>
      </c>
      <c r="AG26" s="36">
        <f>148.05+21.56</f>
        <v>169.61</v>
      </c>
      <c r="AH26" s="36">
        <f>20.25+143.96</f>
        <v>164.21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2726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>
        <v>940.2</v>
      </c>
      <c r="V27" s="33">
        <v>817.92</v>
      </c>
      <c r="W27" s="33">
        <v>746.51</v>
      </c>
      <c r="X27" s="33">
        <v>589.18</v>
      </c>
      <c r="Y27" s="33">
        <v>522.08</v>
      </c>
      <c r="Z27" s="33">
        <v>600.14</v>
      </c>
      <c r="AA27" s="33">
        <v>560.34</v>
      </c>
      <c r="AB27" s="33">
        <v>609.27</v>
      </c>
      <c r="AC27" s="33">
        <v>526.73</v>
      </c>
      <c r="AD27" s="33">
        <v>436.44</v>
      </c>
      <c r="AE27" s="33">
        <v>523.63</v>
      </c>
      <c r="AF27" s="33">
        <v>450.23</v>
      </c>
      <c r="AG27" s="33">
        <v>760.74</v>
      </c>
      <c r="AH27" s="33">
        <v>928.91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2727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>
        <v>243.46</v>
      </c>
      <c r="V28" s="33">
        <v>278.51</v>
      </c>
      <c r="W28" s="33">
        <v>218.33</v>
      </c>
      <c r="X28" s="33">
        <v>184.62</v>
      </c>
      <c r="Y28" s="33">
        <v>167.29</v>
      </c>
      <c r="Z28" s="33">
        <v>184.18</v>
      </c>
      <c r="AA28" s="33">
        <v>156.6</v>
      </c>
      <c r="AB28" s="33">
        <v>193.31</v>
      </c>
      <c r="AC28" s="33">
        <v>171.94</v>
      </c>
      <c r="AD28" s="33">
        <v>155.06</v>
      </c>
      <c r="AE28" s="33">
        <v>142.83</v>
      </c>
      <c r="AF28" s="33">
        <v>205.54</v>
      </c>
      <c r="AG28" s="33">
        <v>297.38</v>
      </c>
      <c r="AH28" s="33">
        <v>292.74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2728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6">
        <f>1336.63+9.30</f>
        <v>1345.93</v>
      </c>
      <c r="V29" s="36">
        <f>10.63+1344.09</f>
        <v>1354.72</v>
      </c>
      <c r="W29" s="36">
        <f>8.70+1098.04</f>
        <v>1106.74</v>
      </c>
      <c r="X29" s="36">
        <f>8.70+1026.95</f>
        <v>1035.65</v>
      </c>
      <c r="Y29" s="36">
        <f>9.63+1096.40</f>
        <v>1106.0300000000002</v>
      </c>
      <c r="Z29" s="36">
        <f>1615.41+9.42</f>
        <v>1624.8300000000002</v>
      </c>
      <c r="AA29" s="36">
        <f>1567.26+10.77</f>
        <v>1578.03</v>
      </c>
      <c r="AB29" s="36">
        <f>1283.52+9.96</f>
        <v>1293.48</v>
      </c>
      <c r="AC29" s="36">
        <f>1515.64+10.63</f>
        <v>1526.2700000000002</v>
      </c>
      <c r="AD29" s="36">
        <f>133.31+1154.06</f>
        <v>1287.37</v>
      </c>
      <c r="AE29" s="36">
        <f>9.63+1178.87</f>
        <v>1188.5</v>
      </c>
      <c r="AF29" s="36">
        <f>10.30+1384.56</f>
        <v>1394.86</v>
      </c>
      <c r="AG29" s="36">
        <f>1733.22+10.96</f>
        <v>1744.18</v>
      </c>
      <c r="AH29" s="36">
        <f>10.30+1888.54</f>
        <v>1898.84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2729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6">
        <f>369.65+53.32</f>
        <v>422.96999999999997</v>
      </c>
      <c r="V30" s="36">
        <f>60.94+326.03</f>
        <v>386.96999999999997</v>
      </c>
      <c r="W30" s="36">
        <f>49.88+358.98</f>
        <v>408.86</v>
      </c>
      <c r="X30" s="36">
        <f>49.88+403.14</f>
        <v>453.02</v>
      </c>
      <c r="Y30" s="36">
        <f>55.23+465.92</f>
        <v>521.15</v>
      </c>
      <c r="Z30" s="36">
        <f>54.84+559.02</f>
        <v>613.86</v>
      </c>
      <c r="AA30" s="36">
        <f>51.47+491.86</f>
        <v>543.33</v>
      </c>
      <c r="AB30" s="36">
        <f>462.06+51.54</f>
        <v>513.6</v>
      </c>
      <c r="AC30" s="36">
        <f>233.11+60.94</f>
        <v>294.05</v>
      </c>
      <c r="AD30" s="36">
        <f>72.01+156.63</f>
        <v>228.64</v>
      </c>
      <c r="AE30" s="36">
        <f>55.23+170.23</f>
        <v>225.45999999999998</v>
      </c>
      <c r="AF30" s="36">
        <f>59.03+223.98</f>
        <v>283.01</v>
      </c>
      <c r="AG30" s="36">
        <f>360.18+62.84</f>
        <v>423.02</v>
      </c>
      <c r="AH30" s="36">
        <f>313.78+59.03</f>
        <v>372.80999999999995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2730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>
        <v>614.31</v>
      </c>
      <c r="V31" s="33">
        <v>604.4</v>
      </c>
      <c r="W31" s="33">
        <v>443.09</v>
      </c>
      <c r="X31" s="33">
        <v>521.75</v>
      </c>
      <c r="Y31" s="33">
        <v>632.19</v>
      </c>
      <c r="Z31" s="33">
        <v>722.47</v>
      </c>
      <c r="AA31" s="33">
        <v>682.67</v>
      </c>
      <c r="AB31" s="33">
        <v>707.15</v>
      </c>
      <c r="AC31" s="33">
        <v>514.5</v>
      </c>
      <c r="AD31" s="33">
        <v>485.38</v>
      </c>
      <c r="AE31" s="33">
        <v>376.82</v>
      </c>
      <c r="AF31" s="33">
        <v>389.05</v>
      </c>
      <c r="AG31" s="33">
        <v>528.28</v>
      </c>
      <c r="AH31" s="33">
        <v>659.76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2731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6">
        <f>338.87+9.30</f>
        <v>348.17</v>
      </c>
      <c r="V32" s="36">
        <f>9.60+298.30</f>
        <v>307.90000000000003</v>
      </c>
      <c r="W32" s="36">
        <f>243.19+8.70</f>
        <v>251.89</v>
      </c>
      <c r="X32" s="36">
        <f>8.70+224.89</f>
        <v>233.58999999999997</v>
      </c>
      <c r="Y32" s="36">
        <f>302.60+9.63</f>
        <v>312.23</v>
      </c>
      <c r="Z32" s="36">
        <f>341.72+9.55</f>
        <v>351.27000000000004</v>
      </c>
      <c r="AA32" s="36">
        <f>8.94+348.85</f>
        <v>357.79</v>
      </c>
      <c r="AB32" s="36">
        <f>8.91+435.74</f>
        <v>444.65000000000003</v>
      </c>
      <c r="AC32" s="36">
        <f>10.63+371.95</f>
        <v>382.58</v>
      </c>
      <c r="AD32" s="36">
        <f>38.06+265.24</f>
        <v>303.3</v>
      </c>
      <c r="AE32" s="36">
        <f>261.00+9.63</f>
        <v>270.63</v>
      </c>
      <c r="AF32" s="36">
        <f>292.98+10.30</f>
        <v>303.28000000000003</v>
      </c>
      <c r="AG32" s="36">
        <f>377.19+10.96</f>
        <v>388.15</v>
      </c>
      <c r="AH32" s="36">
        <f>400.39+10.30</f>
        <v>410.69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2732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6">
        <f>9.30+354.59</f>
        <v>363.89</v>
      </c>
      <c r="V33" s="36">
        <f>391.46+9.60</f>
        <v>401.06</v>
      </c>
      <c r="W33" s="36">
        <f>274.11+8.70</f>
        <v>282.81</v>
      </c>
      <c r="X33" s="36">
        <f>240.17+8.70</f>
        <v>248.86999999999998</v>
      </c>
      <c r="Y33" s="36">
        <f>9.63+267.74</f>
        <v>277.37</v>
      </c>
      <c r="Z33" s="36">
        <f>271.33+9.60</f>
        <v>280.93</v>
      </c>
      <c r="AA33" s="36">
        <f>9.00+258.27</f>
        <v>267.27</v>
      </c>
      <c r="AB33" s="36">
        <f>8.98+281.65</f>
        <v>290.63</v>
      </c>
      <c r="AC33" s="36">
        <f>10.63+265.29</f>
        <v>275.92</v>
      </c>
      <c r="AD33" s="36">
        <f>33.99+227.23</f>
        <v>261.21999999999997</v>
      </c>
      <c r="AE33" s="36">
        <f>9.63+254.76</f>
        <v>264.39</v>
      </c>
      <c r="AF33" s="36">
        <f>241.70+10.30</f>
        <v>252</v>
      </c>
      <c r="AG33" s="36">
        <f>349.53+10.96</f>
        <v>360.48999999999995</v>
      </c>
      <c r="AH33" s="36">
        <f>446.26+10.30</f>
        <v>456.56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2733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6">
        <f>9.30+519.45</f>
        <v>528.75</v>
      </c>
      <c r="V34" s="36">
        <f>576.21+9.60</f>
        <v>585.8100000000001</v>
      </c>
      <c r="W34" s="36">
        <f>511.66+8.70</f>
        <v>520.36</v>
      </c>
      <c r="X34" s="36">
        <f>8.70+332.09</f>
        <v>340.78999999999996</v>
      </c>
      <c r="Y34" s="36">
        <f>9.63+355.08</f>
        <v>364.71</v>
      </c>
      <c r="Z34" s="36">
        <f>9.51+455.42</f>
        <v>464.93</v>
      </c>
      <c r="AA34" s="36">
        <f>407.59+8.92</f>
        <v>416.51</v>
      </c>
      <c r="AB34" s="36">
        <f>507.94+8.89</f>
        <v>516.83</v>
      </c>
      <c r="AC34" s="36">
        <f>10.63+491.00</f>
        <v>501.63</v>
      </c>
      <c r="AD34" s="36">
        <f>340.82+46.15</f>
        <v>386.96999999999997</v>
      </c>
      <c r="AE34" s="36">
        <f>335.26+9.63</f>
        <v>344.89</v>
      </c>
      <c r="AF34" s="36">
        <f>10.30+360.27</f>
        <v>370.57</v>
      </c>
      <c r="AG34" s="36">
        <f>562.29+10.96</f>
        <v>573.25</v>
      </c>
      <c r="AH34" s="36">
        <f>693.78+10.30</f>
        <v>704.0799999999999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2734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6">
        <f>18.60+588.77</f>
        <v>607.37</v>
      </c>
      <c r="V35" s="36">
        <f>21.26+756.43</f>
        <v>777.6899999999999</v>
      </c>
      <c r="W35" s="36">
        <f>17.40+635.99</f>
        <v>653.39</v>
      </c>
      <c r="X35" s="36">
        <f>17.40+351.01</f>
        <v>368.40999999999997</v>
      </c>
      <c r="Y35" s="36">
        <f>431.68+19.26</f>
        <v>450.94</v>
      </c>
      <c r="Z35" s="36">
        <f>504.99+19.02</f>
        <v>524.01</v>
      </c>
      <c r="AA35" s="36">
        <f>424.27+17.87</f>
        <v>442.14</v>
      </c>
      <c r="AB35" s="36">
        <f>17.90+382.53</f>
        <v>400.42999999999995</v>
      </c>
      <c r="AC35" s="36">
        <f>21.26+286.70</f>
        <v>307.96</v>
      </c>
      <c r="AD35" s="36">
        <f>46.58+254.85</f>
        <v>301.43</v>
      </c>
      <c r="AE35" s="36">
        <f>19.26+314.11</f>
        <v>333.37</v>
      </c>
      <c r="AF35" s="36">
        <f>352.22+19.93</f>
        <v>372.15000000000003</v>
      </c>
      <c r="AG35" s="36">
        <f>22.59+573.63</f>
        <v>596.22</v>
      </c>
      <c r="AH35" s="36">
        <f>20.59+755.06</f>
        <v>775.65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2735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6">
        <f>9.30+446.73</f>
        <v>456.03000000000003</v>
      </c>
      <c r="V36" s="36">
        <f>351.78+10.63</f>
        <v>362.40999999999997</v>
      </c>
      <c r="W36" s="36">
        <f>242.30+8.70</f>
        <v>251</v>
      </c>
      <c r="X36" s="36">
        <f>280.73+8.70</f>
        <v>289.43</v>
      </c>
      <c r="Y36" s="36">
        <f>9.63+399.50</f>
        <v>409.13</v>
      </c>
      <c r="Z36" s="36">
        <f>500.59+9.49</f>
        <v>510.08</v>
      </c>
      <c r="AA36" s="36">
        <f>8.90+450.56</f>
        <v>459.46</v>
      </c>
      <c r="AB36" s="36">
        <f>515.29+8.89</f>
        <v>524.18</v>
      </c>
      <c r="AC36" s="36">
        <f>10.63+445.99</f>
        <v>456.62</v>
      </c>
      <c r="AD36" s="36">
        <f>46.20+341.16</f>
        <v>387.36</v>
      </c>
      <c r="AE36" s="36">
        <f>9.96+291.55</f>
        <v>301.51</v>
      </c>
      <c r="AF36" s="36">
        <f>9.63+314.71</f>
        <v>324.34</v>
      </c>
      <c r="AG36" s="36">
        <f>413.11+11.29</f>
        <v>424.40000000000003</v>
      </c>
      <c r="AH36" s="36">
        <f>10.30+343.01</f>
        <v>353.31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2736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>
        <v>248.63</v>
      </c>
      <c r="V37" s="33">
        <v>207.58</v>
      </c>
      <c r="W37" s="33">
        <v>186.07</v>
      </c>
      <c r="X37" s="33">
        <v>157.76</v>
      </c>
      <c r="Y37" s="33">
        <v>86.17</v>
      </c>
      <c r="Z37" s="33">
        <v>91.32</v>
      </c>
      <c r="AA37" s="33">
        <v>85.64</v>
      </c>
      <c r="AB37" s="33">
        <v>96.52</v>
      </c>
      <c r="AC37" s="33">
        <v>72.48</v>
      </c>
      <c r="AD37" s="33">
        <v>44.95</v>
      </c>
      <c r="AE37" s="33">
        <v>142.21</v>
      </c>
      <c r="AF37" s="33">
        <v>154.99</v>
      </c>
      <c r="AG37" s="33">
        <v>186.46</v>
      </c>
      <c r="AH37" s="33">
        <v>201.09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2737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>
        <v>328.87</v>
      </c>
      <c r="V38" s="33">
        <v>474.72</v>
      </c>
      <c r="W38" s="33">
        <v>409.25</v>
      </c>
      <c r="X38" s="33">
        <v>235.97</v>
      </c>
      <c r="Y38" s="33">
        <v>54.25</v>
      </c>
      <c r="Z38" s="33">
        <v>56.56</v>
      </c>
      <c r="AA38" s="33">
        <v>46.5</v>
      </c>
      <c r="AB38" s="33">
        <v>46.5</v>
      </c>
      <c r="AC38" s="33">
        <v>49.6</v>
      </c>
      <c r="AD38" s="33">
        <v>50.82</v>
      </c>
      <c r="AE38" s="33">
        <v>44.95</v>
      </c>
      <c r="AF38" s="33">
        <v>57.35</v>
      </c>
      <c r="AG38" s="33">
        <v>327.64</v>
      </c>
      <c r="AH38" s="33">
        <v>475.27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2738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>
        <v>279.98</v>
      </c>
      <c r="V39" s="33">
        <v>261.21</v>
      </c>
      <c r="W39" s="33">
        <v>212.6</v>
      </c>
      <c r="X39" s="33">
        <v>191.36</v>
      </c>
      <c r="Y39" s="33">
        <v>172.2</v>
      </c>
      <c r="Z39" s="33">
        <v>192.49</v>
      </c>
      <c r="AA39" s="33">
        <v>184.25</v>
      </c>
      <c r="AB39" s="33">
        <v>202.36</v>
      </c>
      <c r="AC39" s="33">
        <v>105.5</v>
      </c>
      <c r="AD39" s="33">
        <v>47.88</v>
      </c>
      <c r="AE39" s="33">
        <v>47.88</v>
      </c>
      <c r="AF39" s="33">
        <v>64.56</v>
      </c>
      <c r="AG39" s="33">
        <v>167.13</v>
      </c>
      <c r="AH39" s="33">
        <v>277.81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2739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>
        <v>425.07</v>
      </c>
      <c r="V40" s="33">
        <v>373.02</v>
      </c>
      <c r="W40" s="33">
        <v>286.43</v>
      </c>
      <c r="X40" s="33">
        <v>266.08</v>
      </c>
      <c r="Y40" s="33">
        <v>165.71</v>
      </c>
      <c r="Z40" s="33">
        <v>185.28</v>
      </c>
      <c r="AA40" s="33">
        <v>173</v>
      </c>
      <c r="AB40" s="33">
        <v>201.01</v>
      </c>
      <c r="AC40" s="33">
        <v>181.85</v>
      </c>
      <c r="AD40" s="33">
        <v>222.59</v>
      </c>
      <c r="AE40" s="33">
        <v>215.12</v>
      </c>
      <c r="AF40" s="33">
        <v>266.67</v>
      </c>
      <c r="AG40" s="33">
        <v>379.88</v>
      </c>
      <c r="AH40" s="33">
        <v>411.51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2740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>
        <v>49.61</v>
      </c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2741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3">
        <v>85.28</v>
      </c>
      <c r="AB42" s="33">
        <v>209.22</v>
      </c>
      <c r="AC42" s="33">
        <v>183.2</v>
      </c>
      <c r="AD42" s="33">
        <v>141.47</v>
      </c>
      <c r="AE42" s="33">
        <v>136.54</v>
      </c>
      <c r="AF42" s="33">
        <v>182.79</v>
      </c>
      <c r="AG42" s="33">
        <v>295.7</v>
      </c>
      <c r="AH42" s="33">
        <v>309.98</v>
      </c>
      <c r="AI42" s="32"/>
      <c r="AJ42" s="34">
        <f>SUM(E42:AI42)</f>
      </c>
      <c r="AK42" s="35"/>
    </row>
    <row r="43" ht="12.75" customHeight="1" spans="2:37" x14ac:dyDescent="0.25">
      <c r="B43" s="37"/>
      <c r="C43" s="38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40"/>
    </row>
    <row r="44" ht="12.75" customHeight="1" spans="2:37" x14ac:dyDescent="0.25">
      <c r="B44" s="20" t="s">
        <v>85</v>
      </c>
      <c r="C44" s="21"/>
      <c r="D44" s="21"/>
      <c r="E44" s="22">
        <f>SUM(E17:E42)</f>
      </c>
      <c r="F44" s="22">
        <f>SUM(F17:F42)</f>
      </c>
      <c r="G44" s="22">
        <f>SUM(G17:G42)</f>
      </c>
      <c r="H44" s="22">
        <f>SUM(H17:H42)</f>
      </c>
      <c r="I44" s="22">
        <f>SUM(I17:I42)</f>
      </c>
      <c r="J44" s="22">
        <f>SUM(J17:J42)</f>
      </c>
      <c r="K44" s="22">
        <f>SUM(K17:K42)</f>
      </c>
      <c r="L44" s="22">
        <f>SUM(L17:L42)</f>
      </c>
      <c r="M44" s="22">
        <f>SUM(M17:M42)</f>
      </c>
      <c r="N44" s="22">
        <f>SUM(N17:N42)</f>
      </c>
      <c r="O44" s="22">
        <f>SUM(O17:O42)</f>
      </c>
      <c r="P44" s="22">
        <f>SUM(P17:P42)</f>
      </c>
      <c r="Q44" s="22">
        <f>SUM(Q17:Q42)</f>
      </c>
      <c r="R44" s="22">
        <f>SUM(R17:R42)</f>
      </c>
      <c r="S44" s="22">
        <f>SUM(S17:S42)</f>
      </c>
      <c r="T44" s="22">
        <f>SUM(T17:T42)</f>
      </c>
      <c r="U44" s="22">
        <f>SUM(U17:U42)</f>
      </c>
      <c r="V44" s="22">
        <f>SUM(V17:V42)</f>
      </c>
      <c r="W44" s="22">
        <f>SUM(W17:W42)</f>
      </c>
      <c r="X44" s="22">
        <f>SUM(X17:X42)</f>
      </c>
      <c r="Y44" s="22">
        <f>SUM(Y17:Y42)</f>
      </c>
      <c r="Z44" s="22">
        <f>SUM(Z17:Z42)</f>
      </c>
      <c r="AA44" s="22">
        <f>SUM(AA17:AA42)</f>
      </c>
      <c r="AB44" s="22">
        <f>SUM(AB17:AB42)</f>
      </c>
      <c r="AC44" s="22">
        <f>SUM(AC17:AC42)</f>
      </c>
      <c r="AD44" s="22">
        <f>SUM(AD17:AD42)</f>
      </c>
      <c r="AE44" s="22">
        <f>SUM(AE17:AE42)</f>
      </c>
      <c r="AF44" s="22">
        <f>SUM(AF17:AF42)</f>
      </c>
      <c r="AG44" s="22">
        <f>SUM(AG17:AG42)</f>
      </c>
      <c r="AH44" s="22">
        <f>SUM(AH17:AH42)</f>
      </c>
      <c r="AI44" s="22">
        <f>SUM(AI17:AI42)</f>
      </c>
      <c r="AJ44" s="22">
        <f>SUM(AJ17:AJ42)</f>
      </c>
      <c r="AK44" s="23"/>
    </row>
    <row r="46" ht="12.75" customHeight="1" spans="2:37" x14ac:dyDescent="0.25">
      <c r="B46" s="26" t="s">
        <v>43</v>
      </c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9"/>
    </row>
    <row r="47" ht="12.75" customHeight="1" spans="2:37" x14ac:dyDescent="0.25">
      <c r="B47" s="37"/>
      <c r="C47" s="38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40"/>
    </row>
    <row r="48" ht="12.75" customHeight="1" spans="2:37" x14ac:dyDescent="0.25">
      <c r="B48" s="20" t="s">
        <v>89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3"/>
    </row>
    <row r="50" ht="12.75" customHeight="1" spans="2:37" x14ac:dyDescent="0.25">
      <c r="B50" s="26" t="s">
        <v>44</v>
      </c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9"/>
    </row>
    <row r="51" ht="12.75" customHeight="1" spans="2:37" x14ac:dyDescent="0.25">
      <c r="B51" s="37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40"/>
    </row>
    <row r="52" ht="12.75" customHeight="1" spans="2:37" x14ac:dyDescent="0.25">
      <c r="B52" s="20" t="s">
        <v>90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3"/>
    </row>
    <row r="55" ht="12.75" customHeight="1" spans="2:37" x14ac:dyDescent="0.25">
      <c r="B55" s="11" t="s">
        <v>40</v>
      </c>
      <c r="C55" s="12"/>
      <c r="D55" s="13"/>
      <c r="E55" s="14" t="s">
        <v>7</v>
      </c>
      <c r="F55" s="14" t="s">
        <v>8</v>
      </c>
      <c r="G55" s="14" t="s">
        <v>9</v>
      </c>
      <c r="H55" s="14" t="s">
        <v>10</v>
      </c>
      <c r="I55" s="14" t="s">
        <v>11</v>
      </c>
      <c r="J55" s="14" t="s">
        <v>12</v>
      </c>
      <c r="K55" s="14" t="s">
        <v>13</v>
      </c>
      <c r="L55" s="14" t="s">
        <v>14</v>
      </c>
      <c r="M55" s="14" t="s">
        <v>15</v>
      </c>
      <c r="N55" s="14" t="s">
        <v>16</v>
      </c>
      <c r="O55" s="14" t="s">
        <v>17</v>
      </c>
      <c r="P55" s="14" t="s">
        <v>18</v>
      </c>
      <c r="Q55" s="14" t="s">
        <v>19</v>
      </c>
      <c r="R55" s="14" t="s">
        <v>20</v>
      </c>
      <c r="S55" s="14" t="s">
        <v>21</v>
      </c>
      <c r="T55" s="14" t="s">
        <v>22</v>
      </c>
      <c r="U55" s="14" t="s">
        <v>23</v>
      </c>
      <c r="V55" s="14" t="s">
        <v>24</v>
      </c>
      <c r="W55" s="14" t="s">
        <v>25</v>
      </c>
      <c r="X55" s="14" t="s">
        <v>26</v>
      </c>
      <c r="Y55" s="14" t="s">
        <v>27</v>
      </c>
      <c r="Z55" s="14" t="s">
        <v>28</v>
      </c>
      <c r="AA55" s="14" t="s">
        <v>29</v>
      </c>
      <c r="AB55" s="14" t="s">
        <v>30</v>
      </c>
      <c r="AC55" s="14" t="s">
        <v>31</v>
      </c>
      <c r="AD55" s="14" t="s">
        <v>32</v>
      </c>
      <c r="AE55" s="14" t="s">
        <v>33</v>
      </c>
      <c r="AF55" s="14" t="s">
        <v>34</v>
      </c>
      <c r="AG55" s="14" t="s">
        <v>35</v>
      </c>
      <c r="AH55" s="14" t="s">
        <v>36</v>
      </c>
      <c r="AI55" s="14" t="s">
        <v>37</v>
      </c>
      <c r="AJ55" s="14" t="s">
        <v>38</v>
      </c>
      <c r="AK55" s="15"/>
    </row>
    <row r="56" ht="12.75" customHeight="1" spans="2:37" x14ac:dyDescent="0.25">
      <c r="B56" s="16" t="s">
        <v>41</v>
      </c>
      <c r="C56" s="17"/>
      <c r="D56" s="17"/>
      <c r="E56" s="18">
        <f>E14</f>
      </c>
      <c r="F56" s="18">
        <f>F14</f>
      </c>
      <c r="G56" s="18">
        <f>G14</f>
      </c>
      <c r="H56" s="18">
        <f>H14</f>
      </c>
      <c r="I56" s="18">
        <f>I14</f>
      </c>
      <c r="J56" s="18">
        <f>J14</f>
      </c>
      <c r="K56" s="18">
        <f>K14</f>
      </c>
      <c r="L56" s="18">
        <f>L14</f>
      </c>
      <c r="M56" s="18">
        <f>M14</f>
      </c>
      <c r="N56" s="18">
        <f>N14</f>
      </c>
      <c r="O56" s="18">
        <f>O14</f>
      </c>
      <c r="P56" s="18">
        <f>P14</f>
      </c>
      <c r="Q56" s="18">
        <f>Q14</f>
      </c>
      <c r="R56" s="18">
        <f>R14</f>
      </c>
      <c r="S56" s="18">
        <f>S14</f>
      </c>
      <c r="T56" s="18">
        <f>T14</f>
      </c>
      <c r="U56" s="18">
        <f>U14</f>
      </c>
      <c r="V56" s="18">
        <f>V14</f>
      </c>
      <c r="W56" s="18">
        <f>W14</f>
      </c>
      <c r="X56" s="18">
        <f>X14</f>
      </c>
      <c r="Y56" s="18">
        <f>Y14</f>
      </c>
      <c r="Z56" s="18">
        <f>Z14</f>
      </c>
      <c r="AA56" s="18">
        <f>AA14</f>
      </c>
      <c r="AB56" s="18">
        <f>AB14</f>
      </c>
      <c r="AC56" s="18">
        <f>AC14</f>
      </c>
      <c r="AD56" s="18">
        <f>AD14</f>
      </c>
      <c r="AE56" s="18">
        <f>AE14</f>
      </c>
      <c r="AF56" s="18">
        <f>AF14</f>
      </c>
      <c r="AG56" s="18">
        <f>AG14</f>
      </c>
      <c r="AH56" s="18">
        <f>AH14</f>
      </c>
      <c r="AI56" s="18">
        <f>AI14</f>
      </c>
      <c r="AJ56" s="18">
        <f>AJ14</f>
      </c>
      <c r="AK56" s="19"/>
    </row>
    <row r="57" ht="12.75" customHeight="1" spans="2:37" x14ac:dyDescent="0.25">
      <c r="B57" s="16" t="s">
        <v>42</v>
      </c>
      <c r="C57" s="17"/>
      <c r="D57" s="17"/>
      <c r="E57" s="18">
        <f>E44</f>
      </c>
      <c r="F57" s="18">
        <f>F44</f>
      </c>
      <c r="G57" s="18">
        <f>G44</f>
      </c>
      <c r="H57" s="18">
        <f>H44</f>
      </c>
      <c r="I57" s="18">
        <f>I44</f>
      </c>
      <c r="J57" s="18">
        <f>J44</f>
      </c>
      <c r="K57" s="18">
        <f>K44</f>
      </c>
      <c r="L57" s="18">
        <f>L44</f>
      </c>
      <c r="M57" s="18">
        <f>M44</f>
      </c>
      <c r="N57" s="18">
        <f>N44</f>
      </c>
      <c r="O57" s="18">
        <f>O44</f>
      </c>
      <c r="P57" s="18">
        <f>P44</f>
      </c>
      <c r="Q57" s="18">
        <f>Q44</f>
      </c>
      <c r="R57" s="18">
        <f>R44</f>
      </c>
      <c r="S57" s="18">
        <f>S44</f>
      </c>
      <c r="T57" s="18">
        <f>T44</f>
      </c>
      <c r="U57" s="18">
        <f>U44</f>
      </c>
      <c r="V57" s="18">
        <f>V44</f>
      </c>
      <c r="W57" s="18">
        <f>W44</f>
      </c>
      <c r="X57" s="18">
        <f>X44</f>
      </c>
      <c r="Y57" s="18">
        <f>Y44</f>
      </c>
      <c r="Z57" s="18">
        <f>Z44</f>
      </c>
      <c r="AA57" s="18">
        <f>AA44</f>
      </c>
      <c r="AB57" s="18">
        <f>AB44</f>
      </c>
      <c r="AC57" s="18">
        <f>AC44</f>
      </c>
      <c r="AD57" s="18">
        <f>AD44</f>
      </c>
      <c r="AE57" s="18">
        <f>AE44</f>
      </c>
      <c r="AF57" s="18">
        <f>AF44</f>
      </c>
      <c r="AG57" s="18">
        <f>AG44</f>
      </c>
      <c r="AH57" s="18">
        <f>AH44</f>
      </c>
      <c r="AI57" s="18">
        <f>AI44</f>
      </c>
      <c r="AJ57" s="18">
        <f>AJ44</f>
      </c>
      <c r="AK57" s="19"/>
    </row>
    <row r="58" ht="12.75" customHeight="1" spans="2:37" x14ac:dyDescent="0.25">
      <c r="B58" s="16" t="s">
        <v>43</v>
      </c>
      <c r="C58" s="17"/>
      <c r="D58" s="17"/>
      <c r="E58" s="18">
        <f>E48</f>
      </c>
      <c r="F58" s="18">
        <f>F48</f>
      </c>
      <c r="G58" s="18">
        <f>G48</f>
      </c>
      <c r="H58" s="18">
        <f>H48</f>
      </c>
      <c r="I58" s="18">
        <f>I48</f>
      </c>
      <c r="J58" s="18">
        <f>J48</f>
      </c>
      <c r="K58" s="18">
        <f>K48</f>
      </c>
      <c r="L58" s="18">
        <f>L48</f>
      </c>
      <c r="M58" s="18">
        <f>M48</f>
      </c>
      <c r="N58" s="18">
        <f>N48</f>
      </c>
      <c r="O58" s="18">
        <f>O48</f>
      </c>
      <c r="P58" s="18">
        <f>P48</f>
      </c>
      <c r="Q58" s="18">
        <f>Q48</f>
      </c>
      <c r="R58" s="18">
        <f>R48</f>
      </c>
      <c r="S58" s="18">
        <f>S48</f>
      </c>
      <c r="T58" s="18">
        <f>T48</f>
      </c>
      <c r="U58" s="18">
        <f>U48</f>
      </c>
      <c r="V58" s="18">
        <f>V48</f>
      </c>
      <c r="W58" s="18">
        <f>W48</f>
      </c>
      <c r="X58" s="18">
        <f>X48</f>
      </c>
      <c r="Y58" s="18">
        <f>Y48</f>
      </c>
      <c r="Z58" s="18">
        <f>Z48</f>
      </c>
      <c r="AA58" s="18">
        <f>AA48</f>
      </c>
      <c r="AB58" s="18">
        <f>AB48</f>
      </c>
      <c r="AC58" s="18">
        <f>AC48</f>
      </c>
      <c r="AD58" s="18">
        <f>AD48</f>
      </c>
      <c r="AE58" s="18">
        <f>AE48</f>
      </c>
      <c r="AF58" s="18">
        <f>AF48</f>
      </c>
      <c r="AG58" s="18">
        <f>AG48</f>
      </c>
      <c r="AH58" s="18">
        <f>AH48</f>
      </c>
      <c r="AI58" s="18">
        <f>AI48</f>
      </c>
      <c r="AJ58" s="18">
        <f>AJ48</f>
      </c>
      <c r="AK58" s="19"/>
    </row>
    <row r="59" ht="12.75" customHeight="1" spans="2:37" x14ac:dyDescent="0.25">
      <c r="B59" s="16" t="s">
        <v>44</v>
      </c>
      <c r="C59" s="17"/>
      <c r="D59" s="17"/>
      <c r="E59" s="18">
        <f>E52</f>
      </c>
      <c r="F59" s="18">
        <f>F52</f>
      </c>
      <c r="G59" s="18">
        <f>G52</f>
      </c>
      <c r="H59" s="18">
        <f>H52</f>
      </c>
      <c r="I59" s="18">
        <f>I52</f>
      </c>
      <c r="J59" s="18">
        <f>J52</f>
      </c>
      <c r="K59" s="18">
        <f>K52</f>
      </c>
      <c r="L59" s="18">
        <f>L52</f>
      </c>
      <c r="M59" s="18">
        <f>M52</f>
      </c>
      <c r="N59" s="18">
        <f>N52</f>
      </c>
      <c r="O59" s="18">
        <f>O52</f>
      </c>
      <c r="P59" s="18">
        <f>P52</f>
      </c>
      <c r="Q59" s="18">
        <f>Q52</f>
      </c>
      <c r="R59" s="18">
        <f>R52</f>
      </c>
      <c r="S59" s="18">
        <f>S52</f>
      </c>
      <c r="T59" s="18">
        <f>T52</f>
      </c>
      <c r="U59" s="18">
        <f>U52</f>
      </c>
      <c r="V59" s="18">
        <f>V52</f>
      </c>
      <c r="W59" s="18">
        <f>W52</f>
      </c>
      <c r="X59" s="18">
        <f>X52</f>
      </c>
      <c r="Y59" s="18">
        <f>Y52</f>
      </c>
      <c r="Z59" s="18">
        <f>Z52</f>
      </c>
      <c r="AA59" s="18">
        <f>AA52</f>
      </c>
      <c r="AB59" s="18">
        <f>AB52</f>
      </c>
      <c r="AC59" s="18">
        <f>AC52</f>
      </c>
      <c r="AD59" s="18">
        <f>AD52</f>
      </c>
      <c r="AE59" s="18">
        <f>AE52</f>
      </c>
      <c r="AF59" s="18">
        <f>AF52</f>
      </c>
      <c r="AG59" s="18">
        <f>AG52</f>
      </c>
      <c r="AH59" s="18">
        <f>AH52</f>
      </c>
      <c r="AI59" s="18">
        <f>AI52</f>
      </c>
      <c r="AJ59" s="18">
        <f>AJ52</f>
      </c>
      <c r="AK59" s="19"/>
    </row>
    <row r="60" ht="12.75" customHeight="1" spans="2:37" x14ac:dyDescent="0.25">
      <c r="B60" s="20" t="s">
        <v>45</v>
      </c>
      <c r="C60" s="21"/>
      <c r="D60" s="21"/>
      <c r="E60" s="22">
        <f>E56+E57+E58+E59</f>
      </c>
      <c r="F60" s="22">
        <f>F56+F57+F58+F59</f>
      </c>
      <c r="G60" s="22">
        <f>G56+G57+G58+G59</f>
      </c>
      <c r="H60" s="22">
        <f>H56+H57+H58+H59</f>
      </c>
      <c r="I60" s="22">
        <f>I56+I57+I58+I59</f>
      </c>
      <c r="J60" s="22">
        <f>J56+J57+J58+J59</f>
      </c>
      <c r="K60" s="22">
        <f>K56+K57+K58+K59</f>
      </c>
      <c r="L60" s="22">
        <f>L56+L57+L58+L59</f>
      </c>
      <c r="M60" s="22">
        <f>M56+M57+M58+M59</f>
      </c>
      <c r="N60" s="22">
        <f>N56+N57+N58+N59</f>
      </c>
      <c r="O60" s="22">
        <f>O56+O57+O58+O59</f>
      </c>
      <c r="P60" s="22">
        <f>P56+P57+P58+P59</f>
      </c>
      <c r="Q60" s="22">
        <f>Q56+Q57+Q58+Q59</f>
      </c>
      <c r="R60" s="22">
        <f>R56+R57+R58+R59</f>
      </c>
      <c r="S60" s="22">
        <f>S56+S57+S58+S59</f>
      </c>
      <c r="T60" s="22">
        <f>T56+T57+T58+T59</f>
      </c>
      <c r="U60" s="22">
        <f>U56+U57+U58+U59</f>
      </c>
      <c r="V60" s="22">
        <f>V56+V57+V58+V59</f>
      </c>
      <c r="W60" s="22">
        <f>W56+W57+W58+W59</f>
      </c>
      <c r="X60" s="22">
        <f>X56+X57+X58+X59</f>
      </c>
      <c r="Y60" s="22">
        <f>Y56+Y57+Y58+Y59</f>
      </c>
      <c r="Z60" s="22">
        <f>Z56+Z57+Z58+Z59</f>
      </c>
      <c r="AA60" s="22">
        <f>AA56+AA57+AA58+AA59</f>
      </c>
      <c r="AB60" s="22">
        <f>AB56+AB57+AB58+AB59</f>
      </c>
      <c r="AC60" s="22">
        <f>AC56+AC57+AC58+AC59</f>
      </c>
      <c r="AD60" s="22">
        <f>AD56+AD57+AD58+AD59</f>
      </c>
      <c r="AE60" s="22">
        <f>AE56+AE57+AE58+AE59</f>
      </c>
      <c r="AF60" s="22">
        <f>AF56+AF57+AF58+AF59</f>
      </c>
      <c r="AG60" s="22">
        <f>AG56+AG57+AG58+AG59</f>
      </c>
      <c r="AH60" s="22">
        <f>AH56+AH57+AH58+AH59</f>
      </c>
      <c r="AI60" s="22">
        <f>AI56+AI57+AI58+AI59</f>
      </c>
      <c r="AJ60" s="22">
        <f>AJ56+AJ57+AJ58+AJ59</f>
      </c>
      <c r="AK60" s="23"/>
    </row>
    <row r="62" ht="12.75" customHeight="1" spans="2:37" x14ac:dyDescent="0.25">
      <c r="B62" s="11" t="s">
        <v>46</v>
      </c>
      <c r="C62" s="12"/>
      <c r="D62" s="13"/>
      <c r="E62" s="14" t="s">
        <v>7</v>
      </c>
      <c r="F62" s="14" t="s">
        <v>8</v>
      </c>
      <c r="G62" s="14" t="s">
        <v>9</v>
      </c>
      <c r="H62" s="14" t="s">
        <v>10</v>
      </c>
      <c r="I62" s="14" t="s">
        <v>11</v>
      </c>
      <c r="J62" s="14" t="s">
        <v>12</v>
      </c>
      <c r="K62" s="14" t="s">
        <v>13</v>
      </c>
      <c r="L62" s="14" t="s">
        <v>14</v>
      </c>
      <c r="M62" s="14" t="s">
        <v>15</v>
      </c>
      <c r="N62" s="14" t="s">
        <v>16</v>
      </c>
      <c r="O62" s="14" t="s">
        <v>17</v>
      </c>
      <c r="P62" s="14" t="s">
        <v>18</v>
      </c>
      <c r="Q62" s="14" t="s">
        <v>19</v>
      </c>
      <c r="R62" s="14" t="s">
        <v>20</v>
      </c>
      <c r="S62" s="14" t="s">
        <v>21</v>
      </c>
      <c r="T62" s="14" t="s">
        <v>22</v>
      </c>
      <c r="U62" s="14" t="s">
        <v>23</v>
      </c>
      <c r="V62" s="14" t="s">
        <v>24</v>
      </c>
      <c r="W62" s="14" t="s">
        <v>25</v>
      </c>
      <c r="X62" s="14" t="s">
        <v>26</v>
      </c>
      <c r="Y62" s="14" t="s">
        <v>27</v>
      </c>
      <c r="Z62" s="14" t="s">
        <v>28</v>
      </c>
      <c r="AA62" s="14" t="s">
        <v>29</v>
      </c>
      <c r="AB62" s="14" t="s">
        <v>30</v>
      </c>
      <c r="AC62" s="14" t="s">
        <v>31</v>
      </c>
      <c r="AD62" s="14" t="s">
        <v>32</v>
      </c>
      <c r="AE62" s="14" t="s">
        <v>33</v>
      </c>
      <c r="AF62" s="14" t="s">
        <v>34</v>
      </c>
      <c r="AG62" s="14" t="s">
        <v>35</v>
      </c>
      <c r="AH62" s="14" t="s">
        <v>36</v>
      </c>
      <c r="AI62" s="14" t="s">
        <v>37</v>
      </c>
      <c r="AJ62" s="14" t="s">
        <v>38</v>
      </c>
      <c r="AK62" s="15"/>
    </row>
    <row r="63" ht="12.75" customHeight="1" spans="2:37" x14ac:dyDescent="0.25">
      <c r="B63" s="16" t="s">
        <v>41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9"/>
    </row>
    <row r="64" ht="12.75" customHeight="1" spans="2:37" x14ac:dyDescent="0.25">
      <c r="B64" s="16" t="s">
        <v>42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9"/>
    </row>
    <row r="65" ht="12.75" customHeight="1" spans="2:37" x14ac:dyDescent="0.25">
      <c r="B65" s="16" t="s">
        <v>43</v>
      </c>
      <c r="C65" s="17"/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9"/>
    </row>
    <row r="66" ht="12.75" customHeight="1" spans="2:37" x14ac:dyDescent="0.25">
      <c r="B66" s="16" t="s">
        <v>44</v>
      </c>
      <c r="C66" s="17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9"/>
    </row>
    <row r="67" ht="12.75" customHeight="1" spans="2:37" x14ac:dyDescent="0.25">
      <c r="B67" s="20" t="s">
        <v>45</v>
      </c>
      <c r="C67" s="21"/>
      <c r="D67" s="21"/>
      <c r="E67" s="22">
        <f>E63+E64+E65+E66</f>
      </c>
      <c r="F67" s="22">
        <f>F63+F64+F65+F66</f>
      </c>
      <c r="G67" s="22">
        <f>G63+G64+G65+G66</f>
      </c>
      <c r="H67" s="22">
        <f>H63+H64+H65+H66</f>
      </c>
      <c r="I67" s="22">
        <f>I63+I64+I65+I66</f>
      </c>
      <c r="J67" s="22">
        <f>J63+J64+J65+J66</f>
      </c>
      <c r="K67" s="22">
        <f>K63+K64+K65+K66</f>
      </c>
      <c r="L67" s="22">
        <f>L63+L64+L65+L66</f>
      </c>
      <c r="M67" s="22">
        <f>M63+M64+M65+M66</f>
      </c>
      <c r="N67" s="22">
        <f>N63+N64+N65+N66</f>
      </c>
      <c r="O67" s="22">
        <f>O63+O64+O65+O66</f>
      </c>
      <c r="P67" s="22">
        <f>P63+P64+P65+P66</f>
      </c>
      <c r="Q67" s="22">
        <f>Q63+Q64+Q65+Q66</f>
      </c>
      <c r="R67" s="22">
        <f>R63+R64+R65+R66</f>
      </c>
      <c r="S67" s="22">
        <f>S63+S64+S65+S66</f>
      </c>
      <c r="T67" s="22">
        <f>T63+T64+T65+T66</f>
      </c>
      <c r="U67" s="22">
        <f>U63+U64+U65+U66</f>
      </c>
      <c r="V67" s="22">
        <f>V63+V64+V65+V66</f>
      </c>
      <c r="W67" s="22">
        <f>W63+W64+W65+W66</f>
      </c>
      <c r="X67" s="22">
        <f>X63+X64+X65+X66</f>
      </c>
      <c r="Y67" s="22">
        <f>Y63+Y64+Y65+Y66</f>
      </c>
      <c r="Z67" s="22">
        <f>Z63+Z64+Z65+Z66</f>
      </c>
      <c r="AA67" s="22">
        <f>AA63+AA64+AA65+AA66</f>
      </c>
      <c r="AB67" s="22">
        <f>AB63+AB64+AB65+AB66</f>
      </c>
      <c r="AC67" s="22">
        <f>AC63+AC64+AC65+AC66</f>
      </c>
      <c r="AD67" s="22">
        <f>AD63+AD64+AD65+AD66</f>
      </c>
      <c r="AE67" s="22">
        <f>AE63+AE64+AE65+AE66</f>
      </c>
      <c r="AF67" s="22">
        <f>AF63+AF64+AF65+AF66</f>
      </c>
      <c r="AG67" s="22">
        <f>AG63+AG64+AG65+AG66</f>
      </c>
      <c r="AH67" s="22">
        <f>AH63+AH64+AH65+AH66</f>
      </c>
      <c r="AI67" s="22">
        <f>AI63+AI64+AI65+AI66</f>
      </c>
      <c r="AJ67" s="22">
        <f>AJ63+AJ64+AJ65+AJ66</f>
      </c>
      <c r="AK67" s="23"/>
    </row>
    <row r="69" ht="12.75" customHeight="1" spans="2:37" x14ac:dyDescent="0.25">
      <c r="B69" s="11" t="s">
        <v>47</v>
      </c>
      <c r="C69" s="12"/>
      <c r="D69" s="13"/>
      <c r="E69" s="14" t="s">
        <v>7</v>
      </c>
      <c r="F69" s="14" t="s">
        <v>8</v>
      </c>
      <c r="G69" s="14" t="s">
        <v>9</v>
      </c>
      <c r="H69" s="14" t="s">
        <v>10</v>
      </c>
      <c r="I69" s="14" t="s">
        <v>11</v>
      </c>
      <c r="J69" s="14" t="s">
        <v>12</v>
      </c>
      <c r="K69" s="14" t="s">
        <v>13</v>
      </c>
      <c r="L69" s="14" t="s">
        <v>14</v>
      </c>
      <c r="M69" s="14" t="s">
        <v>15</v>
      </c>
      <c r="N69" s="14" t="s">
        <v>16</v>
      </c>
      <c r="O69" s="14" t="s">
        <v>17</v>
      </c>
      <c r="P69" s="14" t="s">
        <v>18</v>
      </c>
      <c r="Q69" s="14" t="s">
        <v>19</v>
      </c>
      <c r="R69" s="14" t="s">
        <v>20</v>
      </c>
      <c r="S69" s="14" t="s">
        <v>21</v>
      </c>
      <c r="T69" s="14" t="s">
        <v>22</v>
      </c>
      <c r="U69" s="14" t="s">
        <v>23</v>
      </c>
      <c r="V69" s="14" t="s">
        <v>24</v>
      </c>
      <c r="W69" s="14" t="s">
        <v>25</v>
      </c>
      <c r="X69" s="14" t="s">
        <v>26</v>
      </c>
      <c r="Y69" s="14" t="s">
        <v>27</v>
      </c>
      <c r="Z69" s="14" t="s">
        <v>28</v>
      </c>
      <c r="AA69" s="14" t="s">
        <v>29</v>
      </c>
      <c r="AB69" s="14" t="s">
        <v>30</v>
      </c>
      <c r="AC69" s="14" t="s">
        <v>31</v>
      </c>
      <c r="AD69" s="14" t="s">
        <v>32</v>
      </c>
      <c r="AE69" s="14" t="s">
        <v>33</v>
      </c>
      <c r="AF69" s="14" t="s">
        <v>34</v>
      </c>
      <c r="AG69" s="14" t="s">
        <v>35</v>
      </c>
      <c r="AH69" s="14" t="s">
        <v>36</v>
      </c>
      <c r="AI69" s="14" t="s">
        <v>37</v>
      </c>
      <c r="AJ69" s="14" t="s">
        <v>38</v>
      </c>
      <c r="AK69" s="15"/>
    </row>
    <row r="70" ht="12.75" customHeight="1" spans="2:37" x14ac:dyDescent="0.25">
      <c r="B70" s="16" t="s">
        <v>41</v>
      </c>
      <c r="C70" s="17"/>
      <c r="D70" s="17"/>
      <c r="E70" s="24">
        <f>E63-E56</f>
      </c>
      <c r="F70" s="24">
        <f>F63-F56</f>
      </c>
      <c r="G70" s="24">
        <f>G63-G56</f>
      </c>
      <c r="H70" s="24">
        <f>H63-H56</f>
      </c>
      <c r="I70" s="24">
        <f>I63-I56</f>
      </c>
      <c r="J70" s="24">
        <f>J63-J56</f>
      </c>
      <c r="K70" s="24">
        <f>K63-K56</f>
      </c>
      <c r="L70" s="24">
        <f>L63-L56</f>
      </c>
      <c r="M70" s="24">
        <f>M63-M56</f>
      </c>
      <c r="N70" s="24">
        <f>N63-N56</f>
      </c>
      <c r="O70" s="24">
        <f>O63-O56</f>
      </c>
      <c r="P70" s="24">
        <f>P63-P56</f>
      </c>
      <c r="Q70" s="24">
        <f>Q63-Q56</f>
      </c>
      <c r="R70" s="24">
        <f>R63-R56</f>
      </c>
      <c r="S70" s="24">
        <f>S63-S56</f>
      </c>
      <c r="T70" s="24">
        <f>T63-T56</f>
      </c>
      <c r="U70" s="24">
        <f>U63-U56</f>
      </c>
      <c r="V70" s="24">
        <f>V63-V56</f>
      </c>
      <c r="W70" s="24">
        <f>W63-W56</f>
      </c>
      <c r="X70" s="24">
        <f>X63-X56</f>
      </c>
      <c r="Y70" s="24">
        <f>Y63-Y56</f>
      </c>
      <c r="Z70" s="24">
        <f>Z63-Z56</f>
      </c>
      <c r="AA70" s="24">
        <f>AA63-AA56</f>
      </c>
      <c r="AB70" s="24">
        <f>AB63-AB56</f>
      </c>
      <c r="AC70" s="24">
        <f>AC63-AC56</f>
      </c>
      <c r="AD70" s="24">
        <f>AD63-AD56</f>
      </c>
      <c r="AE70" s="24">
        <f>AE63-AE56</f>
      </c>
      <c r="AF70" s="24">
        <f>AF63-AF56</f>
      </c>
      <c r="AG70" s="24">
        <f>AG63-AG56</f>
      </c>
      <c r="AH70" s="24">
        <f>AH63-AH56</f>
      </c>
      <c r="AI70" s="24">
        <f>AI63-AI56</f>
      </c>
      <c r="AJ70" s="24">
        <f>AJ63-AJ56</f>
      </c>
      <c r="AK70" s="19"/>
    </row>
    <row r="71" ht="12.75" customHeight="1" spans="2:37" x14ac:dyDescent="0.25">
      <c r="B71" s="16" t="s">
        <v>42</v>
      </c>
      <c r="C71" s="17"/>
      <c r="D71" s="17"/>
      <c r="E71" s="24">
        <f>E64-E57</f>
      </c>
      <c r="F71" s="24">
        <f>F64-F57</f>
      </c>
      <c r="G71" s="24">
        <f>G64-G57</f>
      </c>
      <c r="H71" s="24">
        <f>H64-H57</f>
      </c>
      <c r="I71" s="24">
        <f>I64-I57</f>
      </c>
      <c r="J71" s="24">
        <f>J64-J57</f>
      </c>
      <c r="K71" s="24">
        <f>K64-K57</f>
      </c>
      <c r="L71" s="24">
        <f>L64-L57</f>
      </c>
      <c r="M71" s="24">
        <f>M64-M57</f>
      </c>
      <c r="N71" s="24">
        <f>N64-N57</f>
      </c>
      <c r="O71" s="24">
        <f>O64-O57</f>
      </c>
      <c r="P71" s="24">
        <f>P64-P57</f>
      </c>
      <c r="Q71" s="24">
        <f>Q64-Q57</f>
      </c>
      <c r="R71" s="24">
        <f>R64-R57</f>
      </c>
      <c r="S71" s="24">
        <f>S64-S57</f>
      </c>
      <c r="T71" s="24">
        <f>T64-T57</f>
      </c>
      <c r="U71" s="24">
        <f>U64-U57</f>
      </c>
      <c r="V71" s="24">
        <f>V64-V57</f>
      </c>
      <c r="W71" s="24">
        <f>W64-W57</f>
      </c>
      <c r="X71" s="24">
        <f>X64-X57</f>
      </c>
      <c r="Y71" s="24">
        <f>Y64-Y57</f>
      </c>
      <c r="Z71" s="24">
        <f>Z64-Z57</f>
      </c>
      <c r="AA71" s="24">
        <f>AA64-AA57</f>
      </c>
      <c r="AB71" s="24">
        <f>AB64-AB57</f>
      </c>
      <c r="AC71" s="24">
        <f>AC64-AC57</f>
      </c>
      <c r="AD71" s="24">
        <f>AD64-AD57</f>
      </c>
      <c r="AE71" s="24">
        <f>AE64-AE57</f>
      </c>
      <c r="AF71" s="24">
        <f>AF64-AF57</f>
      </c>
      <c r="AG71" s="24">
        <f>AG64-AG57</f>
      </c>
      <c r="AH71" s="24">
        <f>AH64-AH57</f>
      </c>
      <c r="AI71" s="24">
        <f>AI64-AI57</f>
      </c>
      <c r="AJ71" s="24">
        <f>AJ64-AJ57</f>
      </c>
      <c r="AK71" s="19"/>
    </row>
    <row r="72" ht="12.75" customHeight="1" spans="2:37" x14ac:dyDescent="0.25">
      <c r="B72" s="16" t="s">
        <v>43</v>
      </c>
      <c r="C72" s="17"/>
      <c r="D72" s="17"/>
      <c r="E72" s="24">
        <f>E65-E58</f>
      </c>
      <c r="F72" s="24">
        <f>F65-F58</f>
      </c>
      <c r="G72" s="24">
        <f>G65-G58</f>
      </c>
      <c r="H72" s="24">
        <f>H65-H58</f>
      </c>
      <c r="I72" s="24">
        <f>I65-I58</f>
      </c>
      <c r="J72" s="24">
        <f>J65-J58</f>
      </c>
      <c r="K72" s="24">
        <f>K65-K58</f>
      </c>
      <c r="L72" s="24">
        <f>L65-L58</f>
      </c>
      <c r="M72" s="24">
        <f>M65-M58</f>
      </c>
      <c r="N72" s="24">
        <f>N65-N58</f>
      </c>
      <c r="O72" s="24">
        <f>O65-O58</f>
      </c>
      <c r="P72" s="24">
        <f>P65-P58</f>
      </c>
      <c r="Q72" s="24">
        <f>Q65-Q58</f>
      </c>
      <c r="R72" s="24">
        <f>R65-R58</f>
      </c>
      <c r="S72" s="24">
        <f>S65-S58</f>
      </c>
      <c r="T72" s="24">
        <f>T65-T58</f>
      </c>
      <c r="U72" s="24">
        <f>U65-U58</f>
      </c>
      <c r="V72" s="24">
        <f>V65-V58</f>
      </c>
      <c r="W72" s="24">
        <f>W65-W58</f>
      </c>
      <c r="X72" s="24">
        <f>X65-X58</f>
      </c>
      <c r="Y72" s="24">
        <f>Y65-Y58</f>
      </c>
      <c r="Z72" s="24">
        <f>Z65-Z58</f>
      </c>
      <c r="AA72" s="24">
        <f>AA65-AA58</f>
      </c>
      <c r="AB72" s="24">
        <f>AB65-AB58</f>
      </c>
      <c r="AC72" s="24">
        <f>AC65-AC58</f>
      </c>
      <c r="AD72" s="24">
        <f>AD65-AD58</f>
      </c>
      <c r="AE72" s="24">
        <f>AE65-AE58</f>
      </c>
      <c r="AF72" s="24">
        <f>AF65-AF58</f>
      </c>
      <c r="AG72" s="24">
        <f>AG65-AG58</f>
      </c>
      <c r="AH72" s="24">
        <f>AH65-AH58</f>
      </c>
      <c r="AI72" s="24">
        <f>AI65-AI58</f>
      </c>
      <c r="AJ72" s="24">
        <f>AJ65-AJ58</f>
      </c>
      <c r="AK72" s="19"/>
    </row>
    <row r="73" ht="12.75" customHeight="1" spans="2:37" x14ac:dyDescent="0.25">
      <c r="B73" s="16" t="s">
        <v>44</v>
      </c>
      <c r="C73" s="17"/>
      <c r="D73" s="17"/>
      <c r="E73" s="24">
        <f>E66-E59</f>
      </c>
      <c r="F73" s="24">
        <f>F66-F59</f>
      </c>
      <c r="G73" s="24">
        <f>G66-G59</f>
      </c>
      <c r="H73" s="24">
        <f>H66-H59</f>
      </c>
      <c r="I73" s="24">
        <f>I66-I59</f>
      </c>
      <c r="J73" s="24">
        <f>J66-J59</f>
      </c>
      <c r="K73" s="24">
        <f>K66-K59</f>
      </c>
      <c r="L73" s="24">
        <f>L66-L59</f>
      </c>
      <c r="M73" s="24">
        <f>M66-M59</f>
      </c>
      <c r="N73" s="24">
        <f>N66-N59</f>
      </c>
      <c r="O73" s="24">
        <f>O66-O59</f>
      </c>
      <c r="P73" s="24">
        <f>P66-P59</f>
      </c>
      <c r="Q73" s="24">
        <f>Q66-Q59</f>
      </c>
      <c r="R73" s="24">
        <f>R66-R59</f>
      </c>
      <c r="S73" s="24">
        <f>S66-S59</f>
      </c>
      <c r="T73" s="24">
        <f>T66-T59</f>
      </c>
      <c r="U73" s="24">
        <f>U66-U59</f>
      </c>
      <c r="V73" s="24">
        <f>V66-V59</f>
      </c>
      <c r="W73" s="24">
        <f>W66-W59</f>
      </c>
      <c r="X73" s="24">
        <f>X66-X59</f>
      </c>
      <c r="Y73" s="24">
        <f>Y66-Y59</f>
      </c>
      <c r="Z73" s="24">
        <f>Z66-Z59</f>
      </c>
      <c r="AA73" s="24">
        <f>AA66-AA59</f>
      </c>
      <c r="AB73" s="24">
        <f>AB66-AB59</f>
      </c>
      <c r="AC73" s="24">
        <f>AC66-AC59</f>
      </c>
      <c r="AD73" s="24">
        <f>AD66-AD59</f>
      </c>
      <c r="AE73" s="24">
        <f>AE66-AE59</f>
      </c>
      <c r="AF73" s="24">
        <f>AF66-AF59</f>
      </c>
      <c r="AG73" s="24">
        <f>AG66-AG59</f>
      </c>
      <c r="AH73" s="24">
        <f>AH66-AH59</f>
      </c>
      <c r="AI73" s="24">
        <f>AI66-AI59</f>
      </c>
      <c r="AJ73" s="24">
        <f>AJ66-AJ59</f>
      </c>
      <c r="AK73" s="19"/>
    </row>
    <row r="74" ht="12.75" customHeight="1" spans="2:37" x14ac:dyDescent="0.25">
      <c r="B74" s="20" t="s">
        <v>45</v>
      </c>
      <c r="C74" s="21"/>
      <c r="D74" s="21"/>
      <c r="E74" s="25">
        <f>E70+E71+E72+E73</f>
      </c>
      <c r="F74" s="25">
        <f>F70+F71+F72+F73</f>
      </c>
      <c r="G74" s="25">
        <f>G70+G71+G72+G73</f>
      </c>
      <c r="H74" s="25">
        <f>H70+H71+H72+H73</f>
      </c>
      <c r="I74" s="25">
        <f>I70+I71+I72+I73</f>
      </c>
      <c r="J74" s="25">
        <f>J70+J71+J72+J73</f>
      </c>
      <c r="K74" s="25">
        <f>K70+K71+K72+K73</f>
      </c>
      <c r="L74" s="25">
        <f>L70+L71+L72+L73</f>
      </c>
      <c r="M74" s="25">
        <f>M70+M71+M72+M73</f>
      </c>
      <c r="N74" s="25">
        <f>N70+N71+N72+N73</f>
      </c>
      <c r="O74" s="25">
        <f>O70+O71+O72+O73</f>
      </c>
      <c r="P74" s="25">
        <f>P70+P71+P72+P73</f>
      </c>
      <c r="Q74" s="25">
        <f>Q70+Q71+Q72+Q73</f>
      </c>
      <c r="R74" s="25">
        <f>R70+R71+R72+R73</f>
      </c>
      <c r="S74" s="25">
        <f>S70+S71+S72+S73</f>
      </c>
      <c r="T74" s="25">
        <f>T70+T71+T72+T73</f>
      </c>
      <c r="U74" s="25">
        <f>U70+U71+U72+U73</f>
      </c>
      <c r="V74" s="25">
        <f>V70+V71+V72+V73</f>
      </c>
      <c r="W74" s="25">
        <f>W70+W71+W72+W73</f>
      </c>
      <c r="X74" s="25">
        <f>X70+X71+X72+X73</f>
      </c>
      <c r="Y74" s="25">
        <f>Y70+Y71+Y72+Y73</f>
      </c>
      <c r="Z74" s="25">
        <f>Z70+Z71+Z72+Z73</f>
      </c>
      <c r="AA74" s="25">
        <f>AA70+AA71+AA72+AA73</f>
      </c>
      <c r="AB74" s="25">
        <f>AB70+AB71+AB72+AB73</f>
      </c>
      <c r="AC74" s="25">
        <f>AC70+AC71+AC72+AC73</f>
      </c>
      <c r="AD74" s="25">
        <f>AD70+AD71+AD72+AD73</f>
      </c>
      <c r="AE74" s="25">
        <f>AE70+AE71+AE72+AE73</f>
      </c>
      <c r="AF74" s="25">
        <f>AF70+AF71+AF72+AF73</f>
      </c>
      <c r="AG74" s="25">
        <f>AG70+AG71+AG72+AG73</f>
      </c>
      <c r="AH74" s="25">
        <f>AH70+AH71+AH72+AH73</f>
      </c>
      <c r="AI74" s="25">
        <f>AI70+AI71+AI72+AI73</f>
      </c>
      <c r="AJ74" s="25">
        <f>AJ70+AJ71+AJ72+AJ73</f>
      </c>
      <c r="AK74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7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2711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2742</v>
      </c>
      <c r="W8" s="44" t="s">
        <v>2743</v>
      </c>
      <c r="X8" s="44" t="s">
        <v>2744</v>
      </c>
      <c r="Y8" s="44" t="s">
        <v>673</v>
      </c>
      <c r="Z8" s="44" t="s">
        <v>2745</v>
      </c>
      <c r="AA8" s="44" t="s">
        <v>2746</v>
      </c>
      <c r="AB8" s="44" t="s">
        <v>2747</v>
      </c>
      <c r="AC8" s="44" t="s">
        <v>2748</v>
      </c>
      <c r="AD8" s="44" t="s">
        <v>2749</v>
      </c>
      <c r="AE8" s="44" t="s">
        <v>2750</v>
      </c>
      <c r="AF8" s="44" t="s">
        <v>2751</v>
      </c>
      <c r="AG8" s="44" t="s">
        <v>2752</v>
      </c>
      <c r="AH8" s="44" t="s">
        <v>2753</v>
      </c>
      <c r="AI8" s="44" t="s">
        <v>2754</v>
      </c>
      <c r="AJ8" s="44" t="s">
        <v>2755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2711</v>
      </c>
      <c r="D10" s="50" t="s">
        <v>41</v>
      </c>
      <c r="E10" s="32" t="s">
        <v>3</v>
      </c>
      <c r="F10" s="32" t="s">
        <v>2712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>
        <f>297.02+0.00</f>
        <v>297.02</v>
      </c>
      <c r="X10" s="32"/>
      <c r="Y10" s="32"/>
      <c r="Z10" s="33">
        <v>175.02</v>
      </c>
      <c r="AA10" s="32"/>
      <c r="AB10" s="32"/>
      <c r="AC10" s="33">
        <v>255.6</v>
      </c>
      <c r="AD10" s="32"/>
      <c r="AE10" s="32"/>
      <c r="AF10" s="33">
        <v>483.45</v>
      </c>
      <c r="AG10" s="32"/>
      <c r="AH10" s="33">
        <f>0.00+244.65</f>
        <v>244.65</v>
      </c>
      <c r="AI10" s="32"/>
      <c r="AJ10" s="33">
        <v>358.34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2711</v>
      </c>
      <c r="D11" s="50" t="s">
        <v>41</v>
      </c>
      <c r="E11" s="32" t="s">
        <v>3</v>
      </c>
      <c r="F11" s="32" t="s">
        <v>2713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>
        <f>230.81+-40.31</f>
        <v>190.5</v>
      </c>
      <c r="X11" s="32"/>
      <c r="Y11" s="32"/>
      <c r="Z11" s="33">
        <v>162.23</v>
      </c>
      <c r="AA11" s="32"/>
      <c r="AB11" s="33">
        <v>110.28</v>
      </c>
      <c r="AC11" s="32"/>
      <c r="AD11" s="33">
        <v>158.82</v>
      </c>
      <c r="AE11" s="32"/>
      <c r="AF11" s="32"/>
      <c r="AG11" s="32"/>
      <c r="AH11" s="33">
        <v>196.25</v>
      </c>
      <c r="AI11" s="33">
        <v>0</v>
      </c>
      <c r="AJ11" s="32"/>
      <c r="AK11" s="32"/>
      <c r="AL11" s="34">
        <f>SUM(G11:AK11)</f>
      </c>
      <c r="AM11" s="35"/>
    </row>
    <row r="12" ht="13.5" customHeight="1" spans="2:39" x14ac:dyDescent="0.25">
      <c r="B12" s="48" t="s">
        <v>3</v>
      </c>
      <c r="C12" s="49" t="s">
        <v>2711</v>
      </c>
      <c r="D12" s="50" t="s">
        <v>41</v>
      </c>
      <c r="E12" s="32" t="s">
        <v>3</v>
      </c>
      <c r="F12" s="32" t="s">
        <v>2714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3">
        <v>1586.43</v>
      </c>
      <c r="X12" s="33">
        <v>-5.01</v>
      </c>
      <c r="Y12" s="32"/>
      <c r="Z12" s="33">
        <v>647.87</v>
      </c>
      <c r="AA12" s="32"/>
      <c r="AB12" s="32"/>
      <c r="AC12" s="32"/>
      <c r="AD12" s="32"/>
      <c r="AE12" s="32"/>
      <c r="AF12" s="32"/>
      <c r="AG12" s="33">
        <f>266.77+2396.87</f>
        <v>2663.64</v>
      </c>
      <c r="AH12" s="33">
        <f>789.68+3012.41</f>
        <v>3802.0899999999997</v>
      </c>
      <c r="AI12" s="33">
        <v>2654.03</v>
      </c>
      <c r="AJ12" s="33">
        <v>2513.48</v>
      </c>
      <c r="AK12" s="32"/>
      <c r="AL12" s="34">
        <f>SUM(G12:AK12)</f>
      </c>
      <c r="AM12" s="35"/>
    </row>
    <row r="13" ht="13.5" customHeight="1" spans="2:39" x14ac:dyDescent="0.25">
      <c r="B13" s="48" t="s">
        <v>3</v>
      </c>
      <c r="C13" s="49" t="s">
        <v>2711</v>
      </c>
      <c r="D13" s="50" t="s">
        <v>41</v>
      </c>
      <c r="E13" s="32" t="s">
        <v>3</v>
      </c>
      <c r="F13" s="32" t="s">
        <v>2715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>
        <v>219.69</v>
      </c>
      <c r="W13" s="32"/>
      <c r="X13" s="33">
        <v>587.1</v>
      </c>
      <c r="Y13" s="32"/>
      <c r="Z13" s="33">
        <v>312.98</v>
      </c>
      <c r="AA13" s="32"/>
      <c r="AB13" s="32"/>
      <c r="AC13" s="32"/>
      <c r="AD13" s="32"/>
      <c r="AE13" s="32"/>
      <c r="AF13" s="32"/>
      <c r="AG13" s="33">
        <f>154.46+455.46</f>
        <v>609.92</v>
      </c>
      <c r="AH13" s="33">
        <v>162.19</v>
      </c>
      <c r="AI13" s="33">
        <v>423.3</v>
      </c>
      <c r="AJ13" s="32"/>
      <c r="AK13" s="32"/>
      <c r="AL13" s="34">
        <f>SUM(G13:AK13)</f>
      </c>
      <c r="AM13" s="35"/>
    </row>
    <row r="14" ht="13.5" customHeight="1" spans="2:39" x14ac:dyDescent="0.25">
      <c r="B14" s="51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0"/>
    </row>
    <row r="15" ht="13.5" customHeight="1" spans="2:39" x14ac:dyDescent="0.25">
      <c r="B15" s="20"/>
      <c r="C15" s="21"/>
      <c r="D15" s="21" t="s">
        <v>64</v>
      </c>
      <c r="E15" s="21"/>
      <c r="F15" s="21"/>
      <c r="G15" s="22">
        <f>SUM(G10:G13)</f>
      </c>
      <c r="H15" s="22">
        <f>SUM(H10:H13)</f>
      </c>
      <c r="I15" s="22">
        <f>SUM(I10:I13)</f>
      </c>
      <c r="J15" s="22">
        <f>SUM(J10:J13)</f>
      </c>
      <c r="K15" s="22">
        <f>SUM(K10:K13)</f>
      </c>
      <c r="L15" s="22">
        <f>SUM(L10:L13)</f>
      </c>
      <c r="M15" s="22">
        <f>SUM(M10:M13)</f>
      </c>
      <c r="N15" s="22">
        <f>SUM(N10:N13)</f>
      </c>
      <c r="O15" s="22">
        <f>SUM(O10:O13)</f>
      </c>
      <c r="P15" s="22">
        <f>SUM(P10:P13)</f>
      </c>
      <c r="Q15" s="22">
        <f>SUM(Q10:Q13)</f>
      </c>
      <c r="R15" s="22">
        <f>SUM(R10:R13)</f>
      </c>
      <c r="S15" s="22">
        <f>SUM(S10:S13)</f>
      </c>
      <c r="T15" s="22">
        <f>SUM(T10:T13)</f>
      </c>
      <c r="U15" s="22">
        <f>SUM(U10:U13)</f>
      </c>
      <c r="V15" s="22">
        <f>SUM(V10:V13)</f>
      </c>
      <c r="W15" s="22">
        <f>SUM(W10:W13)</f>
      </c>
      <c r="X15" s="22">
        <f>SUM(X10:X13)</f>
      </c>
      <c r="Y15" s="22">
        <f>SUM(Y10:Y13)</f>
      </c>
      <c r="Z15" s="22">
        <f>SUM(Z10:Z13)</f>
      </c>
      <c r="AA15" s="22">
        <f>SUM(AA10:AA13)</f>
      </c>
      <c r="AB15" s="22">
        <f>SUM(AB10:AB13)</f>
      </c>
      <c r="AC15" s="22">
        <f>SUM(AC10:AC13)</f>
      </c>
      <c r="AD15" s="22">
        <f>SUM(AD10:AD13)</f>
      </c>
      <c r="AE15" s="22">
        <f>SUM(AE10:AE13)</f>
      </c>
      <c r="AF15" s="22">
        <f>SUM(AF10:AF13)</f>
      </c>
      <c r="AG15" s="22">
        <f>SUM(AG10:AG13)</f>
      </c>
      <c r="AH15" s="22">
        <f>SUM(AH10:AH13)</f>
      </c>
      <c r="AI15" s="22">
        <f>SUM(AI10:AI13)</f>
      </c>
      <c r="AJ15" s="22">
        <f>SUM(AJ10:AJ13)</f>
      </c>
      <c r="AK15" s="22">
        <f>SUM(AK10:AK13)</f>
      </c>
      <c r="AL15" s="22">
        <f>SUM(AL10:AL13)</f>
      </c>
      <c r="AM15" s="23"/>
    </row>
    <row r="17" ht="13.5" customHeight="1" spans="2:39" x14ac:dyDescent="0.25">
      <c r="B17" s="46"/>
      <c r="C17" s="28"/>
      <c r="D17" s="47" t="s">
        <v>42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9"/>
    </row>
    <row r="18" ht="13.5" customHeight="1" spans="2:39" x14ac:dyDescent="0.25">
      <c r="B18" s="48" t="s">
        <v>3</v>
      </c>
      <c r="C18" s="49" t="s">
        <v>2711</v>
      </c>
      <c r="D18" s="50" t="s">
        <v>42</v>
      </c>
      <c r="E18" s="32" t="s">
        <v>3</v>
      </c>
      <c r="F18" s="32" t="s">
        <v>2716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>
        <v>619.93</v>
      </c>
      <c r="X18" s="33">
        <v>647.43</v>
      </c>
      <c r="Y18" s="33">
        <v>505.8</v>
      </c>
      <c r="Z18" s="33">
        <v>586.14</v>
      </c>
      <c r="AA18" s="33">
        <v>519.26</v>
      </c>
      <c r="AB18" s="33">
        <v>573.95</v>
      </c>
      <c r="AC18" s="33">
        <v>549.82</v>
      </c>
      <c r="AD18" s="33">
        <v>600.1</v>
      </c>
      <c r="AE18" s="33">
        <v>486.37</v>
      </c>
      <c r="AF18" s="33">
        <v>341.75</v>
      </c>
      <c r="AG18" s="33">
        <v>452.46</v>
      </c>
      <c r="AH18" s="33">
        <v>551.47</v>
      </c>
      <c r="AI18" s="33">
        <v>614.65</v>
      </c>
      <c r="AJ18" s="33">
        <v>716.52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2711</v>
      </c>
      <c r="D19" s="50" t="s">
        <v>42</v>
      </c>
      <c r="E19" s="32" t="s">
        <v>3</v>
      </c>
      <c r="F19" s="32" t="s">
        <v>2717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>
        <f>190.85+9.30</f>
        <v>200.15</v>
      </c>
      <c r="X19" s="33">
        <f>146.80+10.63</f>
        <v>157.43</v>
      </c>
      <c r="Y19" s="33">
        <f>8.70+125.09</f>
        <v>133.79</v>
      </c>
      <c r="Z19" s="33">
        <f>96.20+8.70</f>
        <v>104.9</v>
      </c>
      <c r="AA19" s="33">
        <f>9.63+124.72</f>
        <v>134.35</v>
      </c>
      <c r="AB19" s="33">
        <f>9.73+176.25</f>
        <v>185.98</v>
      </c>
      <c r="AC19" s="33">
        <f>9.12+170.42</f>
        <v>179.54</v>
      </c>
      <c r="AD19" s="33">
        <f>199.70+9.07</f>
        <v>208.76999999999998</v>
      </c>
      <c r="AE19" s="33">
        <f>10.63+142.08</f>
        <v>152.71</v>
      </c>
      <c r="AF19" s="33">
        <f>96.51+19.98</f>
        <v>116.49000000000001</v>
      </c>
      <c r="AG19" s="33">
        <f>2.26+29.79</f>
        <v>32.05</v>
      </c>
      <c r="AH19" s="33">
        <f>131.28+9.96</f>
        <v>141.24</v>
      </c>
      <c r="AI19" s="33">
        <f>185.49+10.96</f>
        <v>196.45000000000002</v>
      </c>
      <c r="AJ19" s="33">
        <f>10.30+227.51</f>
        <v>237.81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2711</v>
      </c>
      <c r="D20" s="50" t="s">
        <v>42</v>
      </c>
      <c r="E20" s="32" t="s">
        <v>3</v>
      </c>
      <c r="F20" s="32" t="s">
        <v>2718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>
        <v>265.48</v>
      </c>
      <c r="X20" s="33">
        <v>308.51</v>
      </c>
      <c r="Y20" s="33">
        <v>273.62</v>
      </c>
      <c r="Z20" s="33">
        <v>157.2</v>
      </c>
      <c r="AA20" s="33">
        <v>170.59</v>
      </c>
      <c r="AB20" s="33">
        <v>209.13</v>
      </c>
      <c r="AC20" s="33">
        <v>189.89</v>
      </c>
      <c r="AD20" s="33">
        <v>223.29</v>
      </c>
      <c r="AE20" s="33">
        <v>134.02</v>
      </c>
      <c r="AF20" s="33">
        <v>77.62</v>
      </c>
      <c r="AG20" s="33">
        <v>123.62</v>
      </c>
      <c r="AH20" s="33">
        <v>132.09</v>
      </c>
      <c r="AI20" s="33">
        <v>236.14</v>
      </c>
      <c r="AJ20" s="33">
        <v>319.28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2711</v>
      </c>
      <c r="D21" s="50" t="s">
        <v>42</v>
      </c>
      <c r="E21" s="32" t="s">
        <v>3</v>
      </c>
      <c r="F21" s="32" t="s">
        <v>2719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>
        <v>453.61</v>
      </c>
      <c r="X21" s="33">
        <v>515.51</v>
      </c>
      <c r="Y21" s="33">
        <v>404.76</v>
      </c>
      <c r="Z21" s="33">
        <v>283.05</v>
      </c>
      <c r="AA21" s="33">
        <v>194.94</v>
      </c>
      <c r="AB21" s="33">
        <v>233.73</v>
      </c>
      <c r="AC21" s="33">
        <v>240.16</v>
      </c>
      <c r="AD21" s="33">
        <v>274.18</v>
      </c>
      <c r="AE21" s="33">
        <v>233.35</v>
      </c>
      <c r="AF21" s="33">
        <v>179.04</v>
      </c>
      <c r="AG21" s="33">
        <v>156.29</v>
      </c>
      <c r="AH21" s="33">
        <v>194.73</v>
      </c>
      <c r="AI21" s="33">
        <v>348.94</v>
      </c>
      <c r="AJ21" s="33">
        <v>625.87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2711</v>
      </c>
      <c r="D22" s="50" t="s">
        <v>42</v>
      </c>
      <c r="E22" s="32" t="s">
        <v>3</v>
      </c>
      <c r="F22" s="32" t="s">
        <v>2720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>
        <v>161.66</v>
      </c>
      <c r="X22" s="33">
        <v>209.72</v>
      </c>
      <c r="Y22" s="33">
        <v>154.51</v>
      </c>
      <c r="Z22" s="33">
        <v>119.89</v>
      </c>
      <c r="AA22" s="33">
        <v>127.28</v>
      </c>
      <c r="AB22" s="33">
        <v>69.66</v>
      </c>
      <c r="AC22" s="33">
        <v>46.5</v>
      </c>
      <c r="AD22" s="33">
        <v>46.5</v>
      </c>
      <c r="AE22" s="33">
        <v>49.6</v>
      </c>
      <c r="AF22" s="33">
        <v>44.95</v>
      </c>
      <c r="AG22" s="33">
        <v>45.07</v>
      </c>
      <c r="AH22" s="33">
        <v>74.24</v>
      </c>
      <c r="AI22" s="33">
        <v>139.72</v>
      </c>
      <c r="AJ22" s="33">
        <v>170.75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2711</v>
      </c>
      <c r="D23" s="50" t="s">
        <v>42</v>
      </c>
      <c r="E23" s="32" t="s">
        <v>3</v>
      </c>
      <c r="F23" s="32" t="s">
        <v>2721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>
        <v>298.29</v>
      </c>
      <c r="X23" s="33">
        <v>278.96</v>
      </c>
      <c r="Y23" s="33">
        <v>156.3</v>
      </c>
      <c r="Z23" s="33">
        <v>163.27</v>
      </c>
      <c r="AA23" s="33">
        <v>103.92</v>
      </c>
      <c r="AB23" s="33">
        <v>121.29</v>
      </c>
      <c r="AC23" s="33">
        <v>120.26</v>
      </c>
      <c r="AD23" s="33">
        <v>170.42</v>
      </c>
      <c r="AE23" s="33">
        <v>162.02</v>
      </c>
      <c r="AF23" s="33">
        <v>114.8</v>
      </c>
      <c r="AG23" s="33">
        <v>119.94</v>
      </c>
      <c r="AH23" s="33">
        <v>139.67</v>
      </c>
      <c r="AI23" s="33">
        <v>226.71</v>
      </c>
      <c r="AJ23" s="33">
        <v>247.71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2711</v>
      </c>
      <c r="D24" s="50" t="s">
        <v>42</v>
      </c>
      <c r="E24" s="32" t="s">
        <v>3</v>
      </c>
      <c r="F24" s="32" t="s">
        <v>2722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>
        <v>518</v>
      </c>
      <c r="X24" s="33">
        <v>495.5</v>
      </c>
      <c r="Y24" s="33">
        <v>310.25</v>
      </c>
      <c r="Z24" s="33">
        <v>295.64</v>
      </c>
      <c r="AA24" s="33">
        <v>373.8</v>
      </c>
      <c r="AB24" s="33">
        <v>511.32</v>
      </c>
      <c r="AC24" s="33">
        <v>537.58</v>
      </c>
      <c r="AD24" s="33">
        <v>524.86</v>
      </c>
      <c r="AE24" s="33">
        <v>432.41</v>
      </c>
      <c r="AF24" s="33">
        <v>308.73</v>
      </c>
      <c r="AG24" s="32"/>
      <c r="AH24" s="33">
        <v>278.54</v>
      </c>
      <c r="AI24" s="33">
        <v>471.39</v>
      </c>
      <c r="AJ24" s="33">
        <v>697.2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2711</v>
      </c>
      <c r="D25" s="50" t="s">
        <v>42</v>
      </c>
      <c r="E25" s="32" t="s">
        <v>3</v>
      </c>
      <c r="F25" s="32" t="s">
        <v>2723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>
        <v>705.11</v>
      </c>
      <c r="X25" s="33">
        <v>713.07</v>
      </c>
      <c r="Y25" s="33">
        <v>580.97</v>
      </c>
      <c r="Z25" s="33">
        <v>436.12</v>
      </c>
      <c r="AA25" s="33">
        <v>448.06</v>
      </c>
      <c r="AB25" s="33">
        <v>476.08</v>
      </c>
      <c r="AC25" s="33">
        <v>438.72</v>
      </c>
      <c r="AD25" s="33">
        <v>381.96</v>
      </c>
      <c r="AE25" s="33">
        <v>342.12</v>
      </c>
      <c r="AF25" s="33">
        <v>301.24</v>
      </c>
      <c r="AG25" s="33">
        <v>283.22</v>
      </c>
      <c r="AH25" s="33">
        <v>307.34</v>
      </c>
      <c r="AI25" s="33">
        <v>499.78</v>
      </c>
      <c r="AJ25" s="33">
        <v>550.75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2711</v>
      </c>
      <c r="D26" s="50" t="s">
        <v>42</v>
      </c>
      <c r="E26" s="32" t="s">
        <v>3</v>
      </c>
      <c r="F26" s="32" t="s">
        <v>2724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>
        <v>341.9</v>
      </c>
      <c r="X26" s="33">
        <v>420.66</v>
      </c>
      <c r="Y26" s="33">
        <v>339.58</v>
      </c>
      <c r="Z26" s="33">
        <v>328.01</v>
      </c>
      <c r="AA26" s="33">
        <v>179.15</v>
      </c>
      <c r="AB26" s="33">
        <v>69.66</v>
      </c>
      <c r="AC26" s="33">
        <v>63.14</v>
      </c>
      <c r="AD26" s="33">
        <v>63.14</v>
      </c>
      <c r="AE26" s="33">
        <v>67.83</v>
      </c>
      <c r="AF26" s="33">
        <v>63.55</v>
      </c>
      <c r="AG26" s="33">
        <v>61.46</v>
      </c>
      <c r="AH26" s="33">
        <v>136.25</v>
      </c>
      <c r="AI26" s="33">
        <v>310.14</v>
      </c>
      <c r="AJ26" s="33">
        <v>418.38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2711</v>
      </c>
      <c r="D27" s="50" t="s">
        <v>42</v>
      </c>
      <c r="E27" s="32" t="s">
        <v>3</v>
      </c>
      <c r="F27" s="32" t="s">
        <v>2725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>
        <f>18.29+161.02</f>
        <v>179.31</v>
      </c>
      <c r="X27" s="33">
        <f>20.90+161.18</f>
        <v>182.08</v>
      </c>
      <c r="Y27" s="33">
        <f>17.11+129.60</f>
        <v>146.70999999999998</v>
      </c>
      <c r="Z27" s="33">
        <f>172.28+17.11</f>
        <v>189.39</v>
      </c>
      <c r="AA27" s="33">
        <f>150.04+18.94</f>
        <v>168.98</v>
      </c>
      <c r="AB27" s="33">
        <f>148.14+19.38</f>
        <v>167.51999999999998</v>
      </c>
      <c r="AC27" s="33">
        <f>18.10+151.01</f>
        <v>169.10999999999999</v>
      </c>
      <c r="AD27" s="33">
        <f>17.91+197.94</f>
        <v>215.85</v>
      </c>
      <c r="AE27" s="33">
        <f>20.90+193.96</f>
        <v>214.86</v>
      </c>
      <c r="AF27" s="33">
        <f>31.36+115.85</f>
        <v>147.20999999999998</v>
      </c>
      <c r="AG27" s="33">
        <f>18.94+108.93</f>
        <v>127.87</v>
      </c>
      <c r="AH27" s="33">
        <f>122.80+20.25</f>
        <v>143.05</v>
      </c>
      <c r="AI27" s="33">
        <f>148.05+21.56</f>
        <v>169.61</v>
      </c>
      <c r="AJ27" s="33">
        <f>20.25+143.96</f>
        <v>164.21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2711</v>
      </c>
      <c r="D28" s="50" t="s">
        <v>42</v>
      </c>
      <c r="E28" s="32" t="s">
        <v>3</v>
      </c>
      <c r="F28" s="32" t="s">
        <v>2726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3">
        <v>940.2</v>
      </c>
      <c r="X28" s="33">
        <v>817.92</v>
      </c>
      <c r="Y28" s="33">
        <v>746.51</v>
      </c>
      <c r="Z28" s="33">
        <v>589.18</v>
      </c>
      <c r="AA28" s="33">
        <v>522.08</v>
      </c>
      <c r="AB28" s="33">
        <v>600.14</v>
      </c>
      <c r="AC28" s="33">
        <v>560.34</v>
      </c>
      <c r="AD28" s="33">
        <v>609.27</v>
      </c>
      <c r="AE28" s="33">
        <v>526.73</v>
      </c>
      <c r="AF28" s="33">
        <v>436.44</v>
      </c>
      <c r="AG28" s="33">
        <v>523.63</v>
      </c>
      <c r="AH28" s="33">
        <v>450.23</v>
      </c>
      <c r="AI28" s="33">
        <v>760.74</v>
      </c>
      <c r="AJ28" s="33">
        <v>928.91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2711</v>
      </c>
      <c r="D29" s="50" t="s">
        <v>42</v>
      </c>
      <c r="E29" s="32" t="s">
        <v>3</v>
      </c>
      <c r="F29" s="32" t="s">
        <v>2727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3">
        <v>243.46</v>
      </c>
      <c r="X29" s="33">
        <v>278.51</v>
      </c>
      <c r="Y29" s="33">
        <v>218.33</v>
      </c>
      <c r="Z29" s="33">
        <v>184.62</v>
      </c>
      <c r="AA29" s="33">
        <v>167.29</v>
      </c>
      <c r="AB29" s="33">
        <v>184.18</v>
      </c>
      <c r="AC29" s="33">
        <v>156.6</v>
      </c>
      <c r="AD29" s="33">
        <v>193.31</v>
      </c>
      <c r="AE29" s="33">
        <v>171.94</v>
      </c>
      <c r="AF29" s="33">
        <v>155.06</v>
      </c>
      <c r="AG29" s="33">
        <v>142.83</v>
      </c>
      <c r="AH29" s="33">
        <v>205.54</v>
      </c>
      <c r="AI29" s="33">
        <v>297.38</v>
      </c>
      <c r="AJ29" s="33">
        <v>292.74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2711</v>
      </c>
      <c r="D30" s="50" t="s">
        <v>42</v>
      </c>
      <c r="E30" s="32" t="s">
        <v>3</v>
      </c>
      <c r="F30" s="32" t="s">
        <v>2728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>
        <f>1336.63+9.30</f>
        <v>1345.93</v>
      </c>
      <c r="X30" s="33">
        <f>10.63+1344.09</f>
        <v>1354.72</v>
      </c>
      <c r="Y30" s="33">
        <f>8.70+1098.04</f>
        <v>1106.74</v>
      </c>
      <c r="Z30" s="33">
        <f>8.70+1026.95</f>
        <v>1035.65</v>
      </c>
      <c r="AA30" s="33">
        <f>9.63+1096.40</f>
        <v>1106.0300000000002</v>
      </c>
      <c r="AB30" s="33">
        <f>1615.41+9.42</f>
        <v>1624.8300000000002</v>
      </c>
      <c r="AC30" s="33">
        <f>1567.26+10.77</f>
        <v>1578.03</v>
      </c>
      <c r="AD30" s="33">
        <f>1283.52+9.96</f>
        <v>1293.48</v>
      </c>
      <c r="AE30" s="33">
        <f>1515.64+10.63</f>
        <v>1526.2700000000002</v>
      </c>
      <c r="AF30" s="33">
        <f>133.31+1154.06</f>
        <v>1287.37</v>
      </c>
      <c r="AG30" s="33">
        <f>9.63+1178.87</f>
        <v>1188.5</v>
      </c>
      <c r="AH30" s="33">
        <f>10.30+1384.56</f>
        <v>1394.86</v>
      </c>
      <c r="AI30" s="33">
        <f>1733.22+10.96</f>
        <v>1744.18</v>
      </c>
      <c r="AJ30" s="33">
        <f>10.30+1888.54</f>
        <v>1898.84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2711</v>
      </c>
      <c r="D31" s="50" t="s">
        <v>42</v>
      </c>
      <c r="E31" s="32" t="s">
        <v>3</v>
      </c>
      <c r="F31" s="32" t="s">
        <v>2729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3">
        <f>369.65+53.32</f>
        <v>422.96999999999997</v>
      </c>
      <c r="X31" s="33">
        <f>60.94+326.03</f>
        <v>386.96999999999997</v>
      </c>
      <c r="Y31" s="33">
        <f>49.88+358.98</f>
        <v>408.86</v>
      </c>
      <c r="Z31" s="33">
        <f>49.88+403.14</f>
        <v>453.02</v>
      </c>
      <c r="AA31" s="33">
        <f>55.23+465.92</f>
        <v>521.15</v>
      </c>
      <c r="AB31" s="33">
        <f>54.84+559.02</f>
        <v>613.86</v>
      </c>
      <c r="AC31" s="33">
        <f>51.47+491.86</f>
        <v>543.33</v>
      </c>
      <c r="AD31" s="33">
        <f>462.06+51.54</f>
        <v>513.6</v>
      </c>
      <c r="AE31" s="33">
        <f>233.11+60.94</f>
        <v>294.05</v>
      </c>
      <c r="AF31" s="33">
        <f>72.01+156.63</f>
        <v>228.64</v>
      </c>
      <c r="AG31" s="33">
        <f>55.23+170.23</f>
        <v>225.45999999999998</v>
      </c>
      <c r="AH31" s="33">
        <f>59.03+223.98</f>
        <v>283.01</v>
      </c>
      <c r="AI31" s="33">
        <f>360.18+62.84</f>
        <v>423.02</v>
      </c>
      <c r="AJ31" s="33">
        <f>313.78+59.03</f>
        <v>372.80999999999995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2711</v>
      </c>
      <c r="D32" s="50" t="s">
        <v>42</v>
      </c>
      <c r="E32" s="32" t="s">
        <v>3</v>
      </c>
      <c r="F32" s="32" t="s">
        <v>2730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3">
        <v>614.31</v>
      </c>
      <c r="X32" s="33">
        <v>604.4</v>
      </c>
      <c r="Y32" s="33">
        <v>443.09</v>
      </c>
      <c r="Z32" s="33">
        <v>521.75</v>
      </c>
      <c r="AA32" s="33">
        <v>632.19</v>
      </c>
      <c r="AB32" s="33">
        <v>722.47</v>
      </c>
      <c r="AC32" s="33">
        <v>682.67</v>
      </c>
      <c r="AD32" s="33">
        <v>707.15</v>
      </c>
      <c r="AE32" s="33">
        <v>514.5</v>
      </c>
      <c r="AF32" s="33">
        <v>485.38</v>
      </c>
      <c r="AG32" s="33">
        <v>376.82</v>
      </c>
      <c r="AH32" s="33">
        <v>389.05</v>
      </c>
      <c r="AI32" s="33">
        <v>528.28</v>
      </c>
      <c r="AJ32" s="33">
        <v>659.76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2711</v>
      </c>
      <c r="D33" s="50" t="s">
        <v>42</v>
      </c>
      <c r="E33" s="32" t="s">
        <v>3</v>
      </c>
      <c r="F33" s="32" t="s">
        <v>2731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3">
        <f>338.87+9.30</f>
        <v>348.17</v>
      </c>
      <c r="X33" s="33">
        <f>9.60+298.30</f>
        <v>307.90000000000003</v>
      </c>
      <c r="Y33" s="33">
        <f>243.19+8.70</f>
        <v>251.89</v>
      </c>
      <c r="Z33" s="33">
        <f>8.70+224.89</f>
        <v>233.58999999999997</v>
      </c>
      <c r="AA33" s="33">
        <f>302.60+9.63</f>
        <v>312.23</v>
      </c>
      <c r="AB33" s="33">
        <f>341.72+9.55</f>
        <v>351.27000000000004</v>
      </c>
      <c r="AC33" s="33">
        <f>8.94+348.85</f>
        <v>357.79</v>
      </c>
      <c r="AD33" s="33">
        <f>8.91+435.74</f>
        <v>444.65000000000003</v>
      </c>
      <c r="AE33" s="33">
        <f>10.63+371.95</f>
        <v>382.58</v>
      </c>
      <c r="AF33" s="33">
        <f>38.06+265.24</f>
        <v>303.3</v>
      </c>
      <c r="AG33" s="33">
        <f>261.00+9.63</f>
        <v>270.63</v>
      </c>
      <c r="AH33" s="33">
        <f>292.98+10.30</f>
        <v>303.28000000000003</v>
      </c>
      <c r="AI33" s="33">
        <f>377.19+10.96</f>
        <v>388.15</v>
      </c>
      <c r="AJ33" s="33">
        <f>400.39+10.30</f>
        <v>410.69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2711</v>
      </c>
      <c r="D34" s="50" t="s">
        <v>42</v>
      </c>
      <c r="E34" s="32" t="s">
        <v>3</v>
      </c>
      <c r="F34" s="32" t="s">
        <v>2732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3">
        <f>9.30+354.59</f>
        <v>363.89</v>
      </c>
      <c r="X34" s="33">
        <f>391.46+9.60</f>
        <v>401.06</v>
      </c>
      <c r="Y34" s="33">
        <f>274.11+8.70</f>
        <v>282.81</v>
      </c>
      <c r="Z34" s="33">
        <f>240.17+8.70</f>
        <v>248.86999999999998</v>
      </c>
      <c r="AA34" s="33">
        <f>9.63+267.74</f>
        <v>277.37</v>
      </c>
      <c r="AB34" s="33">
        <f>271.33+9.60</f>
        <v>280.93</v>
      </c>
      <c r="AC34" s="33">
        <f>9.00+258.27</f>
        <v>267.27</v>
      </c>
      <c r="AD34" s="33">
        <f>8.98+281.65</f>
        <v>290.63</v>
      </c>
      <c r="AE34" s="33">
        <f>10.63+265.29</f>
        <v>275.92</v>
      </c>
      <c r="AF34" s="33">
        <f>33.99+227.23</f>
        <v>261.21999999999997</v>
      </c>
      <c r="AG34" s="33">
        <f>9.63+254.76</f>
        <v>264.39</v>
      </c>
      <c r="AH34" s="33">
        <f>241.70+10.30</f>
        <v>252</v>
      </c>
      <c r="AI34" s="33">
        <f>349.53+10.96</f>
        <v>360.48999999999995</v>
      </c>
      <c r="AJ34" s="33">
        <f>446.26+10.30</f>
        <v>456.56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2711</v>
      </c>
      <c r="D35" s="50" t="s">
        <v>42</v>
      </c>
      <c r="E35" s="32" t="s">
        <v>3</v>
      </c>
      <c r="F35" s="32" t="s">
        <v>2733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3">
        <f>9.30+519.45</f>
        <v>528.75</v>
      </c>
      <c r="X35" s="33">
        <f>576.21+9.60</f>
        <v>585.8100000000001</v>
      </c>
      <c r="Y35" s="33">
        <f>511.66+8.70</f>
        <v>520.36</v>
      </c>
      <c r="Z35" s="33">
        <f>8.70+332.09</f>
        <v>340.78999999999996</v>
      </c>
      <c r="AA35" s="33">
        <f>9.63+355.08</f>
        <v>364.71</v>
      </c>
      <c r="AB35" s="33">
        <f>9.51+455.42</f>
        <v>464.93</v>
      </c>
      <c r="AC35" s="33">
        <f>407.59+8.92</f>
        <v>416.51</v>
      </c>
      <c r="AD35" s="33">
        <f>507.94+8.89</f>
        <v>516.83</v>
      </c>
      <c r="AE35" s="33">
        <f>10.63+491.00</f>
        <v>501.63</v>
      </c>
      <c r="AF35" s="33">
        <f>340.82+46.15</f>
        <v>386.96999999999997</v>
      </c>
      <c r="AG35" s="33">
        <f>335.26+9.63</f>
        <v>344.89</v>
      </c>
      <c r="AH35" s="33">
        <f>10.30+360.27</f>
        <v>370.57</v>
      </c>
      <c r="AI35" s="33">
        <f>562.29+10.96</f>
        <v>573.25</v>
      </c>
      <c r="AJ35" s="33">
        <f>693.78+10.30</f>
        <v>704.0799999999999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2711</v>
      </c>
      <c r="D36" s="50" t="s">
        <v>42</v>
      </c>
      <c r="E36" s="32" t="s">
        <v>3</v>
      </c>
      <c r="F36" s="32" t="s">
        <v>2734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>
        <f>18.60+588.77</f>
        <v>607.37</v>
      </c>
      <c r="X36" s="33">
        <f>21.26+756.43</f>
        <v>777.6899999999999</v>
      </c>
      <c r="Y36" s="33">
        <f>17.40+635.99</f>
        <v>653.39</v>
      </c>
      <c r="Z36" s="33">
        <f>17.40+351.01</f>
        <v>368.40999999999997</v>
      </c>
      <c r="AA36" s="33">
        <f>431.68+19.26</f>
        <v>450.94</v>
      </c>
      <c r="AB36" s="33">
        <f>504.99+19.02</f>
        <v>524.01</v>
      </c>
      <c r="AC36" s="33">
        <f>424.27+17.87</f>
        <v>442.14</v>
      </c>
      <c r="AD36" s="33">
        <f>17.90+382.53</f>
        <v>400.42999999999995</v>
      </c>
      <c r="AE36" s="33">
        <f>21.26+286.70</f>
        <v>307.96</v>
      </c>
      <c r="AF36" s="33">
        <f>46.58+254.85</f>
        <v>301.43</v>
      </c>
      <c r="AG36" s="33">
        <f>19.26+314.11</f>
        <v>333.37</v>
      </c>
      <c r="AH36" s="33">
        <f>352.22+19.93</f>
        <v>372.15000000000003</v>
      </c>
      <c r="AI36" s="33">
        <f>22.59+573.63</f>
        <v>596.22</v>
      </c>
      <c r="AJ36" s="33">
        <f>20.59+755.06</f>
        <v>775.65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2711</v>
      </c>
      <c r="D37" s="50" t="s">
        <v>42</v>
      </c>
      <c r="E37" s="32" t="s">
        <v>3</v>
      </c>
      <c r="F37" s="32" t="s">
        <v>2735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3">
        <f>9.30+446.73</f>
        <v>456.03000000000003</v>
      </c>
      <c r="X37" s="33">
        <f>351.78+10.63</f>
        <v>362.40999999999997</v>
      </c>
      <c r="Y37" s="33">
        <f>242.30+8.70</f>
        <v>251</v>
      </c>
      <c r="Z37" s="33">
        <f>280.73+8.70</f>
        <v>289.43</v>
      </c>
      <c r="AA37" s="33">
        <f>9.63+399.50</f>
        <v>409.13</v>
      </c>
      <c r="AB37" s="33">
        <f>500.59+9.49</f>
        <v>510.08</v>
      </c>
      <c r="AC37" s="33">
        <f>8.90+450.56</f>
        <v>459.46</v>
      </c>
      <c r="AD37" s="33">
        <f>515.29+8.89</f>
        <v>524.18</v>
      </c>
      <c r="AE37" s="33">
        <f>10.63+445.99</f>
        <v>456.62</v>
      </c>
      <c r="AF37" s="33">
        <f>46.20+341.16</f>
        <v>387.36</v>
      </c>
      <c r="AG37" s="33">
        <f>9.96+291.55</f>
        <v>301.51</v>
      </c>
      <c r="AH37" s="33">
        <f>9.63+314.71</f>
        <v>324.34</v>
      </c>
      <c r="AI37" s="33">
        <f>413.11+11.29</f>
        <v>424.40000000000003</v>
      </c>
      <c r="AJ37" s="33">
        <f>10.30+343.01</f>
        <v>353.31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2711</v>
      </c>
      <c r="D38" s="50" t="s">
        <v>42</v>
      </c>
      <c r="E38" s="32" t="s">
        <v>3</v>
      </c>
      <c r="F38" s="32" t="s">
        <v>2736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3">
        <v>248.63</v>
      </c>
      <c r="X38" s="33">
        <v>207.58</v>
      </c>
      <c r="Y38" s="33">
        <v>186.07</v>
      </c>
      <c r="Z38" s="33">
        <v>157.76</v>
      </c>
      <c r="AA38" s="33">
        <v>86.17</v>
      </c>
      <c r="AB38" s="33">
        <v>91.32</v>
      </c>
      <c r="AC38" s="33">
        <v>85.64</v>
      </c>
      <c r="AD38" s="33">
        <v>96.52</v>
      </c>
      <c r="AE38" s="33">
        <v>72.48</v>
      </c>
      <c r="AF38" s="33">
        <v>44.95</v>
      </c>
      <c r="AG38" s="33">
        <v>142.21</v>
      </c>
      <c r="AH38" s="33">
        <v>154.99</v>
      </c>
      <c r="AI38" s="33">
        <v>186.46</v>
      </c>
      <c r="AJ38" s="33">
        <v>201.09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2711</v>
      </c>
      <c r="D39" s="50" t="s">
        <v>42</v>
      </c>
      <c r="E39" s="32" t="s">
        <v>3</v>
      </c>
      <c r="F39" s="32" t="s">
        <v>2737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3">
        <v>328.87</v>
      </c>
      <c r="X39" s="33">
        <v>474.72</v>
      </c>
      <c r="Y39" s="33">
        <v>409.25</v>
      </c>
      <c r="Z39" s="33">
        <v>235.97</v>
      </c>
      <c r="AA39" s="33">
        <v>54.25</v>
      </c>
      <c r="AB39" s="33">
        <v>56.56</v>
      </c>
      <c r="AC39" s="33">
        <v>46.5</v>
      </c>
      <c r="AD39" s="33">
        <v>46.5</v>
      </c>
      <c r="AE39" s="33">
        <v>49.6</v>
      </c>
      <c r="AF39" s="33">
        <v>50.82</v>
      </c>
      <c r="AG39" s="33">
        <v>44.95</v>
      </c>
      <c r="AH39" s="33">
        <v>57.35</v>
      </c>
      <c r="AI39" s="33">
        <v>327.64</v>
      </c>
      <c r="AJ39" s="33">
        <v>475.27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2711</v>
      </c>
      <c r="D40" s="50" t="s">
        <v>42</v>
      </c>
      <c r="E40" s="32" t="s">
        <v>3</v>
      </c>
      <c r="F40" s="32" t="s">
        <v>2738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3">
        <v>279.98</v>
      </c>
      <c r="X40" s="33">
        <v>261.21</v>
      </c>
      <c r="Y40" s="33">
        <v>212.6</v>
      </c>
      <c r="Z40" s="33">
        <v>191.36</v>
      </c>
      <c r="AA40" s="33">
        <v>172.2</v>
      </c>
      <c r="AB40" s="33">
        <v>192.49</v>
      </c>
      <c r="AC40" s="33">
        <v>184.25</v>
      </c>
      <c r="AD40" s="33">
        <v>202.36</v>
      </c>
      <c r="AE40" s="33">
        <v>105.5</v>
      </c>
      <c r="AF40" s="33">
        <v>47.88</v>
      </c>
      <c r="AG40" s="33">
        <v>47.88</v>
      </c>
      <c r="AH40" s="33">
        <v>64.56</v>
      </c>
      <c r="AI40" s="33">
        <v>167.13</v>
      </c>
      <c r="AJ40" s="33">
        <v>277.81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2711</v>
      </c>
      <c r="D41" s="50" t="s">
        <v>42</v>
      </c>
      <c r="E41" s="32" t="s">
        <v>3</v>
      </c>
      <c r="F41" s="32" t="s">
        <v>2739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>
        <v>425.07</v>
      </c>
      <c r="X41" s="33">
        <v>373.02</v>
      </c>
      <c r="Y41" s="33">
        <v>286.43</v>
      </c>
      <c r="Z41" s="33">
        <v>266.08</v>
      </c>
      <c r="AA41" s="33">
        <v>165.71</v>
      </c>
      <c r="AB41" s="33">
        <v>185.28</v>
      </c>
      <c r="AC41" s="33">
        <v>173</v>
      </c>
      <c r="AD41" s="33">
        <v>201.01</v>
      </c>
      <c r="AE41" s="33">
        <v>181.85</v>
      </c>
      <c r="AF41" s="33">
        <v>222.59</v>
      </c>
      <c r="AG41" s="33">
        <v>215.12</v>
      </c>
      <c r="AH41" s="33">
        <v>266.67</v>
      </c>
      <c r="AI41" s="33">
        <v>379.88</v>
      </c>
      <c r="AJ41" s="33">
        <v>411.51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2711</v>
      </c>
      <c r="D42" s="50" t="s">
        <v>42</v>
      </c>
      <c r="E42" s="32" t="s">
        <v>3</v>
      </c>
      <c r="F42" s="32" t="s">
        <v>2740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3">
        <v>49.61</v>
      </c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2711</v>
      </c>
      <c r="D43" s="50" t="s">
        <v>42</v>
      </c>
      <c r="E43" s="32" t="s">
        <v>3</v>
      </c>
      <c r="F43" s="32" t="s">
        <v>2741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3">
        <v>85.28</v>
      </c>
      <c r="AD43" s="33">
        <v>209.22</v>
      </c>
      <c r="AE43" s="33">
        <v>183.2</v>
      </c>
      <c r="AF43" s="33">
        <v>141.47</v>
      </c>
      <c r="AG43" s="33">
        <v>136.54</v>
      </c>
      <c r="AH43" s="33">
        <v>182.79</v>
      </c>
      <c r="AI43" s="33">
        <v>295.7</v>
      </c>
      <c r="AJ43" s="33">
        <v>309.98</v>
      </c>
      <c r="AK43" s="32"/>
      <c r="AL43" s="34">
        <f>SUM(G43:AK43)</f>
      </c>
      <c r="AM43" s="35"/>
    </row>
    <row r="44" ht="13.5" customHeight="1" spans="2:39" x14ac:dyDescent="0.25">
      <c r="B44" s="51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40"/>
    </row>
    <row r="45" ht="13.5" customHeight="1" spans="2:39" x14ac:dyDescent="0.25">
      <c r="B45" s="20"/>
      <c r="C45" s="21"/>
      <c r="D45" s="21" t="s">
        <v>85</v>
      </c>
      <c r="E45" s="21"/>
      <c r="F45" s="21"/>
      <c r="G45" s="22">
        <f>SUM(G18:G43)</f>
      </c>
      <c r="H45" s="22">
        <f>SUM(H18:H43)</f>
      </c>
      <c r="I45" s="22">
        <f>SUM(I18:I43)</f>
      </c>
      <c r="J45" s="22">
        <f>SUM(J18:J43)</f>
      </c>
      <c r="K45" s="22">
        <f>SUM(K18:K43)</f>
      </c>
      <c r="L45" s="22">
        <f>SUM(L18:L43)</f>
      </c>
      <c r="M45" s="22">
        <f>SUM(M18:M43)</f>
      </c>
      <c r="N45" s="22">
        <f>SUM(N18:N43)</f>
      </c>
      <c r="O45" s="22">
        <f>SUM(O18:O43)</f>
      </c>
      <c r="P45" s="22">
        <f>SUM(P18:P43)</f>
      </c>
      <c r="Q45" s="22">
        <f>SUM(Q18:Q43)</f>
      </c>
      <c r="R45" s="22">
        <f>SUM(R18:R43)</f>
      </c>
      <c r="S45" s="22">
        <f>SUM(S18:S43)</f>
      </c>
      <c r="T45" s="22">
        <f>SUM(T18:T43)</f>
      </c>
      <c r="U45" s="22">
        <f>SUM(U18:U43)</f>
      </c>
      <c r="V45" s="22">
        <f>SUM(V18:V43)</f>
      </c>
      <c r="W45" s="22">
        <f>SUM(W18:W43)</f>
      </c>
      <c r="X45" s="22">
        <f>SUM(X18:X43)</f>
      </c>
      <c r="Y45" s="22">
        <f>SUM(Y18:Y43)</f>
      </c>
      <c r="Z45" s="22">
        <f>SUM(Z18:Z43)</f>
      </c>
      <c r="AA45" s="22">
        <f>SUM(AA18:AA43)</f>
      </c>
      <c r="AB45" s="22">
        <f>SUM(AB18:AB43)</f>
      </c>
      <c r="AC45" s="22">
        <f>SUM(AC18:AC43)</f>
      </c>
      <c r="AD45" s="22">
        <f>SUM(AD18:AD43)</f>
      </c>
      <c r="AE45" s="22">
        <f>SUM(AE18:AE43)</f>
      </c>
      <c r="AF45" s="22">
        <f>SUM(AF18:AF43)</f>
      </c>
      <c r="AG45" s="22">
        <f>SUM(AG18:AG43)</f>
      </c>
      <c r="AH45" s="22">
        <f>SUM(AH18:AH43)</f>
      </c>
      <c r="AI45" s="22">
        <f>SUM(AI18:AI43)</f>
      </c>
      <c r="AJ45" s="22">
        <f>SUM(AJ18:AJ43)</f>
      </c>
      <c r="AK45" s="22">
        <f>SUM(AK18:AK43)</f>
      </c>
      <c r="AL45" s="22">
        <f>SUM(AL18:AL43)</f>
      </c>
      <c r="AM45" s="23"/>
    </row>
    <row r="47" ht="13.5" customHeight="1" spans="2:39" x14ac:dyDescent="0.25">
      <c r="B47" s="46"/>
      <c r="C47" s="28"/>
      <c r="D47" s="47" t="s">
        <v>43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9"/>
    </row>
    <row r="48" ht="13.5" customHeight="1" spans="2:39" x14ac:dyDescent="0.25">
      <c r="B48" s="51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40"/>
    </row>
    <row r="49" ht="13.5" customHeight="1" spans="2:39" x14ac:dyDescent="0.25">
      <c r="B49" s="20"/>
      <c r="C49" s="21"/>
      <c r="D49" s="21" t="s">
        <v>89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3"/>
    </row>
    <row r="51" ht="13.5" customHeight="1" spans="2:39" x14ac:dyDescent="0.25">
      <c r="B51" s="46"/>
      <c r="C51" s="28"/>
      <c r="D51" s="47" t="s">
        <v>44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9"/>
    </row>
    <row r="52" ht="13.5" customHeight="1" spans="2:39" x14ac:dyDescent="0.25">
      <c r="B52" s="51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40"/>
    </row>
    <row r="53" ht="13.5" customHeight="1" spans="2:39" x14ac:dyDescent="0.25">
      <c r="B53" s="20"/>
      <c r="C53" s="21"/>
      <c r="D53" s="21" t="s">
        <v>90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3"/>
    </row>
    <row r="56" ht="12.75" customHeight="1" spans="2:39" x14ac:dyDescent="0.25">
      <c r="B56" s="11" t="s">
        <v>40</v>
      </c>
      <c r="C56" s="12"/>
      <c r="D56" s="12"/>
      <c r="E56" s="12"/>
      <c r="F56" s="12"/>
      <c r="G56" s="52" t="s">
        <v>7</v>
      </c>
      <c r="H56" s="52" t="s">
        <v>8</v>
      </c>
      <c r="I56" s="52" t="s">
        <v>9</v>
      </c>
      <c r="J56" s="52" t="s">
        <v>10</v>
      </c>
      <c r="K56" s="52" t="s">
        <v>11</v>
      </c>
      <c r="L56" s="52" t="s">
        <v>12</v>
      </c>
      <c r="M56" s="52" t="s">
        <v>13</v>
      </c>
      <c r="N56" s="52" t="s">
        <v>14</v>
      </c>
      <c r="O56" s="52" t="s">
        <v>15</v>
      </c>
      <c r="P56" s="52" t="s">
        <v>16</v>
      </c>
      <c r="Q56" s="52" t="s">
        <v>17</v>
      </c>
      <c r="R56" s="52" t="s">
        <v>18</v>
      </c>
      <c r="S56" s="52" t="s">
        <v>19</v>
      </c>
      <c r="T56" s="52" t="s">
        <v>20</v>
      </c>
      <c r="U56" s="52" t="s">
        <v>21</v>
      </c>
      <c r="V56" s="52" t="s">
        <v>22</v>
      </c>
      <c r="W56" s="52" t="s">
        <v>23</v>
      </c>
      <c r="X56" s="52" t="s">
        <v>24</v>
      </c>
      <c r="Y56" s="52" t="s">
        <v>25</v>
      </c>
      <c r="Z56" s="52" t="s">
        <v>26</v>
      </c>
      <c r="AA56" s="52" t="s">
        <v>27</v>
      </c>
      <c r="AB56" s="52" t="s">
        <v>28</v>
      </c>
      <c r="AC56" s="52" t="s">
        <v>29</v>
      </c>
      <c r="AD56" s="52" t="s">
        <v>30</v>
      </c>
      <c r="AE56" s="52" t="s">
        <v>31</v>
      </c>
      <c r="AF56" s="52" t="s">
        <v>32</v>
      </c>
      <c r="AG56" s="52" t="s">
        <v>33</v>
      </c>
      <c r="AH56" s="52" t="s">
        <v>34</v>
      </c>
      <c r="AI56" s="52" t="s">
        <v>35</v>
      </c>
      <c r="AJ56" s="52" t="s">
        <v>36</v>
      </c>
      <c r="AK56" s="52" t="s">
        <v>37</v>
      </c>
      <c r="AL56" s="52" t="s">
        <v>38</v>
      </c>
      <c r="AM56" s="15"/>
    </row>
    <row r="57" ht="12.75" customHeight="1" spans="2:39" x14ac:dyDescent="0.25">
      <c r="B57" s="16"/>
      <c r="C57" s="17"/>
      <c r="D57" s="17" t="s">
        <v>41</v>
      </c>
      <c r="E57" s="17"/>
      <c r="F57" s="17"/>
      <c r="G57" s="18">
        <f>G15</f>
      </c>
      <c r="H57" s="18">
        <f>H15</f>
      </c>
      <c r="I57" s="18">
        <f>I15</f>
      </c>
      <c r="J57" s="18">
        <f>J15</f>
      </c>
      <c r="K57" s="18">
        <f>K15</f>
      </c>
      <c r="L57" s="18">
        <f>L15</f>
      </c>
      <c r="M57" s="18">
        <f>M15</f>
      </c>
      <c r="N57" s="18">
        <f>N15</f>
      </c>
      <c r="O57" s="18">
        <f>O15</f>
      </c>
      <c r="P57" s="18">
        <f>P15</f>
      </c>
      <c r="Q57" s="18">
        <f>Q15</f>
      </c>
      <c r="R57" s="18">
        <f>R15</f>
      </c>
      <c r="S57" s="18">
        <f>S15</f>
      </c>
      <c r="T57" s="18">
        <f>T15</f>
      </c>
      <c r="U57" s="18">
        <f>U15</f>
      </c>
      <c r="V57" s="18">
        <f>V15</f>
      </c>
      <c r="W57" s="18">
        <f>W15</f>
      </c>
      <c r="X57" s="18">
        <f>X15</f>
      </c>
      <c r="Y57" s="18">
        <f>Y15</f>
      </c>
      <c r="Z57" s="18">
        <f>Z15</f>
      </c>
      <c r="AA57" s="18">
        <f>AA15</f>
      </c>
      <c r="AB57" s="18">
        <f>AB15</f>
      </c>
      <c r="AC57" s="18">
        <f>AC15</f>
      </c>
      <c r="AD57" s="18">
        <f>AD15</f>
      </c>
      <c r="AE57" s="18">
        <f>AE15</f>
      </c>
      <c r="AF57" s="18">
        <f>AF15</f>
      </c>
      <c r="AG57" s="18">
        <f>AG15</f>
      </c>
      <c r="AH57" s="18">
        <f>AH15</f>
      </c>
      <c r="AI57" s="18">
        <f>AI15</f>
      </c>
      <c r="AJ57" s="18">
        <f>AJ15</f>
      </c>
      <c r="AK57" s="18">
        <f>AK15</f>
      </c>
      <c r="AL57" s="18">
        <f>AL15</f>
      </c>
      <c r="AM57" s="19"/>
    </row>
    <row r="58" ht="12.75" customHeight="1" spans="2:39" x14ac:dyDescent="0.25">
      <c r="B58" s="16"/>
      <c r="C58" s="17"/>
      <c r="D58" s="17" t="s">
        <v>42</v>
      </c>
      <c r="E58" s="17"/>
      <c r="F58" s="17"/>
      <c r="G58" s="18">
        <f>G45</f>
      </c>
      <c r="H58" s="18">
        <f>H45</f>
      </c>
      <c r="I58" s="18">
        <f>I45</f>
      </c>
      <c r="J58" s="18">
        <f>J45</f>
      </c>
      <c r="K58" s="18">
        <f>K45</f>
      </c>
      <c r="L58" s="18">
        <f>L45</f>
      </c>
      <c r="M58" s="18">
        <f>M45</f>
      </c>
      <c r="N58" s="18">
        <f>N45</f>
      </c>
      <c r="O58" s="18">
        <f>O45</f>
      </c>
      <c r="P58" s="18">
        <f>P45</f>
      </c>
      <c r="Q58" s="18">
        <f>Q45</f>
      </c>
      <c r="R58" s="18">
        <f>R45</f>
      </c>
      <c r="S58" s="18">
        <f>S45</f>
      </c>
      <c r="T58" s="18">
        <f>T45</f>
      </c>
      <c r="U58" s="18">
        <f>U45</f>
      </c>
      <c r="V58" s="18">
        <f>V45</f>
      </c>
      <c r="W58" s="18">
        <f>W45</f>
      </c>
      <c r="X58" s="18">
        <f>X45</f>
      </c>
      <c r="Y58" s="18">
        <f>Y45</f>
      </c>
      <c r="Z58" s="18">
        <f>Z45</f>
      </c>
      <c r="AA58" s="18">
        <f>AA45</f>
      </c>
      <c r="AB58" s="18">
        <f>AB45</f>
      </c>
      <c r="AC58" s="18">
        <f>AC45</f>
      </c>
      <c r="AD58" s="18">
        <f>AD45</f>
      </c>
      <c r="AE58" s="18">
        <f>AE45</f>
      </c>
      <c r="AF58" s="18">
        <f>AF45</f>
      </c>
      <c r="AG58" s="18">
        <f>AG45</f>
      </c>
      <c r="AH58" s="18">
        <f>AH45</f>
      </c>
      <c r="AI58" s="18">
        <f>AI45</f>
      </c>
      <c r="AJ58" s="18">
        <f>AJ45</f>
      </c>
      <c r="AK58" s="18">
        <f>AK45</f>
      </c>
      <c r="AL58" s="18">
        <f>AL45</f>
      </c>
      <c r="AM58" s="19"/>
    </row>
    <row r="59" ht="12.75" customHeight="1" spans="2:39" x14ac:dyDescent="0.25">
      <c r="B59" s="16"/>
      <c r="C59" s="17"/>
      <c r="D59" s="17" t="s">
        <v>43</v>
      </c>
      <c r="E59" s="17"/>
      <c r="F59" s="17"/>
      <c r="G59" s="18">
        <f>G49</f>
      </c>
      <c r="H59" s="18">
        <f>H49</f>
      </c>
      <c r="I59" s="18">
        <f>I49</f>
      </c>
      <c r="J59" s="18">
        <f>J49</f>
      </c>
      <c r="K59" s="18">
        <f>K49</f>
      </c>
      <c r="L59" s="18">
        <f>L49</f>
      </c>
      <c r="M59" s="18">
        <f>M49</f>
      </c>
      <c r="N59" s="18">
        <f>N49</f>
      </c>
      <c r="O59" s="18">
        <f>O49</f>
      </c>
      <c r="P59" s="18">
        <f>P49</f>
      </c>
      <c r="Q59" s="18">
        <f>Q49</f>
      </c>
      <c r="R59" s="18">
        <f>R49</f>
      </c>
      <c r="S59" s="18">
        <f>S49</f>
      </c>
      <c r="T59" s="18">
        <f>T49</f>
      </c>
      <c r="U59" s="18">
        <f>U49</f>
      </c>
      <c r="V59" s="18">
        <f>V49</f>
      </c>
      <c r="W59" s="18">
        <f>W49</f>
      </c>
      <c r="X59" s="18">
        <f>X49</f>
      </c>
      <c r="Y59" s="18">
        <f>Y49</f>
      </c>
      <c r="Z59" s="18">
        <f>Z49</f>
      </c>
      <c r="AA59" s="18">
        <f>AA49</f>
      </c>
      <c r="AB59" s="18">
        <f>AB49</f>
      </c>
      <c r="AC59" s="18">
        <f>AC49</f>
      </c>
      <c r="AD59" s="18">
        <f>AD49</f>
      </c>
      <c r="AE59" s="18">
        <f>AE49</f>
      </c>
      <c r="AF59" s="18">
        <f>AF49</f>
      </c>
      <c r="AG59" s="18">
        <f>AG49</f>
      </c>
      <c r="AH59" s="18">
        <f>AH49</f>
      </c>
      <c r="AI59" s="18">
        <f>AI49</f>
      </c>
      <c r="AJ59" s="18">
        <f>AJ49</f>
      </c>
      <c r="AK59" s="18">
        <f>AK49</f>
      </c>
      <c r="AL59" s="18">
        <f>AL49</f>
      </c>
      <c r="AM59" s="19"/>
    </row>
    <row r="60" ht="12.75" customHeight="1" spans="2:39" x14ac:dyDescent="0.25">
      <c r="B60" s="16"/>
      <c r="C60" s="17"/>
      <c r="D60" s="17" t="s">
        <v>44</v>
      </c>
      <c r="E60" s="17"/>
      <c r="F60" s="17"/>
      <c r="G60" s="18">
        <f>G53</f>
      </c>
      <c r="H60" s="18">
        <f>H53</f>
      </c>
      <c r="I60" s="18">
        <f>I53</f>
      </c>
      <c r="J60" s="18">
        <f>J53</f>
      </c>
      <c r="K60" s="18">
        <f>K53</f>
      </c>
      <c r="L60" s="18">
        <f>L53</f>
      </c>
      <c r="M60" s="18">
        <f>M53</f>
      </c>
      <c r="N60" s="18">
        <f>N53</f>
      </c>
      <c r="O60" s="18">
        <f>O53</f>
      </c>
      <c r="P60" s="18">
        <f>P53</f>
      </c>
      <c r="Q60" s="18">
        <f>Q53</f>
      </c>
      <c r="R60" s="18">
        <f>R53</f>
      </c>
      <c r="S60" s="18">
        <f>S53</f>
      </c>
      <c r="T60" s="18">
        <f>T53</f>
      </c>
      <c r="U60" s="18">
        <f>U53</f>
      </c>
      <c r="V60" s="18">
        <f>V53</f>
      </c>
      <c r="W60" s="18">
        <f>W53</f>
      </c>
      <c r="X60" s="18">
        <f>X53</f>
      </c>
      <c r="Y60" s="18">
        <f>Y53</f>
      </c>
      <c r="Z60" s="18">
        <f>Z53</f>
      </c>
      <c r="AA60" s="18">
        <f>AA53</f>
      </c>
      <c r="AB60" s="18">
        <f>AB53</f>
      </c>
      <c r="AC60" s="18">
        <f>AC53</f>
      </c>
      <c r="AD60" s="18">
        <f>AD53</f>
      </c>
      <c r="AE60" s="18">
        <f>AE53</f>
      </c>
      <c r="AF60" s="18">
        <f>AF53</f>
      </c>
      <c r="AG60" s="18">
        <f>AG53</f>
      </c>
      <c r="AH60" s="18">
        <f>AH53</f>
      </c>
      <c r="AI60" s="18">
        <f>AI53</f>
      </c>
      <c r="AJ60" s="18">
        <f>AJ53</f>
      </c>
      <c r="AK60" s="18">
        <f>AK53</f>
      </c>
      <c r="AL60" s="18">
        <f>AL53</f>
      </c>
      <c r="AM60" s="19"/>
    </row>
    <row r="61" ht="12.75" customHeight="1" spans="2:39" x14ac:dyDescent="0.25">
      <c r="B61" s="20"/>
      <c r="C61" s="21"/>
      <c r="D61" s="21" t="s">
        <v>45</v>
      </c>
      <c r="E61" s="21"/>
      <c r="F61" s="21"/>
      <c r="G61" s="22">
        <f>G57+G58+G59+G60</f>
      </c>
      <c r="H61" s="22">
        <f>H57+H58+H59+H60</f>
      </c>
      <c r="I61" s="22">
        <f>I57+I58+I59+I60</f>
      </c>
      <c r="J61" s="22">
        <f>J57+J58+J59+J60</f>
      </c>
      <c r="K61" s="22">
        <f>K57+K58+K59+K60</f>
      </c>
      <c r="L61" s="22">
        <f>L57+L58+L59+L60</f>
      </c>
      <c r="M61" s="22">
        <f>M57+M58+M59+M60</f>
      </c>
      <c r="N61" s="22">
        <f>N57+N58+N59+N60</f>
      </c>
      <c r="O61" s="22">
        <f>O57+O58+O59+O60</f>
      </c>
      <c r="P61" s="22">
        <f>P57+P58+P59+P60</f>
      </c>
      <c r="Q61" s="22">
        <f>Q57+Q58+Q59+Q60</f>
      </c>
      <c r="R61" s="22">
        <f>R57+R58+R59+R60</f>
      </c>
      <c r="S61" s="22">
        <f>S57+S58+S59+S60</f>
      </c>
      <c r="T61" s="22">
        <f>T57+T58+T59+T60</f>
      </c>
      <c r="U61" s="22">
        <f>U57+U58+U59+U60</f>
      </c>
      <c r="V61" s="22">
        <f>V57+V58+V59+V60</f>
      </c>
      <c r="W61" s="22">
        <f>W57+W58+W59+W60</f>
      </c>
      <c r="X61" s="22">
        <f>X57+X58+X59+X60</f>
      </c>
      <c r="Y61" s="22">
        <f>Y57+Y58+Y59+Y60</f>
      </c>
      <c r="Z61" s="22">
        <f>Z57+Z58+Z59+Z60</f>
      </c>
      <c r="AA61" s="22">
        <f>AA57+AA58+AA59+AA60</f>
      </c>
      <c r="AB61" s="22">
        <f>AB57+AB58+AB59+AB60</f>
      </c>
      <c r="AC61" s="22">
        <f>AC57+AC58+AC59+AC60</f>
      </c>
      <c r="AD61" s="22">
        <f>AD57+AD58+AD59+AD60</f>
      </c>
      <c r="AE61" s="22">
        <f>AE57+AE58+AE59+AE60</f>
      </c>
      <c r="AF61" s="22">
        <f>AF57+AF58+AF59+AF60</f>
      </c>
      <c r="AG61" s="22">
        <f>AG57+AG58+AG59+AG60</f>
      </c>
      <c r="AH61" s="22">
        <f>AH57+AH58+AH59+AH60</f>
      </c>
      <c r="AI61" s="22">
        <f>AI57+AI58+AI59+AI60</f>
      </c>
      <c r="AJ61" s="22">
        <f>AJ57+AJ58+AJ59+AJ60</f>
      </c>
      <c r="AK61" s="22">
        <f>AK57+AK58+AK59+AK60</f>
      </c>
      <c r="AL61" s="22">
        <f>AL57+AL58+AL59+AL60</f>
      </c>
      <c r="AM61" s="23"/>
    </row>
    <row r="63" ht="12.75" customHeight="1" spans="2:39" x14ac:dyDescent="0.25">
      <c r="B63" s="11" t="s">
        <v>46</v>
      </c>
      <c r="C63" s="12"/>
      <c r="D63" s="12"/>
      <c r="E63" s="12"/>
      <c r="F63" s="12"/>
      <c r="G63" s="52" t="s">
        <v>7</v>
      </c>
      <c r="H63" s="52" t="s">
        <v>8</v>
      </c>
      <c r="I63" s="52" t="s">
        <v>9</v>
      </c>
      <c r="J63" s="52" t="s">
        <v>10</v>
      </c>
      <c r="K63" s="52" t="s">
        <v>11</v>
      </c>
      <c r="L63" s="52" t="s">
        <v>12</v>
      </c>
      <c r="M63" s="52" t="s">
        <v>13</v>
      </c>
      <c r="N63" s="52" t="s">
        <v>14</v>
      </c>
      <c r="O63" s="52" t="s">
        <v>15</v>
      </c>
      <c r="P63" s="52" t="s">
        <v>16</v>
      </c>
      <c r="Q63" s="52" t="s">
        <v>17</v>
      </c>
      <c r="R63" s="52" t="s">
        <v>18</v>
      </c>
      <c r="S63" s="52" t="s">
        <v>19</v>
      </c>
      <c r="T63" s="52" t="s">
        <v>20</v>
      </c>
      <c r="U63" s="52" t="s">
        <v>21</v>
      </c>
      <c r="V63" s="52" t="s">
        <v>22</v>
      </c>
      <c r="W63" s="52" t="s">
        <v>23</v>
      </c>
      <c r="X63" s="52" t="s">
        <v>24</v>
      </c>
      <c r="Y63" s="52" t="s">
        <v>25</v>
      </c>
      <c r="Z63" s="52" t="s">
        <v>26</v>
      </c>
      <c r="AA63" s="52" t="s">
        <v>27</v>
      </c>
      <c r="AB63" s="52" t="s">
        <v>28</v>
      </c>
      <c r="AC63" s="52" t="s">
        <v>29</v>
      </c>
      <c r="AD63" s="52" t="s">
        <v>30</v>
      </c>
      <c r="AE63" s="52" t="s">
        <v>31</v>
      </c>
      <c r="AF63" s="52" t="s">
        <v>32</v>
      </c>
      <c r="AG63" s="52" t="s">
        <v>33</v>
      </c>
      <c r="AH63" s="52" t="s">
        <v>34</v>
      </c>
      <c r="AI63" s="52" t="s">
        <v>35</v>
      </c>
      <c r="AJ63" s="52" t="s">
        <v>36</v>
      </c>
      <c r="AK63" s="52" t="s">
        <v>37</v>
      </c>
      <c r="AL63" s="52" t="s">
        <v>38</v>
      </c>
      <c r="AM63" s="15"/>
    </row>
    <row r="64" ht="12.75" customHeight="1" spans="2:39" x14ac:dyDescent="0.25">
      <c r="B64" s="16"/>
      <c r="C64" s="17"/>
      <c r="D64" s="17" t="s">
        <v>41</v>
      </c>
      <c r="E64" s="17"/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/>
    </row>
    <row r="65" ht="12.75" customHeight="1" spans="2:39" x14ac:dyDescent="0.25">
      <c r="B65" s="16"/>
      <c r="C65" s="17"/>
      <c r="D65" s="17" t="s">
        <v>42</v>
      </c>
      <c r="E65" s="17"/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9"/>
    </row>
    <row r="66" ht="12.75" customHeight="1" spans="2:39" x14ac:dyDescent="0.25">
      <c r="B66" s="16"/>
      <c r="C66" s="17"/>
      <c r="D66" s="17" t="s">
        <v>43</v>
      </c>
      <c r="E66" s="17"/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9"/>
    </row>
    <row r="67" ht="12.75" customHeight="1" spans="2:39" x14ac:dyDescent="0.25">
      <c r="B67" s="16"/>
      <c r="C67" s="17"/>
      <c r="D67" s="17" t="s">
        <v>44</v>
      </c>
      <c r="E67" s="17"/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9"/>
    </row>
    <row r="68" ht="12.75" customHeight="1" spans="2:39" x14ac:dyDescent="0.25">
      <c r="B68" s="20"/>
      <c r="C68" s="21"/>
      <c r="D68" s="21" t="s">
        <v>45</v>
      </c>
      <c r="E68" s="21"/>
      <c r="F68" s="21"/>
      <c r="G68" s="22">
        <f>G64+G65+G66+G67</f>
      </c>
      <c r="H68" s="22">
        <f>H64+H65+H66+H67</f>
      </c>
      <c r="I68" s="22">
        <f>I64+I65+I66+I67</f>
      </c>
      <c r="J68" s="22">
        <f>J64+J65+J66+J67</f>
      </c>
      <c r="K68" s="22">
        <f>K64+K65+K66+K67</f>
      </c>
      <c r="L68" s="22">
        <f>L64+L65+L66+L67</f>
      </c>
      <c r="M68" s="22">
        <f>M64+M65+M66+M67</f>
      </c>
      <c r="N68" s="22">
        <f>N64+N65+N66+N67</f>
      </c>
      <c r="O68" s="22">
        <f>O64+O65+O66+O67</f>
      </c>
      <c r="P68" s="22">
        <f>P64+P65+P66+P67</f>
      </c>
      <c r="Q68" s="22">
        <f>Q64+Q65+Q66+Q67</f>
      </c>
      <c r="R68" s="22">
        <f>R64+R65+R66+R67</f>
      </c>
      <c r="S68" s="22">
        <f>S64+S65+S66+S67</f>
      </c>
      <c r="T68" s="22">
        <f>T64+T65+T66+T67</f>
      </c>
      <c r="U68" s="22">
        <f>U64+U65+U66+U67</f>
      </c>
      <c r="V68" s="22">
        <f>V64+V65+V66+V67</f>
      </c>
      <c r="W68" s="22">
        <f>W64+W65+W66+W67</f>
      </c>
      <c r="X68" s="22">
        <f>X64+X65+X66+X67</f>
      </c>
      <c r="Y68" s="22">
        <f>Y64+Y65+Y66+Y67</f>
      </c>
      <c r="Z68" s="22">
        <f>Z64+Z65+Z66+Z67</f>
      </c>
      <c r="AA68" s="22">
        <f>AA64+AA65+AA66+AA67</f>
      </c>
      <c r="AB68" s="22">
        <f>AB64+AB65+AB66+AB67</f>
      </c>
      <c r="AC68" s="22">
        <f>AC64+AC65+AC66+AC67</f>
      </c>
      <c r="AD68" s="22">
        <f>AD64+AD65+AD66+AD67</f>
      </c>
      <c r="AE68" s="22">
        <f>AE64+AE65+AE66+AE67</f>
      </c>
      <c r="AF68" s="22">
        <f>AF64+AF65+AF66+AF67</f>
      </c>
      <c r="AG68" s="22">
        <f>AG64+AG65+AG66+AG67</f>
      </c>
      <c r="AH68" s="22">
        <f>AH64+AH65+AH66+AH67</f>
      </c>
      <c r="AI68" s="22">
        <f>AI64+AI65+AI66+AI67</f>
      </c>
      <c r="AJ68" s="22">
        <f>AJ64+AJ65+AJ66+AJ67</f>
      </c>
      <c r="AK68" s="22">
        <f>AK64+AK65+AK66+AK67</f>
      </c>
      <c r="AL68" s="22">
        <f>AL64+AL65+AL66+AL67</f>
      </c>
      <c r="AM68" s="23"/>
    </row>
    <row r="70" ht="12.75" customHeight="1" spans="2:39" x14ac:dyDescent="0.25">
      <c r="B70" s="11" t="s">
        <v>47</v>
      </c>
      <c r="C70" s="12"/>
      <c r="D70" s="12"/>
      <c r="E70" s="12"/>
      <c r="F70" s="12"/>
      <c r="G70" s="52" t="s">
        <v>7</v>
      </c>
      <c r="H70" s="52" t="s">
        <v>8</v>
      </c>
      <c r="I70" s="52" t="s">
        <v>9</v>
      </c>
      <c r="J70" s="52" t="s">
        <v>10</v>
      </c>
      <c r="K70" s="52" t="s">
        <v>11</v>
      </c>
      <c r="L70" s="52" t="s">
        <v>12</v>
      </c>
      <c r="M70" s="52" t="s">
        <v>13</v>
      </c>
      <c r="N70" s="52" t="s">
        <v>14</v>
      </c>
      <c r="O70" s="52" t="s">
        <v>15</v>
      </c>
      <c r="P70" s="52" t="s">
        <v>16</v>
      </c>
      <c r="Q70" s="52" t="s">
        <v>17</v>
      </c>
      <c r="R70" s="52" t="s">
        <v>18</v>
      </c>
      <c r="S70" s="52" t="s">
        <v>19</v>
      </c>
      <c r="T70" s="52" t="s">
        <v>20</v>
      </c>
      <c r="U70" s="52" t="s">
        <v>21</v>
      </c>
      <c r="V70" s="52" t="s">
        <v>22</v>
      </c>
      <c r="W70" s="52" t="s">
        <v>23</v>
      </c>
      <c r="X70" s="52" t="s">
        <v>24</v>
      </c>
      <c r="Y70" s="52" t="s">
        <v>25</v>
      </c>
      <c r="Z70" s="52" t="s">
        <v>26</v>
      </c>
      <c r="AA70" s="52" t="s">
        <v>27</v>
      </c>
      <c r="AB70" s="52" t="s">
        <v>28</v>
      </c>
      <c r="AC70" s="52" t="s">
        <v>29</v>
      </c>
      <c r="AD70" s="52" t="s">
        <v>30</v>
      </c>
      <c r="AE70" s="52" t="s">
        <v>31</v>
      </c>
      <c r="AF70" s="52" t="s">
        <v>32</v>
      </c>
      <c r="AG70" s="52" t="s">
        <v>33</v>
      </c>
      <c r="AH70" s="52" t="s">
        <v>34</v>
      </c>
      <c r="AI70" s="52" t="s">
        <v>35</v>
      </c>
      <c r="AJ70" s="52" t="s">
        <v>36</v>
      </c>
      <c r="AK70" s="52" t="s">
        <v>37</v>
      </c>
      <c r="AL70" s="52" t="s">
        <v>38</v>
      </c>
      <c r="AM70" s="15"/>
    </row>
    <row r="71" ht="12.75" customHeight="1" spans="2:39" x14ac:dyDescent="0.25">
      <c r="B71" s="16"/>
      <c r="C71" s="17"/>
      <c r="D71" s="17" t="s">
        <v>41</v>
      </c>
      <c r="E71" s="17"/>
      <c r="F71" s="17"/>
      <c r="G71" s="24">
        <f>G64-G57</f>
      </c>
      <c r="H71" s="24">
        <f>H64-H57</f>
      </c>
      <c r="I71" s="24">
        <f>I64-I57</f>
      </c>
      <c r="J71" s="24">
        <f>J64-J57</f>
      </c>
      <c r="K71" s="24">
        <f>K64-K57</f>
      </c>
      <c r="L71" s="24">
        <f>L64-L57</f>
      </c>
      <c r="M71" s="24">
        <f>M64-M57</f>
      </c>
      <c r="N71" s="24">
        <f>N64-N57</f>
      </c>
      <c r="O71" s="24">
        <f>O64-O57</f>
      </c>
      <c r="P71" s="24">
        <f>P64-P57</f>
      </c>
      <c r="Q71" s="24">
        <f>Q64-Q57</f>
      </c>
      <c r="R71" s="24">
        <f>R64-R57</f>
      </c>
      <c r="S71" s="24">
        <f>S64-S57</f>
      </c>
      <c r="T71" s="24">
        <f>T64-T57</f>
      </c>
      <c r="U71" s="24">
        <f>U64-U57</f>
      </c>
      <c r="V71" s="24">
        <f>V64-V57</f>
      </c>
      <c r="W71" s="24">
        <f>W64-W57</f>
      </c>
      <c r="X71" s="24">
        <f>X64-X57</f>
      </c>
      <c r="Y71" s="24">
        <f>Y64-Y57</f>
      </c>
      <c r="Z71" s="24">
        <f>Z64-Z57</f>
      </c>
      <c r="AA71" s="24">
        <f>AA64-AA57</f>
      </c>
      <c r="AB71" s="24">
        <f>AB64-AB57</f>
      </c>
      <c r="AC71" s="24">
        <f>AC64-AC57</f>
      </c>
      <c r="AD71" s="24">
        <f>AD64-AD57</f>
      </c>
      <c r="AE71" s="24">
        <f>AE64-AE57</f>
      </c>
      <c r="AF71" s="24">
        <f>AF64-AF57</f>
      </c>
      <c r="AG71" s="24">
        <f>AG64-AG57</f>
      </c>
      <c r="AH71" s="24">
        <f>AH64-AH57</f>
      </c>
      <c r="AI71" s="24">
        <f>AI64-AI57</f>
      </c>
      <c r="AJ71" s="24">
        <f>AJ64-AJ57</f>
      </c>
      <c r="AK71" s="24">
        <f>AK64-AK57</f>
      </c>
      <c r="AL71" s="24">
        <f>AL64-AL57</f>
      </c>
      <c r="AM71" s="19"/>
    </row>
    <row r="72" ht="12.75" customHeight="1" spans="2:39" x14ac:dyDescent="0.25">
      <c r="B72" s="16"/>
      <c r="C72" s="17"/>
      <c r="D72" s="17" t="s">
        <v>42</v>
      </c>
      <c r="E72" s="17"/>
      <c r="F72" s="17"/>
      <c r="G72" s="24">
        <f>G65-G58</f>
      </c>
      <c r="H72" s="24">
        <f>H65-H58</f>
      </c>
      <c r="I72" s="24">
        <f>I65-I58</f>
      </c>
      <c r="J72" s="24">
        <f>J65-J58</f>
      </c>
      <c r="K72" s="24">
        <f>K65-K58</f>
      </c>
      <c r="L72" s="24">
        <f>L65-L58</f>
      </c>
      <c r="M72" s="24">
        <f>M65-M58</f>
      </c>
      <c r="N72" s="24">
        <f>N65-N58</f>
      </c>
      <c r="O72" s="24">
        <f>O65-O58</f>
      </c>
      <c r="P72" s="24">
        <f>P65-P58</f>
      </c>
      <c r="Q72" s="24">
        <f>Q65-Q58</f>
      </c>
      <c r="R72" s="24">
        <f>R65-R58</f>
      </c>
      <c r="S72" s="24">
        <f>S65-S58</f>
      </c>
      <c r="T72" s="24">
        <f>T65-T58</f>
      </c>
      <c r="U72" s="24">
        <f>U65-U58</f>
      </c>
      <c r="V72" s="24">
        <f>V65-V58</f>
      </c>
      <c r="W72" s="24">
        <f>W65-W58</f>
      </c>
      <c r="X72" s="24">
        <f>X65-X58</f>
      </c>
      <c r="Y72" s="24">
        <f>Y65-Y58</f>
      </c>
      <c r="Z72" s="24">
        <f>Z65-Z58</f>
      </c>
      <c r="AA72" s="24">
        <f>AA65-AA58</f>
      </c>
      <c r="AB72" s="24">
        <f>AB65-AB58</f>
      </c>
      <c r="AC72" s="24">
        <f>AC65-AC58</f>
      </c>
      <c r="AD72" s="24">
        <f>AD65-AD58</f>
      </c>
      <c r="AE72" s="24">
        <f>AE65-AE58</f>
      </c>
      <c r="AF72" s="24">
        <f>AF65-AF58</f>
      </c>
      <c r="AG72" s="24">
        <f>AG65-AG58</f>
      </c>
      <c r="AH72" s="24">
        <f>AH65-AH58</f>
      </c>
      <c r="AI72" s="24">
        <f>AI65-AI58</f>
      </c>
      <c r="AJ72" s="24">
        <f>AJ65-AJ58</f>
      </c>
      <c r="AK72" s="24">
        <f>AK65-AK58</f>
      </c>
      <c r="AL72" s="24">
        <f>AL65-AL58</f>
      </c>
      <c r="AM72" s="19"/>
    </row>
    <row r="73" ht="12.75" customHeight="1" spans="2:39" x14ac:dyDescent="0.25">
      <c r="B73" s="16"/>
      <c r="C73" s="17"/>
      <c r="D73" s="17" t="s">
        <v>43</v>
      </c>
      <c r="E73" s="17"/>
      <c r="F73" s="17"/>
      <c r="G73" s="24">
        <f>G66-G59</f>
      </c>
      <c r="H73" s="24">
        <f>H66-H59</f>
      </c>
      <c r="I73" s="24">
        <f>I66-I59</f>
      </c>
      <c r="J73" s="24">
        <f>J66-J59</f>
      </c>
      <c r="K73" s="24">
        <f>K66-K59</f>
      </c>
      <c r="L73" s="24">
        <f>L66-L59</f>
      </c>
      <c r="M73" s="24">
        <f>M66-M59</f>
      </c>
      <c r="N73" s="24">
        <f>N66-N59</f>
      </c>
      <c r="O73" s="24">
        <f>O66-O59</f>
      </c>
      <c r="P73" s="24">
        <f>P66-P59</f>
      </c>
      <c r="Q73" s="24">
        <f>Q66-Q59</f>
      </c>
      <c r="R73" s="24">
        <f>R66-R59</f>
      </c>
      <c r="S73" s="24">
        <f>S66-S59</f>
      </c>
      <c r="T73" s="24">
        <f>T66-T59</f>
      </c>
      <c r="U73" s="24">
        <f>U66-U59</f>
      </c>
      <c r="V73" s="24">
        <f>V66-V59</f>
      </c>
      <c r="W73" s="24">
        <f>W66-W59</f>
      </c>
      <c r="X73" s="24">
        <f>X66-X59</f>
      </c>
      <c r="Y73" s="24">
        <f>Y66-Y59</f>
      </c>
      <c r="Z73" s="24">
        <f>Z66-Z59</f>
      </c>
      <c r="AA73" s="24">
        <f>AA66-AA59</f>
      </c>
      <c r="AB73" s="24">
        <f>AB66-AB59</f>
      </c>
      <c r="AC73" s="24">
        <f>AC66-AC59</f>
      </c>
      <c r="AD73" s="24">
        <f>AD66-AD59</f>
      </c>
      <c r="AE73" s="24">
        <f>AE66-AE59</f>
      </c>
      <c r="AF73" s="24">
        <f>AF66-AF59</f>
      </c>
      <c r="AG73" s="24">
        <f>AG66-AG59</f>
      </c>
      <c r="AH73" s="24">
        <f>AH66-AH59</f>
      </c>
      <c r="AI73" s="24">
        <f>AI66-AI59</f>
      </c>
      <c r="AJ73" s="24">
        <f>AJ66-AJ59</f>
      </c>
      <c r="AK73" s="24">
        <f>AK66-AK59</f>
      </c>
      <c r="AL73" s="24">
        <f>AL66-AL59</f>
      </c>
      <c r="AM73" s="19"/>
    </row>
    <row r="74" ht="12.75" customHeight="1" spans="2:39" x14ac:dyDescent="0.25">
      <c r="B74" s="16"/>
      <c r="C74" s="17"/>
      <c r="D74" s="17" t="s">
        <v>44</v>
      </c>
      <c r="E74" s="17"/>
      <c r="F74" s="17"/>
      <c r="G74" s="24">
        <f>G67-G60</f>
      </c>
      <c r="H74" s="24">
        <f>H67-H60</f>
      </c>
      <c r="I74" s="24">
        <f>I67-I60</f>
      </c>
      <c r="J74" s="24">
        <f>J67-J60</f>
      </c>
      <c r="K74" s="24">
        <f>K67-K60</f>
      </c>
      <c r="L74" s="24">
        <f>L67-L60</f>
      </c>
      <c r="M74" s="24">
        <f>M67-M60</f>
      </c>
      <c r="N74" s="24">
        <f>N67-N60</f>
      </c>
      <c r="O74" s="24">
        <f>O67-O60</f>
      </c>
      <c r="P74" s="24">
        <f>P67-P60</f>
      </c>
      <c r="Q74" s="24">
        <f>Q67-Q60</f>
      </c>
      <c r="R74" s="24">
        <f>R67-R60</f>
      </c>
      <c r="S74" s="24">
        <f>S67-S60</f>
      </c>
      <c r="T74" s="24">
        <f>T67-T60</f>
      </c>
      <c r="U74" s="24">
        <f>U67-U60</f>
      </c>
      <c r="V74" s="24">
        <f>V67-V60</f>
      </c>
      <c r="W74" s="24">
        <f>W67-W60</f>
      </c>
      <c r="X74" s="24">
        <f>X67-X60</f>
      </c>
      <c r="Y74" s="24">
        <f>Y67-Y60</f>
      </c>
      <c r="Z74" s="24">
        <f>Z67-Z60</f>
      </c>
      <c r="AA74" s="24">
        <f>AA67-AA60</f>
      </c>
      <c r="AB74" s="24">
        <f>AB67-AB60</f>
      </c>
      <c r="AC74" s="24">
        <f>AC67-AC60</f>
      </c>
      <c r="AD74" s="24">
        <f>AD67-AD60</f>
      </c>
      <c r="AE74" s="24">
        <f>AE67-AE60</f>
      </c>
      <c r="AF74" s="24">
        <f>AF67-AF60</f>
      </c>
      <c r="AG74" s="24">
        <f>AG67-AG60</f>
      </c>
      <c r="AH74" s="24">
        <f>AH67-AH60</f>
      </c>
      <c r="AI74" s="24">
        <f>AI67-AI60</f>
      </c>
      <c r="AJ74" s="24">
        <f>AJ67-AJ60</f>
      </c>
      <c r="AK74" s="24">
        <f>AK67-AK60</f>
      </c>
      <c r="AL74" s="24">
        <f>AL67-AL60</f>
      </c>
      <c r="AM74" s="19"/>
    </row>
    <row r="75" ht="12.75" customHeight="1" spans="2:39" x14ac:dyDescent="0.25">
      <c r="B75" s="20"/>
      <c r="C75" s="21"/>
      <c r="D75" s="21" t="s">
        <v>45</v>
      </c>
      <c r="E75" s="21"/>
      <c r="F75" s="21"/>
      <c r="G75" s="25">
        <f>G71+G72+G73+G74</f>
      </c>
      <c r="H75" s="25">
        <f>H71+H72+H73+H74</f>
      </c>
      <c r="I75" s="25">
        <f>I71+I72+I73+I74</f>
      </c>
      <c r="J75" s="25">
        <f>J71+J72+J73+J74</f>
      </c>
      <c r="K75" s="25">
        <f>K71+K72+K73+K74</f>
      </c>
      <c r="L75" s="25">
        <f>L71+L72+L73+L74</f>
      </c>
      <c r="M75" s="25">
        <f>M71+M72+M73+M74</f>
      </c>
      <c r="N75" s="25">
        <f>N71+N72+N73+N74</f>
      </c>
      <c r="O75" s="25">
        <f>O71+O72+O73+O74</f>
      </c>
      <c r="P75" s="25">
        <f>P71+P72+P73+P74</f>
      </c>
      <c r="Q75" s="25">
        <f>Q71+Q72+Q73+Q74</f>
      </c>
      <c r="R75" s="25">
        <f>R71+R72+R73+R74</f>
      </c>
      <c r="S75" s="25">
        <f>S71+S72+S73+S74</f>
      </c>
      <c r="T75" s="25">
        <f>T71+T72+T73+T74</f>
      </c>
      <c r="U75" s="25">
        <f>U71+U72+U73+U74</f>
      </c>
      <c r="V75" s="25">
        <f>V71+V72+V73+V74</f>
      </c>
      <c r="W75" s="25">
        <f>W71+W72+W73+W74</f>
      </c>
      <c r="X75" s="25">
        <f>X71+X72+X73+X74</f>
      </c>
      <c r="Y75" s="25">
        <f>Y71+Y72+Y73+Y74</f>
      </c>
      <c r="Z75" s="25">
        <f>Z71+Z72+Z73+Z74</f>
      </c>
      <c r="AA75" s="25">
        <f>AA71+AA72+AA73+AA74</f>
      </c>
      <c r="AB75" s="25">
        <f>AB71+AB72+AB73+AB74</f>
      </c>
      <c r="AC75" s="25">
        <f>AC71+AC72+AC73+AC74</f>
      </c>
      <c r="AD75" s="25">
        <f>AD71+AD72+AD73+AD74</f>
      </c>
      <c r="AE75" s="25">
        <f>AE71+AE72+AE73+AE74</f>
      </c>
      <c r="AF75" s="25">
        <f>AF71+AF72+AF73+AF74</f>
      </c>
      <c r="AG75" s="25">
        <f>AG71+AG72+AG73+AG74</f>
      </c>
      <c r="AH75" s="25">
        <f>AH71+AH72+AH73+AH74</f>
      </c>
      <c r="AI75" s="25">
        <f>AI71+AI72+AI73+AI74</f>
      </c>
      <c r="AJ75" s="25">
        <f>AJ71+AJ72+AJ73+AJ74</f>
      </c>
      <c r="AK75" s="25">
        <f>AK71+AK72+AK73+AK74</f>
      </c>
      <c r="AL75" s="25">
        <f>AL71+AL72+AL73+AL74</f>
      </c>
      <c r="AM75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9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2756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2757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6">
        <f>411.70+612.79+301.47+1644.30</f>
        <v>2970.26</v>
      </c>
      <c r="U9" s="36">
        <f>1839.66+438.44+352.31+221.63+381.03+1741.84+669.72+94.30+346.93</f>
        <v>6085.860000000001</v>
      </c>
      <c r="V9" s="36">
        <f>563.74+205.18+929.49+134.66+73.66+132.90+1115.78+233.38+1098.15+244.06+248.06+499.45</f>
        <v>5478.510000000001</v>
      </c>
      <c r="W9" s="36">
        <f>371.45+1266.98+400.46+295.19+531.15+163.55</f>
        <v>3028.78</v>
      </c>
      <c r="X9" s="36">
        <f>68.57+295.19+846.35+287.12</f>
        <v>1497.23</v>
      </c>
      <c r="Y9" s="36">
        <f>1171.96+81.99+84.09+574.52+248.54</f>
        <v>2161.1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4">
        <f>SUM(E9:AI9)</f>
      </c>
      <c r="AK9" s="35"/>
    </row>
    <row r="10" ht="12.75" customHeight="1" spans="2:37" x14ac:dyDescent="0.25">
      <c r="B10" s="3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</row>
    <row r="11" ht="12.75" customHeight="1" spans="2:37" x14ac:dyDescent="0.25">
      <c r="B11" s="20" t="s">
        <v>64</v>
      </c>
      <c r="C11" s="21"/>
      <c r="D11" s="21"/>
      <c r="E11" s="22">
        <f>SUM(E9:E9)</f>
      </c>
      <c r="F11" s="22">
        <f>SUM(F9:F9)</f>
      </c>
      <c r="G11" s="22">
        <f>SUM(G9:G9)</f>
      </c>
      <c r="H11" s="22">
        <f>SUM(H9:H9)</f>
      </c>
      <c r="I11" s="22">
        <f>SUM(I9:I9)</f>
      </c>
      <c r="J11" s="22">
        <f>SUM(J9:J9)</f>
      </c>
      <c r="K11" s="22">
        <f>SUM(K9:K9)</f>
      </c>
      <c r="L11" s="22">
        <f>SUM(L9:L9)</f>
      </c>
      <c r="M11" s="22">
        <f>SUM(M9:M9)</f>
      </c>
      <c r="N11" s="22">
        <f>SUM(N9:N9)</f>
      </c>
      <c r="O11" s="22">
        <f>SUM(O9:O9)</f>
      </c>
      <c r="P11" s="22">
        <f>SUM(P9:P9)</f>
      </c>
      <c r="Q11" s="22">
        <f>SUM(Q9:Q9)</f>
      </c>
      <c r="R11" s="22">
        <f>SUM(R9:R9)</f>
      </c>
      <c r="S11" s="22">
        <f>SUM(S9:S9)</f>
      </c>
      <c r="T11" s="22">
        <f>SUM(T9:T9)</f>
      </c>
      <c r="U11" s="22">
        <f>SUM(U9:U9)</f>
      </c>
      <c r="V11" s="22">
        <f>SUM(V9:V9)</f>
      </c>
      <c r="W11" s="22">
        <f>SUM(W9:W9)</f>
      </c>
      <c r="X11" s="22">
        <f>SUM(X9:X9)</f>
      </c>
      <c r="Y11" s="22">
        <f>SUM(Y9:Y9)</f>
      </c>
      <c r="Z11" s="22">
        <f>SUM(Z9:Z9)</f>
      </c>
      <c r="AA11" s="22">
        <f>SUM(AA9:AA9)</f>
      </c>
      <c r="AB11" s="22">
        <f>SUM(AB9:AB9)</f>
      </c>
      <c r="AC11" s="22">
        <f>SUM(AC9:AC9)</f>
      </c>
      <c r="AD11" s="22">
        <f>SUM(AD9:AD9)</f>
      </c>
      <c r="AE11" s="22">
        <f>SUM(AE9:AE9)</f>
      </c>
      <c r="AF11" s="22">
        <f>SUM(AF9:AF9)</f>
      </c>
      <c r="AG11" s="22">
        <f>SUM(AG9:AG9)</f>
      </c>
      <c r="AH11" s="22">
        <f>SUM(AH9:AH9)</f>
      </c>
      <c r="AI11" s="22">
        <f>SUM(AI9:AI9)</f>
      </c>
      <c r="AJ11" s="22">
        <f>SUM(AJ9:AJ9)</f>
      </c>
      <c r="AK11" s="23"/>
    </row>
    <row r="13" ht="12.75" customHeight="1" spans="2:37" x14ac:dyDescent="0.25">
      <c r="B13" s="26" t="s">
        <v>42</v>
      </c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</row>
    <row r="14" ht="12.75" customHeight="1" spans="2:37" x14ac:dyDescent="0.25">
      <c r="B14" s="30" t="s">
        <v>42</v>
      </c>
      <c r="C14" s="31" t="s">
        <v>3</v>
      </c>
      <c r="D14" s="32" t="s">
        <v>2758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6">
        <f>506.01+560.74</f>
        <v>1066.75</v>
      </c>
      <c r="U14" s="36">
        <f>650.84+721.22</f>
        <v>1372.06</v>
      </c>
      <c r="V14" s="36">
        <f>726.98+967.92</f>
        <v>1694.9</v>
      </c>
      <c r="W14" s="33">
        <v>774.35</v>
      </c>
      <c r="X14" s="33">
        <v>692.09</v>
      </c>
      <c r="Y14" s="33">
        <v>692.06</v>
      </c>
      <c r="Z14" s="33">
        <v>869.37</v>
      </c>
      <c r="AA14" s="33">
        <v>758.13</v>
      </c>
      <c r="AB14" s="33">
        <v>822.87</v>
      </c>
      <c r="AC14" s="33">
        <v>749.92</v>
      </c>
      <c r="AD14" s="33">
        <v>698.19</v>
      </c>
      <c r="AE14" s="33">
        <v>450.34</v>
      </c>
      <c r="AF14" s="33">
        <v>708.6</v>
      </c>
      <c r="AG14" s="33">
        <v>878.6</v>
      </c>
      <c r="AH14" s="33">
        <v>839.64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2759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6">
        <f>1799.41+1994.01</f>
        <v>3793.42</v>
      </c>
      <c r="U15" s="36">
        <f>1833.79+2032.10</f>
        <v>3865.89</v>
      </c>
      <c r="V15" s="36">
        <f>2852.17+1873.14</f>
        <v>4725.31</v>
      </c>
      <c r="W15" s="33">
        <v>2108.22</v>
      </c>
      <c r="X15" s="33">
        <v>2253.37</v>
      </c>
      <c r="Y15" s="33">
        <v>2256.47</v>
      </c>
      <c r="Z15" s="33">
        <v>2449.85</v>
      </c>
      <c r="AA15" s="33">
        <v>2287.05</v>
      </c>
      <c r="AB15" s="33">
        <v>2055.54</v>
      </c>
      <c r="AC15" s="33">
        <v>1787.42</v>
      </c>
      <c r="AD15" s="33">
        <v>1204.18</v>
      </c>
      <c r="AE15" s="33">
        <v>1069.21</v>
      </c>
      <c r="AF15" s="33">
        <v>1560.48</v>
      </c>
      <c r="AG15" s="33">
        <v>1648.49</v>
      </c>
      <c r="AH15" s="33">
        <v>1381.18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2760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>
        <v>33.25</v>
      </c>
      <c r="U16" s="33">
        <v>36.04</v>
      </c>
      <c r="V16" s="33">
        <v>45.75</v>
      </c>
      <c r="W16" s="33">
        <v>58.69</v>
      </c>
      <c r="X16" s="33">
        <v>66.96</v>
      </c>
      <c r="Y16" s="33">
        <v>78.84</v>
      </c>
      <c r="Z16" s="33">
        <v>74</v>
      </c>
      <c r="AA16" s="33">
        <v>75.32</v>
      </c>
      <c r="AB16" s="33">
        <v>68.48</v>
      </c>
      <c r="AC16" s="33">
        <v>69.57</v>
      </c>
      <c r="AD16" s="33">
        <v>59.62</v>
      </c>
      <c r="AE16" s="33">
        <v>52.58</v>
      </c>
      <c r="AF16" s="33">
        <v>39.25</v>
      </c>
      <c r="AG16" s="33">
        <v>33.25</v>
      </c>
      <c r="AH16" s="33">
        <v>40.75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2761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6">
        <f>1975.73+1782.92</f>
        <v>3758.65</v>
      </c>
      <c r="U17" s="36">
        <f>1778.16+1970.45</f>
        <v>3748.61</v>
      </c>
      <c r="V17" s="36">
        <f>1975.99+2770.73</f>
        <v>4746.72</v>
      </c>
      <c r="W17" s="33">
        <v>1596.91</v>
      </c>
      <c r="X17" s="33">
        <v>1469.94</v>
      </c>
      <c r="Y17" s="33">
        <v>1945.96</v>
      </c>
      <c r="Z17" s="33">
        <v>2065.87</v>
      </c>
      <c r="AA17" s="33">
        <v>2200.33</v>
      </c>
      <c r="AB17" s="33">
        <v>2019.83</v>
      </c>
      <c r="AC17" s="33">
        <v>1393.84</v>
      </c>
      <c r="AD17" s="33">
        <v>1125.68</v>
      </c>
      <c r="AE17" s="33">
        <v>1365</v>
      </c>
      <c r="AF17" s="33">
        <v>1725.63</v>
      </c>
      <c r="AG17" s="33">
        <v>1809.19</v>
      </c>
      <c r="AH17" s="33">
        <v>1625.61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2762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6">
        <f>822.08+741.85</f>
        <v>1563.93</v>
      </c>
      <c r="U18" s="36">
        <f>754.92+836.54</f>
        <v>1591.46</v>
      </c>
      <c r="V18" s="36">
        <f>1325.45+929.18</f>
        <v>2254.63</v>
      </c>
      <c r="W18" s="33">
        <v>951.76</v>
      </c>
      <c r="X18" s="33">
        <v>1062.3</v>
      </c>
      <c r="Y18" s="33">
        <v>1059.5</v>
      </c>
      <c r="Z18" s="33">
        <v>1088.13</v>
      </c>
      <c r="AA18" s="33">
        <v>975.53</v>
      </c>
      <c r="AB18" s="33">
        <v>914.49</v>
      </c>
      <c r="AC18" s="33">
        <v>862.54</v>
      </c>
      <c r="AD18" s="33">
        <v>708.24</v>
      </c>
      <c r="AE18" s="33">
        <v>730.15</v>
      </c>
      <c r="AF18" s="33">
        <v>902.64</v>
      </c>
      <c r="AG18" s="33">
        <v>806.23</v>
      </c>
      <c r="AH18" s="33">
        <v>762.65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2763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32</v>
      </c>
      <c r="U19" s="33">
        <v>41.06</v>
      </c>
      <c r="V19" s="33">
        <v>24.48</v>
      </c>
      <c r="W19" s="33">
        <v>26.21</v>
      </c>
      <c r="X19" s="33">
        <v>25.25</v>
      </c>
      <c r="Y19" s="33">
        <v>18.61</v>
      </c>
      <c r="Z19" s="33">
        <v>36.6</v>
      </c>
      <c r="AA19" s="33">
        <v>25.98</v>
      </c>
      <c r="AB19" s="33">
        <v>24.9</v>
      </c>
      <c r="AC19" s="33">
        <v>25.2</v>
      </c>
      <c r="AD19" s="33">
        <v>25.3</v>
      </c>
      <c r="AE19" s="33">
        <v>24.73</v>
      </c>
      <c r="AF19" s="33">
        <v>26.57</v>
      </c>
      <c r="AG19" s="33">
        <v>24.81</v>
      </c>
      <c r="AH19" s="33">
        <v>24.98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2764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6">
        <f>-122.22+1252.51</f>
        <v>1130.29</v>
      </c>
      <c r="U20" s="36">
        <f>-135.15+1384.85</f>
        <v>1249.6999999999998</v>
      </c>
      <c r="V20" s="36">
        <f>644.00+1335.04</f>
        <v>1979.04</v>
      </c>
      <c r="W20" s="33">
        <v>1461.36</v>
      </c>
      <c r="X20" s="33">
        <v>1613.14</v>
      </c>
      <c r="Y20" s="33">
        <v>1761.64</v>
      </c>
      <c r="Z20" s="33">
        <v>1933.75</v>
      </c>
      <c r="AA20" s="33">
        <v>2067.18</v>
      </c>
      <c r="AB20" s="33">
        <v>1890.99</v>
      </c>
      <c r="AC20" s="33">
        <v>1731.37</v>
      </c>
      <c r="AD20" s="33">
        <v>1336.06</v>
      </c>
      <c r="AE20" s="33">
        <v>1104.42</v>
      </c>
      <c r="AF20" s="33">
        <v>1220.96</v>
      </c>
      <c r="AG20" s="33">
        <v>1141.87</v>
      </c>
      <c r="AH20" s="33">
        <v>1095.59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2765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>
        <v>714.82</v>
      </c>
      <c r="U21" s="33">
        <v>871.76</v>
      </c>
      <c r="V21" s="33">
        <v>770.36</v>
      </c>
      <c r="W21" s="33">
        <v>689.18</v>
      </c>
      <c r="X21" s="33">
        <v>429.83</v>
      </c>
      <c r="Y21" s="33">
        <v>486.16</v>
      </c>
      <c r="Z21" s="33">
        <v>770.36</v>
      </c>
      <c r="AA21" s="33">
        <v>646.64</v>
      </c>
      <c r="AB21" s="33">
        <v>419.09</v>
      </c>
      <c r="AC21" s="33">
        <v>566.57</v>
      </c>
      <c r="AD21" s="33">
        <v>702.53</v>
      </c>
      <c r="AE21" s="33">
        <v>807.44</v>
      </c>
      <c r="AF21" s="33">
        <v>883.35</v>
      </c>
      <c r="AG21" s="33">
        <v>617.37</v>
      </c>
      <c r="AH21" s="33">
        <v>743.29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2766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6">
        <f>368.21+408.02</f>
        <v>776.23</v>
      </c>
      <c r="U22" s="36">
        <f>407.44+451.50</f>
        <v>858.94</v>
      </c>
      <c r="V22" s="36">
        <f>687.11+460.86</f>
        <v>1147.97</v>
      </c>
      <c r="W22" s="33">
        <v>457.18</v>
      </c>
      <c r="X22" s="33">
        <v>523.34</v>
      </c>
      <c r="Y22" s="33">
        <v>484.61</v>
      </c>
      <c r="Z22" s="33">
        <v>484.11</v>
      </c>
      <c r="AA22" s="33">
        <v>440.16</v>
      </c>
      <c r="AB22" s="33">
        <v>327.12</v>
      </c>
      <c r="AC22" s="33">
        <v>296.81</v>
      </c>
      <c r="AD22" s="33">
        <v>151.78</v>
      </c>
      <c r="AE22" s="33">
        <v>260.25</v>
      </c>
      <c r="AF22" s="33">
        <v>383.95</v>
      </c>
      <c r="AG22" s="33">
        <v>427.81</v>
      </c>
      <c r="AH22" s="33">
        <v>390.22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2767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6">
        <f>2443.29+2204.85</f>
        <v>4648.139999999999</v>
      </c>
      <c r="U23" s="36">
        <f>2461.71+2727.92</f>
        <v>5189.63</v>
      </c>
      <c r="V23" s="36">
        <f>2800.40+4058.41</f>
        <v>6858.8099999999995</v>
      </c>
      <c r="W23" s="33">
        <v>3289.63</v>
      </c>
      <c r="X23" s="33">
        <v>3122.03</v>
      </c>
      <c r="Y23" s="33">
        <v>3245.35</v>
      </c>
      <c r="Z23" s="33">
        <v>3939.71</v>
      </c>
      <c r="AA23" s="33">
        <v>3756.39</v>
      </c>
      <c r="AB23" s="33">
        <v>3252.7</v>
      </c>
      <c r="AC23" s="33">
        <v>2937.5</v>
      </c>
      <c r="AD23" s="33">
        <v>1988.99</v>
      </c>
      <c r="AE23" s="33">
        <v>1834.87</v>
      </c>
      <c r="AF23" s="33">
        <v>2377.35</v>
      </c>
      <c r="AG23" s="33">
        <v>2571.34</v>
      </c>
      <c r="AH23" s="33">
        <v>2582.98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2768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>
        <v>382.19</v>
      </c>
      <c r="U24" s="33">
        <v>434.13</v>
      </c>
      <c r="V24" s="33">
        <v>515.67</v>
      </c>
      <c r="W24" s="33">
        <v>681.08</v>
      </c>
      <c r="X24" s="33">
        <v>831.7</v>
      </c>
      <c r="Y24" s="33">
        <v>759.38</v>
      </c>
      <c r="Z24" s="33">
        <v>949.63</v>
      </c>
      <c r="AA24" s="33">
        <v>720.65</v>
      </c>
      <c r="AB24" s="33">
        <v>358.06</v>
      </c>
      <c r="AC24" s="33">
        <v>423.06</v>
      </c>
      <c r="AD24" s="33">
        <v>291.99</v>
      </c>
      <c r="AE24" s="33">
        <v>271.58</v>
      </c>
      <c r="AF24" s="33">
        <v>340.86</v>
      </c>
      <c r="AG24" s="33">
        <v>357.12</v>
      </c>
      <c r="AH24" s="33">
        <v>332.47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2769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v>1271.64</v>
      </c>
      <c r="U25" s="33">
        <v>1090.15</v>
      </c>
      <c r="V25" s="33">
        <v>1070.21</v>
      </c>
      <c r="W25" s="33">
        <v>1332.98</v>
      </c>
      <c r="X25" s="33">
        <v>1718.13</v>
      </c>
      <c r="Y25" s="33">
        <v>2013.34</v>
      </c>
      <c r="Z25" s="33">
        <v>2250.91</v>
      </c>
      <c r="AA25" s="33">
        <v>2155.87</v>
      </c>
      <c r="AB25" s="33">
        <v>1817.36</v>
      </c>
      <c r="AC25" s="33">
        <v>1586.27</v>
      </c>
      <c r="AD25" s="33">
        <v>1008.51</v>
      </c>
      <c r="AE25" s="33">
        <v>914.67</v>
      </c>
      <c r="AF25" s="33">
        <v>1090.51</v>
      </c>
      <c r="AG25" s="33">
        <v>1088.54</v>
      </c>
      <c r="AH25" s="33">
        <v>843.41</v>
      </c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2770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6">
        <f>1350.26+1496.29</f>
        <v>2846.55</v>
      </c>
      <c r="U26" s="36">
        <f>1405.47+1557.45</f>
        <v>2962.92</v>
      </c>
      <c r="V26" s="36">
        <f>2336.79+1534.36</f>
        <v>3871.1499999999996</v>
      </c>
      <c r="W26" s="33">
        <v>1906.12</v>
      </c>
      <c r="X26" s="33">
        <v>2139.95</v>
      </c>
      <c r="Y26" s="33">
        <v>2493.54</v>
      </c>
      <c r="Z26" s="33">
        <v>2753.88</v>
      </c>
      <c r="AA26" s="33">
        <v>2753.98</v>
      </c>
      <c r="AB26" s="33">
        <v>2331.84</v>
      </c>
      <c r="AC26" s="33">
        <v>2101.45</v>
      </c>
      <c r="AD26" s="33">
        <v>1564.07</v>
      </c>
      <c r="AE26" s="33">
        <v>1492.55</v>
      </c>
      <c r="AF26" s="33">
        <v>1505.41</v>
      </c>
      <c r="AG26" s="33">
        <v>1196.73</v>
      </c>
      <c r="AH26" s="33">
        <v>1083.79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2771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6">
        <f>2421.40+2185.09</f>
        <v>4606.49</v>
      </c>
      <c r="U27" s="36">
        <f>2511.24+2266.17</f>
        <v>4777.41</v>
      </c>
      <c r="V27" s="36">
        <f>2423.58+3543.65</f>
        <v>5967.23</v>
      </c>
      <c r="W27" s="33">
        <v>2698.92</v>
      </c>
      <c r="X27" s="33">
        <v>2931.18</v>
      </c>
      <c r="Y27" s="33">
        <v>3458.51</v>
      </c>
      <c r="Z27" s="33">
        <v>4058.81</v>
      </c>
      <c r="AA27" s="33">
        <v>3844.02</v>
      </c>
      <c r="AB27" s="33">
        <v>3862.34</v>
      </c>
      <c r="AC27" s="33">
        <v>3301.5</v>
      </c>
      <c r="AD27" s="33">
        <v>2460.67</v>
      </c>
      <c r="AE27" s="33">
        <v>2381.04</v>
      </c>
      <c r="AF27" s="33">
        <v>2534.11</v>
      </c>
      <c r="AG27" s="33">
        <v>2690.55</v>
      </c>
      <c r="AH27" s="33">
        <v>2444.42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2772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6">
        <f>916.13+1015.21</f>
        <v>1931.3400000000001</v>
      </c>
      <c r="U28" s="33">
        <v>1068.2</v>
      </c>
      <c r="V28" s="36">
        <f>963.95+1513.48+989.65</f>
        <v>3467.0800000000004</v>
      </c>
      <c r="W28" s="33">
        <v>1318.71</v>
      </c>
      <c r="X28" s="33">
        <v>1508.8</v>
      </c>
      <c r="Y28" s="33">
        <v>1532.57</v>
      </c>
      <c r="Z28" s="33">
        <v>1304.17</v>
      </c>
      <c r="AA28" s="33">
        <v>1124.03</v>
      </c>
      <c r="AB28" s="33">
        <v>1053.08</v>
      </c>
      <c r="AC28" s="33">
        <v>1009.07</v>
      </c>
      <c r="AD28" s="33">
        <v>775.56</v>
      </c>
      <c r="AE28" s="33">
        <v>759.34</v>
      </c>
      <c r="AF28" s="33">
        <v>936.04</v>
      </c>
      <c r="AG28" s="33">
        <v>833.4</v>
      </c>
      <c r="AH28" s="33">
        <v>731.8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2773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6">
        <f>723.14+801.34</f>
        <v>1524.48</v>
      </c>
      <c r="U29" s="36">
        <f>775.86+859.77</f>
        <v>1635.63</v>
      </c>
      <c r="V29" s="36">
        <f>1278.87+828.29</f>
        <v>2107.16</v>
      </c>
      <c r="W29" s="33">
        <v>898.71</v>
      </c>
      <c r="X29" s="33">
        <v>868.22</v>
      </c>
      <c r="Y29" s="33">
        <v>1118</v>
      </c>
      <c r="Z29" s="33">
        <v>1389.74</v>
      </c>
      <c r="AA29" s="33">
        <v>1415.3</v>
      </c>
      <c r="AB29" s="33">
        <v>989.01</v>
      </c>
      <c r="AC29" s="33">
        <v>876.65</v>
      </c>
      <c r="AD29" s="33">
        <v>698.04</v>
      </c>
      <c r="AE29" s="33">
        <v>668.83</v>
      </c>
      <c r="AF29" s="33">
        <v>793.67</v>
      </c>
      <c r="AG29" s="33">
        <v>808.41</v>
      </c>
      <c r="AH29" s="33">
        <v>951.18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2774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>
        <v>869.09</v>
      </c>
      <c r="U30" s="36">
        <f>784.27+976.51+881.22</f>
        <v>2642</v>
      </c>
      <c r="V30" s="36">
        <f>980.57+1428.06</f>
        <v>2408.63</v>
      </c>
      <c r="W30" s="33">
        <v>1068.24</v>
      </c>
      <c r="X30" s="33">
        <v>1236.38</v>
      </c>
      <c r="Y30" s="33">
        <v>1300.62</v>
      </c>
      <c r="Z30" s="33">
        <v>1538.25</v>
      </c>
      <c r="AA30" s="33">
        <v>1336.61</v>
      </c>
      <c r="AB30" s="33">
        <v>1266.12</v>
      </c>
      <c r="AC30" s="33">
        <v>1127.6</v>
      </c>
      <c r="AD30" s="33">
        <v>843</v>
      </c>
      <c r="AE30" s="33">
        <v>880.97</v>
      </c>
      <c r="AF30" s="33">
        <v>1031.1</v>
      </c>
      <c r="AG30" s="33">
        <v>1048.8</v>
      </c>
      <c r="AH30" s="33">
        <v>871.86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2775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6">
        <f>1113.14+1113.14</f>
        <v>2226.28</v>
      </c>
      <c r="U31" s="36">
        <f>1257.98+1257.98</f>
        <v>2515.96</v>
      </c>
      <c r="V31" s="36">
        <f>1062.79+1062.79</f>
        <v>2125.58</v>
      </c>
      <c r="W31" s="33">
        <v>865.48</v>
      </c>
      <c r="X31" s="33">
        <v>374.9</v>
      </c>
      <c r="Y31" s="33">
        <v>563.1</v>
      </c>
      <c r="Z31" s="33">
        <v>1400.16</v>
      </c>
      <c r="AA31" s="33">
        <v>872.35</v>
      </c>
      <c r="AB31" s="33">
        <v>406.32</v>
      </c>
      <c r="AC31" s="33">
        <v>541.42</v>
      </c>
      <c r="AD31" s="33">
        <v>833.18</v>
      </c>
      <c r="AE31" s="33">
        <v>986.87</v>
      </c>
      <c r="AF31" s="33">
        <v>1171.76</v>
      </c>
      <c r="AG31" s="33">
        <v>1007.15</v>
      </c>
      <c r="AH31" s="33">
        <v>1052.71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2776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>
        <v>160.27</v>
      </c>
      <c r="U32" s="33">
        <v>157.28</v>
      </c>
      <c r="V32" s="33">
        <v>158.93</v>
      </c>
      <c r="W32" s="33">
        <v>191.33</v>
      </c>
      <c r="X32" s="33">
        <v>203.4</v>
      </c>
      <c r="Y32" s="33">
        <v>250.18</v>
      </c>
      <c r="Z32" s="33">
        <v>246.41</v>
      </c>
      <c r="AA32" s="33">
        <v>311.38</v>
      </c>
      <c r="AB32" s="33">
        <v>304.45</v>
      </c>
      <c r="AC32" s="33">
        <v>212.76</v>
      </c>
      <c r="AD32" s="33">
        <v>183.12</v>
      </c>
      <c r="AE32" s="33">
        <v>197.92</v>
      </c>
      <c r="AF32" s="33">
        <v>205.15</v>
      </c>
      <c r="AG32" s="33">
        <v>201.84</v>
      </c>
      <c r="AH32" s="33">
        <v>180.79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2777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6">
        <f>223.87+248.08</f>
        <v>471.95000000000005</v>
      </c>
      <c r="U33" s="36">
        <f>324.40+359.48</f>
        <v>683.88</v>
      </c>
      <c r="V33" s="36">
        <f>561.60+412.74</f>
        <v>974.34</v>
      </c>
      <c r="W33" s="33">
        <v>479.11</v>
      </c>
      <c r="X33" s="33">
        <v>525.01</v>
      </c>
      <c r="Y33" s="33">
        <v>507.54</v>
      </c>
      <c r="Z33" s="33">
        <v>595.36</v>
      </c>
      <c r="AA33" s="33">
        <v>596.71</v>
      </c>
      <c r="AB33" s="33">
        <v>495.18</v>
      </c>
      <c r="AC33" s="33">
        <v>497.96</v>
      </c>
      <c r="AD33" s="33">
        <v>397.18</v>
      </c>
      <c r="AE33" s="33">
        <v>331.66</v>
      </c>
      <c r="AF33" s="33">
        <v>342.18</v>
      </c>
      <c r="AG33" s="33">
        <v>337.84</v>
      </c>
      <c r="AH33" s="33">
        <v>317.27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2778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6">
        <f>1871.24+2073.60</f>
        <v>3944.84</v>
      </c>
      <c r="U34" s="33">
        <v>1822.61</v>
      </c>
      <c r="V34" s="36">
        <f>1644.74+2705.98+1746.27</f>
        <v>6096.99</v>
      </c>
      <c r="W34" s="33">
        <v>1867.68</v>
      </c>
      <c r="X34" s="33">
        <v>2141.26</v>
      </c>
      <c r="Y34" s="33">
        <v>2657.12</v>
      </c>
      <c r="Z34" s="33">
        <v>2857.34</v>
      </c>
      <c r="AA34" s="33">
        <v>2834.83</v>
      </c>
      <c r="AB34" s="33">
        <v>2605.21</v>
      </c>
      <c r="AC34" s="33">
        <v>2254.61</v>
      </c>
      <c r="AD34" s="33">
        <v>1697.78</v>
      </c>
      <c r="AE34" s="33">
        <v>1625.59</v>
      </c>
      <c r="AF34" s="33">
        <v>1983.65</v>
      </c>
      <c r="AG34" s="33">
        <v>1773.2</v>
      </c>
      <c r="AH34" s="33">
        <v>1536.43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2779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>
        <v>634.42</v>
      </c>
      <c r="U35" s="33">
        <v>748.52</v>
      </c>
      <c r="V35" s="36">
        <f>772.56+4669.37</f>
        <v>5441.93</v>
      </c>
      <c r="W35" s="33">
        <v>891.36</v>
      </c>
      <c r="X35" s="33">
        <v>863.29</v>
      </c>
      <c r="Y35" s="33">
        <v>735.87</v>
      </c>
      <c r="Z35" s="33">
        <v>785.55</v>
      </c>
      <c r="AA35" s="33">
        <v>742.65</v>
      </c>
      <c r="AB35" s="33">
        <v>628.75</v>
      </c>
      <c r="AC35" s="33">
        <v>692.11</v>
      </c>
      <c r="AD35" s="33">
        <v>580.8</v>
      </c>
      <c r="AE35" s="33">
        <v>684.01</v>
      </c>
      <c r="AF35" s="33">
        <v>643.22</v>
      </c>
      <c r="AG35" s="33">
        <v>486.98</v>
      </c>
      <c r="AH35" s="33">
        <v>521.03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2780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6">
        <f>260.64+288.84</f>
        <v>549.48</v>
      </c>
      <c r="U36" s="36">
        <f>260.92+289.14</f>
        <v>550.06</v>
      </c>
      <c r="V36" s="36">
        <f>548.41+374.43</f>
        <v>922.8399999999999</v>
      </c>
      <c r="W36" s="33">
        <v>429.92</v>
      </c>
      <c r="X36" s="33">
        <v>489.64</v>
      </c>
      <c r="Y36" s="33">
        <v>550.17</v>
      </c>
      <c r="Z36" s="33">
        <v>577.57</v>
      </c>
      <c r="AA36" s="33">
        <v>593.79</v>
      </c>
      <c r="AB36" s="33">
        <v>448.11</v>
      </c>
      <c r="AC36" s="33">
        <v>333.95</v>
      </c>
      <c r="AD36" s="33">
        <v>226.12</v>
      </c>
      <c r="AE36" s="33">
        <v>186.6</v>
      </c>
      <c r="AF36" s="33">
        <v>242</v>
      </c>
      <c r="AG36" s="33">
        <v>287.39</v>
      </c>
      <c r="AH36" s="33">
        <v>290.23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2781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6">
        <f>542.06+600.68</f>
        <v>1142.7399999999998</v>
      </c>
      <c r="U37" s="36">
        <f>588.89+652.57</f>
        <v>1241.46</v>
      </c>
      <c r="V37" s="36">
        <f>964.38+655.15</f>
        <v>1619.53</v>
      </c>
      <c r="W37" s="33">
        <v>737.43</v>
      </c>
      <c r="X37" s="33">
        <v>473.15</v>
      </c>
      <c r="Y37" s="33">
        <v>789.97</v>
      </c>
      <c r="Z37" s="33">
        <v>805.44</v>
      </c>
      <c r="AA37" s="33">
        <v>569.57</v>
      </c>
      <c r="AB37" s="33">
        <v>463.55</v>
      </c>
      <c r="AC37" s="33">
        <v>337.5</v>
      </c>
      <c r="AD37" s="33">
        <v>485.75</v>
      </c>
      <c r="AE37" s="33">
        <v>561.63</v>
      </c>
      <c r="AF37" s="33">
        <v>602.52</v>
      </c>
      <c r="AG37" s="33">
        <v>510.89</v>
      </c>
      <c r="AH37" s="33">
        <v>643.32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2782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580.05</v>
      </c>
      <c r="U38" s="33">
        <v>593.88</v>
      </c>
      <c r="V38" s="33">
        <v>585.87</v>
      </c>
      <c r="W38" s="33">
        <v>757.06</v>
      </c>
      <c r="X38" s="33">
        <v>583.52</v>
      </c>
      <c r="Y38" s="33">
        <v>447.8</v>
      </c>
      <c r="Z38" s="33">
        <v>553.84</v>
      </c>
      <c r="AA38" s="33">
        <v>488.01</v>
      </c>
      <c r="AB38" s="33">
        <v>424.5</v>
      </c>
      <c r="AC38" s="33">
        <v>393.62</v>
      </c>
      <c r="AD38" s="33">
        <v>371.07</v>
      </c>
      <c r="AE38" s="33">
        <v>486.59</v>
      </c>
      <c r="AF38" s="33">
        <v>666.59</v>
      </c>
      <c r="AG38" s="33">
        <v>765.09</v>
      </c>
      <c r="AH38" s="33">
        <v>578.26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2783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6">
        <f>187.71+208.01</f>
        <v>395.72</v>
      </c>
      <c r="U39" s="36">
        <f>203.05+225.01</f>
        <v>428.06</v>
      </c>
      <c r="V39" s="36">
        <f>366.55+245.54</f>
        <v>612.09</v>
      </c>
      <c r="W39" s="33">
        <v>288.46</v>
      </c>
      <c r="X39" s="33">
        <v>324.22</v>
      </c>
      <c r="Y39" s="33">
        <v>334.13</v>
      </c>
      <c r="Z39" s="33">
        <v>401.03</v>
      </c>
      <c r="AA39" s="33">
        <v>345.6</v>
      </c>
      <c r="AB39" s="33">
        <v>351.21</v>
      </c>
      <c r="AC39" s="33">
        <v>311.04</v>
      </c>
      <c r="AD39" s="33">
        <v>258.22</v>
      </c>
      <c r="AE39" s="33">
        <v>244.38</v>
      </c>
      <c r="AF39" s="33">
        <v>317.6</v>
      </c>
      <c r="AG39" s="33">
        <v>236.06</v>
      </c>
      <c r="AH39" s="33">
        <v>281.57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2784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>
        <v>331.64</v>
      </c>
      <c r="U40" s="33">
        <v>221.4</v>
      </c>
      <c r="V40" s="33">
        <v>268.56</v>
      </c>
      <c r="W40" s="33">
        <v>277.72</v>
      </c>
      <c r="X40" s="33">
        <v>263.34</v>
      </c>
      <c r="Y40" s="33">
        <v>275.77</v>
      </c>
      <c r="Z40" s="33">
        <v>339.11</v>
      </c>
      <c r="AA40" s="33">
        <v>366.41</v>
      </c>
      <c r="AB40" s="33">
        <v>642.22</v>
      </c>
      <c r="AC40" s="33">
        <v>663.02</v>
      </c>
      <c r="AD40" s="33">
        <v>596.19</v>
      </c>
      <c r="AE40" s="33">
        <v>284.39</v>
      </c>
      <c r="AF40" s="33">
        <v>322.2</v>
      </c>
      <c r="AG40" s="33">
        <v>214.11</v>
      </c>
      <c r="AH40" s="33">
        <v>254.21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2785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>
        <v>234.2</v>
      </c>
      <c r="U41" s="33">
        <v>229.44</v>
      </c>
      <c r="V41" s="33">
        <v>255.95</v>
      </c>
      <c r="W41" s="33">
        <v>255.23</v>
      </c>
      <c r="X41" s="33">
        <v>317.52</v>
      </c>
      <c r="Y41" s="33">
        <v>606.38</v>
      </c>
      <c r="Z41" s="33">
        <v>816.43</v>
      </c>
      <c r="AA41" s="33">
        <v>647.55</v>
      </c>
      <c r="AB41" s="33">
        <v>172.11</v>
      </c>
      <c r="AC41" s="33">
        <v>209.46</v>
      </c>
      <c r="AD41" s="33">
        <v>143.56</v>
      </c>
      <c r="AE41" s="33">
        <v>154.78</v>
      </c>
      <c r="AF41" s="33">
        <v>187.82</v>
      </c>
      <c r="AG41" s="33">
        <v>172.78</v>
      </c>
      <c r="AH41" s="33">
        <v>153.46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2786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>
        <v>33.25</v>
      </c>
      <c r="U42" s="33">
        <v>33.25</v>
      </c>
      <c r="V42" s="33">
        <v>33.25</v>
      </c>
      <c r="W42" s="33">
        <v>33.25</v>
      </c>
      <c r="X42" s="33">
        <v>33.25</v>
      </c>
      <c r="Y42" s="33">
        <v>33.25</v>
      </c>
      <c r="Z42" s="33">
        <v>33.25</v>
      </c>
      <c r="AA42" s="33">
        <v>33.25</v>
      </c>
      <c r="AB42" s="33">
        <v>33.25</v>
      </c>
      <c r="AC42" s="33">
        <v>33.25</v>
      </c>
      <c r="AD42" s="33">
        <v>33.25</v>
      </c>
      <c r="AE42" s="33">
        <v>33.25</v>
      </c>
      <c r="AF42" s="33">
        <v>33.24</v>
      </c>
      <c r="AG42" s="33">
        <v>33.24</v>
      </c>
      <c r="AH42" s="33">
        <v>33.24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2787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>
        <v>126.8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2788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6">
        <f>523.87+580.52</f>
        <v>1104.3899999999999</v>
      </c>
      <c r="U44" s="36">
        <f>550.40+609.91</f>
        <v>1160.31</v>
      </c>
      <c r="V44" s="36">
        <f>876.55+627.15</f>
        <v>1503.6999999999998</v>
      </c>
      <c r="W44" s="33">
        <v>675.25</v>
      </c>
      <c r="X44" s="33">
        <v>510.86</v>
      </c>
      <c r="Y44" s="33">
        <v>601.76</v>
      </c>
      <c r="Z44" s="33">
        <v>681.46</v>
      </c>
      <c r="AA44" s="33">
        <v>682.03</v>
      </c>
      <c r="AB44" s="33">
        <v>630.4</v>
      </c>
      <c r="AC44" s="33">
        <v>509.68</v>
      </c>
      <c r="AD44" s="33">
        <v>510.2</v>
      </c>
      <c r="AE44" s="33">
        <v>470.54</v>
      </c>
      <c r="AF44" s="33">
        <v>599.42</v>
      </c>
      <c r="AG44" s="33">
        <v>574.98</v>
      </c>
      <c r="AH44" s="33">
        <v>720.78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2789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6">
        <f>2009.70+2227.03</f>
        <v>4236.7300000000005</v>
      </c>
      <c r="U45" s="36">
        <f>2290.05+2537.70</f>
        <v>4827.75</v>
      </c>
      <c r="V45" s="36">
        <f>3496.15+2382.67</f>
        <v>5878.82</v>
      </c>
      <c r="W45" s="33">
        <v>2685.75</v>
      </c>
      <c r="X45" s="33">
        <v>2903.8</v>
      </c>
      <c r="Y45" s="33">
        <v>3149.09</v>
      </c>
      <c r="Z45" s="33">
        <v>3499.05</v>
      </c>
      <c r="AA45" s="33">
        <v>3565.05</v>
      </c>
      <c r="AB45" s="33">
        <v>3123.89</v>
      </c>
      <c r="AC45" s="33">
        <v>2814.3</v>
      </c>
      <c r="AD45" s="33">
        <v>1848.94</v>
      </c>
      <c r="AE45" s="33">
        <v>1540.15</v>
      </c>
      <c r="AF45" s="33">
        <v>2043.61</v>
      </c>
      <c r="AG45" s="33">
        <v>1970.45</v>
      </c>
      <c r="AH45" s="33">
        <v>1844.47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2790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6">
        <f>-103.64+1062.00</f>
        <v>958.36</v>
      </c>
      <c r="U46" s="36">
        <f>-84.44+865.25</f>
        <v>780.81</v>
      </c>
      <c r="V46" s="36">
        <f>1613.20+1172.57</f>
        <v>2785.77</v>
      </c>
      <c r="W46" s="33">
        <v>1165.42</v>
      </c>
      <c r="X46" s="33">
        <v>1022.51</v>
      </c>
      <c r="Y46" s="33">
        <v>938.95</v>
      </c>
      <c r="Z46" s="33">
        <v>1308.36</v>
      </c>
      <c r="AA46" s="33">
        <v>1185.14</v>
      </c>
      <c r="AB46" s="33">
        <v>1202.97</v>
      </c>
      <c r="AC46" s="33">
        <v>1126.91</v>
      </c>
      <c r="AD46" s="33">
        <v>863.76</v>
      </c>
      <c r="AE46" s="33">
        <v>1008.78</v>
      </c>
      <c r="AF46" s="33">
        <v>1411.48</v>
      </c>
      <c r="AG46" s="33">
        <v>1151.56</v>
      </c>
      <c r="AH46" s="33">
        <v>1163.26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2791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>
        <v>1330.84</v>
      </c>
      <c r="U47" s="33">
        <v>1302.58</v>
      </c>
      <c r="V47" s="33">
        <v>1466.14</v>
      </c>
      <c r="W47" s="33">
        <v>1682.69</v>
      </c>
      <c r="X47" s="33">
        <v>2024.29</v>
      </c>
      <c r="Y47" s="33">
        <v>1993.18</v>
      </c>
      <c r="Z47" s="33">
        <v>2315.17</v>
      </c>
      <c r="AA47" s="33">
        <v>2396.61</v>
      </c>
      <c r="AB47" s="33">
        <v>2075.89</v>
      </c>
      <c r="AC47" s="33">
        <v>1756.68</v>
      </c>
      <c r="AD47" s="33">
        <v>1344.35</v>
      </c>
      <c r="AE47" s="33">
        <v>1138.54</v>
      </c>
      <c r="AF47" s="33">
        <v>1416.42</v>
      </c>
      <c r="AG47" s="33">
        <v>1276.97</v>
      </c>
      <c r="AH47" s="33">
        <v>1282.55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2792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6">
        <f>1397.15+1260.80</f>
        <v>2657.95</v>
      </c>
      <c r="U48" s="36">
        <f>1549.23+1716.78</f>
        <v>3266.01</v>
      </c>
      <c r="V48" s="36">
        <f>1837.06+2563.18</f>
        <v>4400.24</v>
      </c>
      <c r="W48" s="33">
        <v>2115.53</v>
      </c>
      <c r="X48" s="33">
        <v>1973.09</v>
      </c>
      <c r="Y48" s="33">
        <v>2138.08</v>
      </c>
      <c r="Z48" s="33">
        <v>2956.13</v>
      </c>
      <c r="AA48" s="33">
        <v>2907.98</v>
      </c>
      <c r="AB48" s="33">
        <v>2757.54</v>
      </c>
      <c r="AC48" s="33">
        <v>2357.63</v>
      </c>
      <c r="AD48" s="33">
        <v>1739.83</v>
      </c>
      <c r="AE48" s="33">
        <v>1663</v>
      </c>
      <c r="AF48" s="33">
        <v>1913.06</v>
      </c>
      <c r="AG48" s="33">
        <v>1890.79</v>
      </c>
      <c r="AH48" s="33">
        <v>1665.34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2793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6">
        <f>662.36+734.00</f>
        <v>1396.3600000000001</v>
      </c>
      <c r="U49" s="36">
        <f>590.82+654.71</f>
        <v>1245.5300000000002</v>
      </c>
      <c r="V49" s="36">
        <f>999.64+702.50</f>
        <v>1702.1399999999999</v>
      </c>
      <c r="W49" s="33">
        <v>694.64</v>
      </c>
      <c r="X49" s="33">
        <v>670.32</v>
      </c>
      <c r="Y49" s="33">
        <v>902.13</v>
      </c>
      <c r="Z49" s="33">
        <v>836.84</v>
      </c>
      <c r="AA49" s="33">
        <v>704.48</v>
      </c>
      <c r="AB49" s="33">
        <v>699.14</v>
      </c>
      <c r="AC49" s="33">
        <v>505.9</v>
      </c>
      <c r="AD49" s="33">
        <v>390.63</v>
      </c>
      <c r="AE49" s="33">
        <v>478.84</v>
      </c>
      <c r="AF49" s="33">
        <v>770.32</v>
      </c>
      <c r="AG49" s="33">
        <v>704.96</v>
      </c>
      <c r="AH49" s="33">
        <v>791.02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2794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6">
        <f>441.04+488.73</f>
        <v>929.77</v>
      </c>
      <c r="U50" s="36">
        <f>473.27+524.46</f>
        <v>997.73</v>
      </c>
      <c r="V50" s="36">
        <f>870.25+595.19</f>
        <v>1465.44</v>
      </c>
      <c r="W50" s="33">
        <v>612.36</v>
      </c>
      <c r="X50" s="33">
        <v>591.65</v>
      </c>
      <c r="Y50" s="33">
        <v>696.63</v>
      </c>
      <c r="Z50" s="33">
        <v>1048.66</v>
      </c>
      <c r="AA50" s="33">
        <v>884.27</v>
      </c>
      <c r="AB50" s="33">
        <v>758.78</v>
      </c>
      <c r="AC50" s="33">
        <v>668.33</v>
      </c>
      <c r="AD50" s="33">
        <v>486.11</v>
      </c>
      <c r="AE50" s="33">
        <v>430.46</v>
      </c>
      <c r="AF50" s="33">
        <v>467.04</v>
      </c>
      <c r="AG50" s="33">
        <v>522.26</v>
      </c>
      <c r="AH50" s="33">
        <v>527.83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2795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>
        <v>488.55</v>
      </c>
      <c r="U51" s="33">
        <v>532.76</v>
      </c>
      <c r="V51" s="33">
        <v>778.8</v>
      </c>
      <c r="W51" s="33">
        <v>710.95</v>
      </c>
      <c r="X51" s="33">
        <v>725.89</v>
      </c>
      <c r="Y51" s="33">
        <v>889.29</v>
      </c>
      <c r="Z51" s="33">
        <v>894.88</v>
      </c>
      <c r="AA51" s="33">
        <v>776.21</v>
      </c>
      <c r="AB51" s="33">
        <v>625.08</v>
      </c>
      <c r="AC51" s="33">
        <v>713.92</v>
      </c>
      <c r="AD51" s="33">
        <v>386.03</v>
      </c>
      <c r="AE51" s="33">
        <v>458.27</v>
      </c>
      <c r="AF51" s="33">
        <v>710.33</v>
      </c>
      <c r="AG51" s="33">
        <v>762.89</v>
      </c>
      <c r="AH51" s="33">
        <v>623.09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2796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>
        <v>227.05</v>
      </c>
      <c r="U52" s="33">
        <v>225.57</v>
      </c>
      <c r="V52" s="33">
        <v>268.03</v>
      </c>
      <c r="W52" s="33">
        <v>351.18</v>
      </c>
      <c r="X52" s="33">
        <v>430.37</v>
      </c>
      <c r="Y52" s="33">
        <v>497.49</v>
      </c>
      <c r="Z52" s="33">
        <v>527.54</v>
      </c>
      <c r="AA52" s="33">
        <v>517.26</v>
      </c>
      <c r="AB52" s="33">
        <v>460.42</v>
      </c>
      <c r="AC52" s="33">
        <v>439.31</v>
      </c>
      <c r="AD52" s="33">
        <v>304.08</v>
      </c>
      <c r="AE52" s="33">
        <v>266.15</v>
      </c>
      <c r="AF52" s="33">
        <v>309.19</v>
      </c>
      <c r="AG52" s="33">
        <v>388.39</v>
      </c>
      <c r="AH52" s="33">
        <v>287.35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2797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v>33.25</v>
      </c>
      <c r="U53" s="33">
        <v>33.25</v>
      </c>
      <c r="V53" s="33">
        <v>33.25</v>
      </c>
      <c r="W53" s="33">
        <v>33.25</v>
      </c>
      <c r="X53" s="33">
        <v>33.25</v>
      </c>
      <c r="Y53" s="33">
        <v>33.25</v>
      </c>
      <c r="Z53" s="33">
        <v>33.25</v>
      </c>
      <c r="AA53" s="33">
        <v>33.25</v>
      </c>
      <c r="AB53" s="33">
        <v>33.25</v>
      </c>
      <c r="AC53" s="33">
        <v>33.25</v>
      </c>
      <c r="AD53" s="33">
        <v>33.25</v>
      </c>
      <c r="AE53" s="33">
        <v>33.25</v>
      </c>
      <c r="AF53" s="33">
        <v>33.24</v>
      </c>
      <c r="AG53" s="33">
        <v>33.24</v>
      </c>
      <c r="AH53" s="33">
        <v>33.24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2798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6">
        <f>2213.74+1997.70</f>
        <v>4211.44</v>
      </c>
      <c r="U54" s="36">
        <f>2039.79+2260.39</f>
        <v>4300.18</v>
      </c>
      <c r="V54" s="36">
        <f>2214.98+3264.04</f>
        <v>5479.02</v>
      </c>
      <c r="W54" s="33">
        <v>2539.3</v>
      </c>
      <c r="X54" s="33">
        <v>2677.76</v>
      </c>
      <c r="Y54" s="33">
        <v>3045.36</v>
      </c>
      <c r="Z54" s="33">
        <v>3464.41</v>
      </c>
      <c r="AA54" s="33">
        <v>3443.85</v>
      </c>
      <c r="AB54" s="33">
        <v>3203.68</v>
      </c>
      <c r="AC54" s="33">
        <v>2830.22</v>
      </c>
      <c r="AD54" s="33">
        <v>1924.3</v>
      </c>
      <c r="AE54" s="33">
        <v>1784.74</v>
      </c>
      <c r="AF54" s="33">
        <v>2211.56</v>
      </c>
      <c r="AG54" s="33">
        <v>2016.7</v>
      </c>
      <c r="AH54" s="33">
        <v>2186.29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2799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>
        <v>2631.5</v>
      </c>
      <c r="U55" s="36">
        <f>2374.70+2271.81+2517.49</f>
        <v>7164</v>
      </c>
      <c r="V55" s="36">
        <f>3765.83+2437.28</f>
        <v>6203.110000000001</v>
      </c>
      <c r="W55" s="33">
        <v>2402.57</v>
      </c>
      <c r="X55" s="33">
        <v>2664.68</v>
      </c>
      <c r="Y55" s="33">
        <v>2890.76</v>
      </c>
      <c r="Z55" s="33">
        <v>2804.3</v>
      </c>
      <c r="AA55" s="33">
        <v>2949.31</v>
      </c>
      <c r="AB55" s="33">
        <v>2784.59</v>
      </c>
      <c r="AC55" s="33">
        <v>2363.13</v>
      </c>
      <c r="AD55" s="33">
        <v>1854.71</v>
      </c>
      <c r="AE55" s="33">
        <v>1802.91</v>
      </c>
      <c r="AF55" s="33">
        <v>2158.49</v>
      </c>
      <c r="AG55" s="33">
        <v>2088.73</v>
      </c>
      <c r="AH55" s="33">
        <v>1686.91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2800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6">
        <f>1084.29+1201.55</f>
        <v>2285.84</v>
      </c>
      <c r="U56" s="36">
        <f>1075.70+1192.04</f>
        <v>2267.74</v>
      </c>
      <c r="V56" s="36">
        <f>1826.58+1178.39</f>
        <v>3004.9700000000003</v>
      </c>
      <c r="W56" s="33">
        <v>1492.6</v>
      </c>
      <c r="X56" s="33">
        <v>1568.57</v>
      </c>
      <c r="Y56" s="33">
        <v>1823.24</v>
      </c>
      <c r="Z56" s="33">
        <v>2126.37</v>
      </c>
      <c r="AA56" s="33">
        <v>2141.7</v>
      </c>
      <c r="AB56" s="33">
        <v>1858.66</v>
      </c>
      <c r="AC56" s="33">
        <v>1734.7</v>
      </c>
      <c r="AD56" s="33">
        <v>1261.99</v>
      </c>
      <c r="AE56" s="33">
        <v>1118.48</v>
      </c>
      <c r="AF56" s="33">
        <v>1494.61</v>
      </c>
      <c r="AG56" s="33">
        <v>1303.72</v>
      </c>
      <c r="AH56" s="33">
        <v>1215.68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2801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6">
        <f>501.25+555.45</f>
        <v>1056.7</v>
      </c>
      <c r="U57" s="36">
        <f>625.65+693.31</f>
        <v>1318.96</v>
      </c>
      <c r="V57" s="36">
        <f>950.27+692.78</f>
        <v>1643.05</v>
      </c>
      <c r="W57" s="33">
        <v>815.94</v>
      </c>
      <c r="X57" s="33">
        <v>668.08</v>
      </c>
      <c r="Y57" s="33">
        <v>903.32</v>
      </c>
      <c r="Z57" s="33">
        <v>844.92</v>
      </c>
      <c r="AA57" s="33">
        <v>817.63</v>
      </c>
      <c r="AB57" s="33">
        <v>764.32</v>
      </c>
      <c r="AC57" s="33">
        <v>569.08</v>
      </c>
      <c r="AD57" s="33">
        <v>586.71</v>
      </c>
      <c r="AE57" s="33">
        <v>471.14</v>
      </c>
      <c r="AF57" s="33">
        <v>657.23</v>
      </c>
      <c r="AG57" s="33">
        <v>636.5</v>
      </c>
      <c r="AH57" s="33">
        <v>821.77</v>
      </c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2802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3">
        <v>970.06</v>
      </c>
      <c r="R58" s="32"/>
      <c r="S58" s="32"/>
      <c r="T58" s="33">
        <v>1001.42</v>
      </c>
      <c r="U58" s="33">
        <v>969.79</v>
      </c>
      <c r="V58" s="33">
        <v>894</v>
      </c>
      <c r="W58" s="33">
        <v>1062.28</v>
      </c>
      <c r="X58" s="33">
        <v>1218.61</v>
      </c>
      <c r="Y58" s="33">
        <v>1381.69</v>
      </c>
      <c r="Z58" s="33">
        <v>1496.06</v>
      </c>
      <c r="AA58" s="33">
        <v>1061.23</v>
      </c>
      <c r="AB58" s="33">
        <v>1074.88</v>
      </c>
      <c r="AC58" s="33">
        <v>1067.12</v>
      </c>
      <c r="AD58" s="33">
        <v>906.9</v>
      </c>
      <c r="AE58" s="33">
        <v>1009.79</v>
      </c>
      <c r="AF58" s="33">
        <v>1027.22</v>
      </c>
      <c r="AG58" s="33">
        <v>971.3</v>
      </c>
      <c r="AH58" s="33">
        <v>771.78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2803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6">
        <f>589.70+653.46</f>
        <v>1243.16</v>
      </c>
      <c r="U59" s="36">
        <f>690.67+765.36</f>
        <v>1456.03</v>
      </c>
      <c r="V59" s="36">
        <f>1276.64+878.77</f>
        <v>2155.41</v>
      </c>
      <c r="W59" s="33">
        <v>709.72</v>
      </c>
      <c r="X59" s="33">
        <v>1072.04</v>
      </c>
      <c r="Y59" s="33">
        <v>1437.42</v>
      </c>
      <c r="Z59" s="33">
        <v>1546.77</v>
      </c>
      <c r="AA59" s="33">
        <v>1699.93</v>
      </c>
      <c r="AB59" s="33">
        <v>1339.1</v>
      </c>
      <c r="AC59" s="33">
        <v>1158.92</v>
      </c>
      <c r="AD59" s="33">
        <v>944.99</v>
      </c>
      <c r="AE59" s="33">
        <v>1096.08</v>
      </c>
      <c r="AF59" s="33">
        <v>1334.93</v>
      </c>
      <c r="AG59" s="33">
        <v>1472.29</v>
      </c>
      <c r="AH59" s="33">
        <v>1043.99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2804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6">
        <f>1844.34+2043.79</f>
        <v>3888.13</v>
      </c>
      <c r="U60" s="36">
        <f>2385.19+2643.14</f>
        <v>5028.33</v>
      </c>
      <c r="V60" s="36">
        <f>3585.87+2549.70</f>
        <v>6135.57</v>
      </c>
      <c r="W60" s="33">
        <v>2545.9</v>
      </c>
      <c r="X60" s="33">
        <v>2289.16</v>
      </c>
      <c r="Y60" s="33">
        <v>2421.06</v>
      </c>
      <c r="Z60" s="33">
        <v>2803.75</v>
      </c>
      <c r="AA60" s="33">
        <v>2887.64</v>
      </c>
      <c r="AB60" s="33">
        <v>2662.33</v>
      </c>
      <c r="AC60" s="33">
        <v>2358</v>
      </c>
      <c r="AD60" s="33">
        <v>1540.21</v>
      </c>
      <c r="AE60" s="33">
        <v>1505.47</v>
      </c>
      <c r="AF60" s="33">
        <v>1705.44</v>
      </c>
      <c r="AG60" s="33">
        <v>1842.81</v>
      </c>
      <c r="AH60" s="33">
        <v>1784.59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2805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6">
        <f>1458.43+1616.15</f>
        <v>3074.58</v>
      </c>
      <c r="U61" s="36">
        <f>1621.00+1796.30</f>
        <v>3417.3</v>
      </c>
      <c r="V61" s="36">
        <f>2617.21+1846.37</f>
        <v>4463.58</v>
      </c>
      <c r="W61" s="33">
        <v>1976.01</v>
      </c>
      <c r="X61" s="33">
        <v>2314.74</v>
      </c>
      <c r="Y61" s="33">
        <v>2519.22</v>
      </c>
      <c r="Z61" s="33">
        <v>2778.77</v>
      </c>
      <c r="AA61" s="33">
        <v>2522.34</v>
      </c>
      <c r="AB61" s="33">
        <v>2143.81</v>
      </c>
      <c r="AC61" s="33">
        <v>1875.48</v>
      </c>
      <c r="AD61" s="33">
        <v>1617.29</v>
      </c>
      <c r="AE61" s="33">
        <v>1527.41</v>
      </c>
      <c r="AF61" s="33">
        <v>1887.32</v>
      </c>
      <c r="AG61" s="33">
        <v>1747.9</v>
      </c>
      <c r="AH61" s="33">
        <v>1901.73</v>
      </c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2806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>
        <v>31.39</v>
      </c>
      <c r="U62" s="33">
        <v>33.45</v>
      </c>
      <c r="V62" s="33">
        <v>32.48</v>
      </c>
      <c r="W62" s="33">
        <v>48.6</v>
      </c>
      <c r="X62" s="33">
        <v>62.4</v>
      </c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2807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>
        <v>31.58</v>
      </c>
      <c r="U63" s="33">
        <v>27.52</v>
      </c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2808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>
        <v>31.16</v>
      </c>
      <c r="U64" s="33">
        <v>31.71</v>
      </c>
      <c r="V64" s="33">
        <v>33.88</v>
      </c>
      <c r="W64" s="33">
        <v>48.5</v>
      </c>
      <c r="X64" s="33">
        <v>70.72</v>
      </c>
      <c r="Y64" s="33">
        <v>79.38</v>
      </c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2809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>
        <v>30.8</v>
      </c>
      <c r="U65" s="33">
        <v>115.98</v>
      </c>
      <c r="V65" s="33">
        <v>52.59</v>
      </c>
      <c r="W65" s="33">
        <v>36.66</v>
      </c>
      <c r="X65" s="36">
        <f>51.78+9.10</f>
        <v>60.88</v>
      </c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2810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>
        <v>32.42</v>
      </c>
      <c r="U66" s="33">
        <v>30.8</v>
      </c>
      <c r="V66" s="33">
        <v>30.8</v>
      </c>
      <c r="W66" s="33">
        <v>38.47</v>
      </c>
      <c r="X66" s="33">
        <v>33.12</v>
      </c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4">
        <f>SUM(E66:AI66)</f>
      </c>
      <c r="AK66" s="35"/>
    </row>
    <row r="67" ht="12.75" customHeight="1" spans="2:37" x14ac:dyDescent="0.25">
      <c r="B67" s="37"/>
      <c r="C67" s="38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40"/>
    </row>
    <row r="68" ht="12.75" customHeight="1" spans="2:37" x14ac:dyDescent="0.25">
      <c r="B68" s="20" t="s">
        <v>85</v>
      </c>
      <c r="C68" s="21"/>
      <c r="D68" s="21"/>
      <c r="E68" s="22">
        <f>SUM(E14:E66)</f>
      </c>
      <c r="F68" s="22">
        <f>SUM(F14:F66)</f>
      </c>
      <c r="G68" s="22">
        <f>SUM(G14:G66)</f>
      </c>
      <c r="H68" s="22">
        <f>SUM(H14:H66)</f>
      </c>
      <c r="I68" s="22">
        <f>SUM(I14:I66)</f>
      </c>
      <c r="J68" s="22">
        <f>SUM(J14:J66)</f>
      </c>
      <c r="K68" s="22">
        <f>SUM(K14:K66)</f>
      </c>
      <c r="L68" s="22">
        <f>SUM(L14:L66)</f>
      </c>
      <c r="M68" s="22">
        <f>SUM(M14:M66)</f>
      </c>
      <c r="N68" s="22">
        <f>SUM(N14:N66)</f>
      </c>
      <c r="O68" s="22">
        <f>SUM(O14:O66)</f>
      </c>
      <c r="P68" s="22">
        <f>SUM(P14:P66)</f>
      </c>
      <c r="Q68" s="22">
        <f>SUM(Q14:Q66)</f>
      </c>
      <c r="R68" s="22">
        <f>SUM(R14:R66)</f>
      </c>
      <c r="S68" s="22">
        <f>SUM(S14:S66)</f>
      </c>
      <c r="T68" s="22">
        <f>SUM(T14:T66)</f>
      </c>
      <c r="U68" s="22">
        <f>SUM(U14:U66)</f>
      </c>
      <c r="V68" s="22">
        <f>SUM(V14:V66)</f>
      </c>
      <c r="W68" s="22">
        <f>SUM(W14:W66)</f>
      </c>
      <c r="X68" s="22">
        <f>SUM(X14:X66)</f>
      </c>
      <c r="Y68" s="22">
        <f>SUM(Y14:Y66)</f>
      </c>
      <c r="Z68" s="22">
        <f>SUM(Z14:Z66)</f>
      </c>
      <c r="AA68" s="22">
        <f>SUM(AA14:AA66)</f>
      </c>
      <c r="AB68" s="22">
        <f>SUM(AB14:AB66)</f>
      </c>
      <c r="AC68" s="22">
        <f>SUM(AC14:AC66)</f>
      </c>
      <c r="AD68" s="22">
        <f>SUM(AD14:AD66)</f>
      </c>
      <c r="AE68" s="22">
        <f>SUM(AE14:AE66)</f>
      </c>
      <c r="AF68" s="22">
        <f>SUM(AF14:AF66)</f>
      </c>
      <c r="AG68" s="22">
        <f>SUM(AG14:AG66)</f>
      </c>
      <c r="AH68" s="22">
        <f>SUM(AH14:AH66)</f>
      </c>
      <c r="AI68" s="22">
        <f>SUM(AI14:AI66)</f>
      </c>
      <c r="AJ68" s="22">
        <f>SUM(AJ14:AJ66)</f>
      </c>
      <c r="AK68" s="23"/>
    </row>
    <row r="70" ht="12.75" customHeight="1" spans="2:37" x14ac:dyDescent="0.25">
      <c r="B70" s="26" t="s">
        <v>43</v>
      </c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9"/>
    </row>
    <row r="71" ht="12.75" customHeight="1" spans="2:37" x14ac:dyDescent="0.25">
      <c r="B71" s="37"/>
      <c r="C71" s="38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40"/>
    </row>
    <row r="72" ht="12.75" customHeight="1" spans="2:37" x14ac:dyDescent="0.25">
      <c r="B72" s="20" t="s">
        <v>89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3"/>
    </row>
    <row r="74" ht="12.75" customHeight="1" spans="2:37" x14ac:dyDescent="0.25">
      <c r="B74" s="26" t="s">
        <v>44</v>
      </c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9"/>
    </row>
    <row r="75" ht="12.75" customHeight="1" spans="2:37" x14ac:dyDescent="0.25">
      <c r="B75" s="37"/>
      <c r="C75" s="38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40"/>
    </row>
    <row r="76" ht="12.75" customHeight="1" spans="2:37" x14ac:dyDescent="0.25">
      <c r="B76" s="20" t="s">
        <v>90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3"/>
    </row>
    <row r="79" ht="12.75" customHeight="1" spans="2:37" x14ac:dyDescent="0.25">
      <c r="B79" s="11" t="s">
        <v>40</v>
      </c>
      <c r="C79" s="12"/>
      <c r="D79" s="13"/>
      <c r="E79" s="14" t="s">
        <v>7</v>
      </c>
      <c r="F79" s="14" t="s">
        <v>8</v>
      </c>
      <c r="G79" s="14" t="s">
        <v>9</v>
      </c>
      <c r="H79" s="14" t="s">
        <v>10</v>
      </c>
      <c r="I79" s="14" t="s">
        <v>11</v>
      </c>
      <c r="J79" s="14" t="s">
        <v>12</v>
      </c>
      <c r="K79" s="14" t="s">
        <v>13</v>
      </c>
      <c r="L79" s="14" t="s">
        <v>14</v>
      </c>
      <c r="M79" s="14" t="s">
        <v>15</v>
      </c>
      <c r="N79" s="14" t="s">
        <v>16</v>
      </c>
      <c r="O79" s="14" t="s">
        <v>17</v>
      </c>
      <c r="P79" s="14" t="s">
        <v>18</v>
      </c>
      <c r="Q79" s="14" t="s">
        <v>19</v>
      </c>
      <c r="R79" s="14" t="s">
        <v>20</v>
      </c>
      <c r="S79" s="14" t="s">
        <v>21</v>
      </c>
      <c r="T79" s="14" t="s">
        <v>22</v>
      </c>
      <c r="U79" s="14" t="s">
        <v>23</v>
      </c>
      <c r="V79" s="14" t="s">
        <v>24</v>
      </c>
      <c r="W79" s="14" t="s">
        <v>25</v>
      </c>
      <c r="X79" s="14" t="s">
        <v>26</v>
      </c>
      <c r="Y79" s="14" t="s">
        <v>27</v>
      </c>
      <c r="Z79" s="14" t="s">
        <v>28</v>
      </c>
      <c r="AA79" s="14" t="s">
        <v>29</v>
      </c>
      <c r="AB79" s="14" t="s">
        <v>30</v>
      </c>
      <c r="AC79" s="14" t="s">
        <v>31</v>
      </c>
      <c r="AD79" s="14" t="s">
        <v>32</v>
      </c>
      <c r="AE79" s="14" t="s">
        <v>33</v>
      </c>
      <c r="AF79" s="14" t="s">
        <v>34</v>
      </c>
      <c r="AG79" s="14" t="s">
        <v>35</v>
      </c>
      <c r="AH79" s="14" t="s">
        <v>36</v>
      </c>
      <c r="AI79" s="14" t="s">
        <v>37</v>
      </c>
      <c r="AJ79" s="14" t="s">
        <v>38</v>
      </c>
      <c r="AK79" s="15"/>
    </row>
    <row r="80" ht="12.75" customHeight="1" spans="2:37" x14ac:dyDescent="0.25">
      <c r="B80" s="16" t="s">
        <v>41</v>
      </c>
      <c r="C80" s="17"/>
      <c r="D80" s="17"/>
      <c r="E80" s="18">
        <f>E11</f>
      </c>
      <c r="F80" s="18">
        <f>F11</f>
      </c>
      <c r="G80" s="18">
        <f>G11</f>
      </c>
      <c r="H80" s="18">
        <f>H11</f>
      </c>
      <c r="I80" s="18">
        <f>I11</f>
      </c>
      <c r="J80" s="18">
        <f>J11</f>
      </c>
      <c r="K80" s="18">
        <f>K11</f>
      </c>
      <c r="L80" s="18">
        <f>L11</f>
      </c>
      <c r="M80" s="18">
        <f>M11</f>
      </c>
      <c r="N80" s="18">
        <f>N11</f>
      </c>
      <c r="O80" s="18">
        <f>O11</f>
      </c>
      <c r="P80" s="18">
        <f>P11</f>
      </c>
      <c r="Q80" s="18">
        <f>Q11</f>
      </c>
      <c r="R80" s="18">
        <f>R11</f>
      </c>
      <c r="S80" s="18">
        <f>S11</f>
      </c>
      <c r="T80" s="18">
        <f>T11</f>
      </c>
      <c r="U80" s="18">
        <f>U11</f>
      </c>
      <c r="V80" s="18">
        <f>V11</f>
      </c>
      <c r="W80" s="18">
        <f>W11</f>
      </c>
      <c r="X80" s="18">
        <f>X11</f>
      </c>
      <c r="Y80" s="18">
        <f>Y11</f>
      </c>
      <c r="Z80" s="18">
        <f>Z11</f>
      </c>
      <c r="AA80" s="18">
        <f>AA11</f>
      </c>
      <c r="AB80" s="18">
        <f>AB11</f>
      </c>
      <c r="AC80" s="18">
        <f>AC11</f>
      </c>
      <c r="AD80" s="18">
        <f>AD11</f>
      </c>
      <c r="AE80" s="18">
        <f>AE11</f>
      </c>
      <c r="AF80" s="18">
        <f>AF11</f>
      </c>
      <c r="AG80" s="18">
        <f>AG11</f>
      </c>
      <c r="AH80" s="18">
        <f>AH11</f>
      </c>
      <c r="AI80" s="18">
        <f>AI11</f>
      </c>
      <c r="AJ80" s="18">
        <f>AJ11</f>
      </c>
      <c r="AK80" s="19"/>
    </row>
    <row r="81" ht="12.75" customHeight="1" spans="2:37" x14ac:dyDescent="0.25">
      <c r="B81" s="16" t="s">
        <v>42</v>
      </c>
      <c r="C81" s="17"/>
      <c r="D81" s="17"/>
      <c r="E81" s="18">
        <f>E68</f>
      </c>
      <c r="F81" s="18">
        <f>F68</f>
      </c>
      <c r="G81" s="18">
        <f>G68</f>
      </c>
      <c r="H81" s="18">
        <f>H68</f>
      </c>
      <c r="I81" s="18">
        <f>I68</f>
      </c>
      <c r="J81" s="18">
        <f>J68</f>
      </c>
      <c r="K81" s="18">
        <f>K68</f>
      </c>
      <c r="L81" s="18">
        <f>L68</f>
      </c>
      <c r="M81" s="18">
        <f>M68</f>
      </c>
      <c r="N81" s="18">
        <f>N68</f>
      </c>
      <c r="O81" s="18">
        <f>O68</f>
      </c>
      <c r="P81" s="18">
        <f>P68</f>
      </c>
      <c r="Q81" s="18">
        <f>Q68</f>
      </c>
      <c r="R81" s="18">
        <f>R68</f>
      </c>
      <c r="S81" s="18">
        <f>S68</f>
      </c>
      <c r="T81" s="18">
        <f>T68</f>
      </c>
      <c r="U81" s="18">
        <f>U68</f>
      </c>
      <c r="V81" s="18">
        <f>V68</f>
      </c>
      <c r="W81" s="18">
        <f>W68</f>
      </c>
      <c r="X81" s="18">
        <f>X68</f>
      </c>
      <c r="Y81" s="18">
        <f>Y68</f>
      </c>
      <c r="Z81" s="18">
        <f>Z68</f>
      </c>
      <c r="AA81" s="18">
        <f>AA68</f>
      </c>
      <c r="AB81" s="18">
        <f>AB68</f>
      </c>
      <c r="AC81" s="18">
        <f>AC68</f>
      </c>
      <c r="AD81" s="18">
        <f>AD68</f>
      </c>
      <c r="AE81" s="18">
        <f>AE68</f>
      </c>
      <c r="AF81" s="18">
        <f>AF68</f>
      </c>
      <c r="AG81" s="18">
        <f>AG68</f>
      </c>
      <c r="AH81" s="18">
        <f>AH68</f>
      </c>
      <c r="AI81" s="18">
        <f>AI68</f>
      </c>
      <c r="AJ81" s="18">
        <f>AJ68</f>
      </c>
      <c r="AK81" s="19"/>
    </row>
    <row r="82" ht="12.75" customHeight="1" spans="2:37" x14ac:dyDescent="0.25">
      <c r="B82" s="16" t="s">
        <v>43</v>
      </c>
      <c r="C82" s="17"/>
      <c r="D82" s="17"/>
      <c r="E82" s="18">
        <f>E72</f>
      </c>
      <c r="F82" s="18">
        <f>F72</f>
      </c>
      <c r="G82" s="18">
        <f>G72</f>
      </c>
      <c r="H82" s="18">
        <f>H72</f>
      </c>
      <c r="I82" s="18">
        <f>I72</f>
      </c>
      <c r="J82" s="18">
        <f>J72</f>
      </c>
      <c r="K82" s="18">
        <f>K72</f>
      </c>
      <c r="L82" s="18">
        <f>L72</f>
      </c>
      <c r="M82" s="18">
        <f>M72</f>
      </c>
      <c r="N82" s="18">
        <f>N72</f>
      </c>
      <c r="O82" s="18">
        <f>O72</f>
      </c>
      <c r="P82" s="18">
        <f>P72</f>
      </c>
      <c r="Q82" s="18">
        <f>Q72</f>
      </c>
      <c r="R82" s="18">
        <f>R72</f>
      </c>
      <c r="S82" s="18">
        <f>S72</f>
      </c>
      <c r="T82" s="18">
        <f>T72</f>
      </c>
      <c r="U82" s="18">
        <f>U72</f>
      </c>
      <c r="V82" s="18">
        <f>V72</f>
      </c>
      <c r="W82" s="18">
        <f>W72</f>
      </c>
      <c r="X82" s="18">
        <f>X72</f>
      </c>
      <c r="Y82" s="18">
        <f>Y72</f>
      </c>
      <c r="Z82" s="18">
        <f>Z72</f>
      </c>
      <c r="AA82" s="18">
        <f>AA72</f>
      </c>
      <c r="AB82" s="18">
        <f>AB72</f>
      </c>
      <c r="AC82" s="18">
        <f>AC72</f>
      </c>
      <c r="AD82" s="18">
        <f>AD72</f>
      </c>
      <c r="AE82" s="18">
        <f>AE72</f>
      </c>
      <c r="AF82" s="18">
        <f>AF72</f>
      </c>
      <c r="AG82" s="18">
        <f>AG72</f>
      </c>
      <c r="AH82" s="18">
        <f>AH72</f>
      </c>
      <c r="AI82" s="18">
        <f>AI72</f>
      </c>
      <c r="AJ82" s="18">
        <f>AJ72</f>
      </c>
      <c r="AK82" s="19"/>
    </row>
    <row r="83" ht="12.75" customHeight="1" spans="2:37" x14ac:dyDescent="0.25">
      <c r="B83" s="16" t="s">
        <v>44</v>
      </c>
      <c r="C83" s="17"/>
      <c r="D83" s="17"/>
      <c r="E83" s="18">
        <f>E76</f>
      </c>
      <c r="F83" s="18">
        <f>F76</f>
      </c>
      <c r="G83" s="18">
        <f>G76</f>
      </c>
      <c r="H83" s="18">
        <f>H76</f>
      </c>
      <c r="I83" s="18">
        <f>I76</f>
      </c>
      <c r="J83" s="18">
        <f>J76</f>
      </c>
      <c r="K83" s="18">
        <f>K76</f>
      </c>
      <c r="L83" s="18">
        <f>L76</f>
      </c>
      <c r="M83" s="18">
        <f>M76</f>
      </c>
      <c r="N83" s="18">
        <f>N76</f>
      </c>
      <c r="O83" s="18">
        <f>O76</f>
      </c>
      <c r="P83" s="18">
        <f>P76</f>
      </c>
      <c r="Q83" s="18">
        <f>Q76</f>
      </c>
      <c r="R83" s="18">
        <f>R76</f>
      </c>
      <c r="S83" s="18">
        <f>S76</f>
      </c>
      <c r="T83" s="18">
        <f>T76</f>
      </c>
      <c r="U83" s="18">
        <f>U76</f>
      </c>
      <c r="V83" s="18">
        <f>V76</f>
      </c>
      <c r="W83" s="18">
        <f>W76</f>
      </c>
      <c r="X83" s="18">
        <f>X76</f>
      </c>
      <c r="Y83" s="18">
        <f>Y76</f>
      </c>
      <c r="Z83" s="18">
        <f>Z76</f>
      </c>
      <c r="AA83" s="18">
        <f>AA76</f>
      </c>
      <c r="AB83" s="18">
        <f>AB76</f>
      </c>
      <c r="AC83" s="18">
        <f>AC76</f>
      </c>
      <c r="AD83" s="18">
        <f>AD76</f>
      </c>
      <c r="AE83" s="18">
        <f>AE76</f>
      </c>
      <c r="AF83" s="18">
        <f>AF76</f>
      </c>
      <c r="AG83" s="18">
        <f>AG76</f>
      </c>
      <c r="AH83" s="18">
        <f>AH76</f>
      </c>
      <c r="AI83" s="18">
        <f>AI76</f>
      </c>
      <c r="AJ83" s="18">
        <f>AJ76</f>
      </c>
      <c r="AK83" s="19"/>
    </row>
    <row r="84" ht="12.75" customHeight="1" spans="2:37" x14ac:dyDescent="0.25">
      <c r="B84" s="20" t="s">
        <v>45</v>
      </c>
      <c r="C84" s="21"/>
      <c r="D84" s="21"/>
      <c r="E84" s="22">
        <f>E80+E81+E82+E83</f>
      </c>
      <c r="F84" s="22">
        <f>F80+F81+F82+F83</f>
      </c>
      <c r="G84" s="22">
        <f>G80+G81+G82+G83</f>
      </c>
      <c r="H84" s="22">
        <f>H80+H81+H82+H83</f>
      </c>
      <c r="I84" s="22">
        <f>I80+I81+I82+I83</f>
      </c>
      <c r="J84" s="22">
        <f>J80+J81+J82+J83</f>
      </c>
      <c r="K84" s="22">
        <f>K80+K81+K82+K83</f>
      </c>
      <c r="L84" s="22">
        <f>L80+L81+L82+L83</f>
      </c>
      <c r="M84" s="22">
        <f>M80+M81+M82+M83</f>
      </c>
      <c r="N84" s="22">
        <f>N80+N81+N82+N83</f>
      </c>
      <c r="O84" s="22">
        <f>O80+O81+O82+O83</f>
      </c>
      <c r="P84" s="22">
        <f>P80+P81+P82+P83</f>
      </c>
      <c r="Q84" s="22">
        <f>Q80+Q81+Q82+Q83</f>
      </c>
      <c r="R84" s="22">
        <f>R80+R81+R82+R83</f>
      </c>
      <c r="S84" s="22">
        <f>S80+S81+S82+S83</f>
      </c>
      <c r="T84" s="22">
        <f>T80+T81+T82+T83</f>
      </c>
      <c r="U84" s="22">
        <f>U80+U81+U82+U83</f>
      </c>
      <c r="V84" s="22">
        <f>V80+V81+V82+V83</f>
      </c>
      <c r="W84" s="22">
        <f>W80+W81+W82+W83</f>
      </c>
      <c r="X84" s="22">
        <f>X80+X81+X82+X83</f>
      </c>
      <c r="Y84" s="22">
        <f>Y80+Y81+Y82+Y83</f>
      </c>
      <c r="Z84" s="22">
        <f>Z80+Z81+Z82+Z83</f>
      </c>
      <c r="AA84" s="22">
        <f>AA80+AA81+AA82+AA83</f>
      </c>
      <c r="AB84" s="22">
        <f>AB80+AB81+AB82+AB83</f>
      </c>
      <c r="AC84" s="22">
        <f>AC80+AC81+AC82+AC83</f>
      </c>
      <c r="AD84" s="22">
        <f>AD80+AD81+AD82+AD83</f>
      </c>
      <c r="AE84" s="22">
        <f>AE80+AE81+AE82+AE83</f>
      </c>
      <c r="AF84" s="22">
        <f>AF80+AF81+AF82+AF83</f>
      </c>
      <c r="AG84" s="22">
        <f>AG80+AG81+AG82+AG83</f>
      </c>
      <c r="AH84" s="22">
        <f>AH80+AH81+AH82+AH83</f>
      </c>
      <c r="AI84" s="22">
        <f>AI80+AI81+AI82+AI83</f>
      </c>
      <c r="AJ84" s="22">
        <f>AJ80+AJ81+AJ82+AJ83</f>
      </c>
      <c r="AK84" s="23"/>
    </row>
    <row r="86" ht="12.75" customHeight="1" spans="2:37" x14ac:dyDescent="0.25">
      <c r="B86" s="11" t="s">
        <v>46</v>
      </c>
      <c r="C86" s="12"/>
      <c r="D86" s="13"/>
      <c r="E86" s="14" t="s">
        <v>7</v>
      </c>
      <c r="F86" s="14" t="s">
        <v>8</v>
      </c>
      <c r="G86" s="14" t="s">
        <v>9</v>
      </c>
      <c r="H86" s="14" t="s">
        <v>10</v>
      </c>
      <c r="I86" s="14" t="s">
        <v>11</v>
      </c>
      <c r="J86" s="14" t="s">
        <v>12</v>
      </c>
      <c r="K86" s="14" t="s">
        <v>13</v>
      </c>
      <c r="L86" s="14" t="s">
        <v>14</v>
      </c>
      <c r="M86" s="14" t="s">
        <v>15</v>
      </c>
      <c r="N86" s="14" t="s">
        <v>16</v>
      </c>
      <c r="O86" s="14" t="s">
        <v>17</v>
      </c>
      <c r="P86" s="14" t="s">
        <v>18</v>
      </c>
      <c r="Q86" s="14" t="s">
        <v>19</v>
      </c>
      <c r="R86" s="14" t="s">
        <v>20</v>
      </c>
      <c r="S86" s="14" t="s">
        <v>21</v>
      </c>
      <c r="T86" s="14" t="s">
        <v>22</v>
      </c>
      <c r="U86" s="14" t="s">
        <v>23</v>
      </c>
      <c r="V86" s="14" t="s">
        <v>24</v>
      </c>
      <c r="W86" s="14" t="s">
        <v>25</v>
      </c>
      <c r="X86" s="14" t="s">
        <v>26</v>
      </c>
      <c r="Y86" s="14" t="s">
        <v>27</v>
      </c>
      <c r="Z86" s="14" t="s">
        <v>28</v>
      </c>
      <c r="AA86" s="14" t="s">
        <v>29</v>
      </c>
      <c r="AB86" s="14" t="s">
        <v>30</v>
      </c>
      <c r="AC86" s="14" t="s">
        <v>31</v>
      </c>
      <c r="AD86" s="14" t="s">
        <v>32</v>
      </c>
      <c r="AE86" s="14" t="s">
        <v>33</v>
      </c>
      <c r="AF86" s="14" t="s">
        <v>34</v>
      </c>
      <c r="AG86" s="14" t="s">
        <v>35</v>
      </c>
      <c r="AH86" s="14" t="s">
        <v>36</v>
      </c>
      <c r="AI86" s="14" t="s">
        <v>37</v>
      </c>
      <c r="AJ86" s="14" t="s">
        <v>38</v>
      </c>
      <c r="AK86" s="15"/>
    </row>
    <row r="87" ht="12.75" customHeight="1" spans="2:37" x14ac:dyDescent="0.25">
      <c r="B87" s="16" t="s">
        <v>41</v>
      </c>
      <c r="C87" s="17"/>
      <c r="D87" s="1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9"/>
    </row>
    <row r="88" ht="12.75" customHeight="1" spans="2:37" x14ac:dyDescent="0.25">
      <c r="B88" s="16" t="s">
        <v>42</v>
      </c>
      <c r="C88" s="17"/>
      <c r="D88" s="1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9"/>
    </row>
    <row r="89" ht="12.75" customHeight="1" spans="2:37" x14ac:dyDescent="0.25">
      <c r="B89" s="16" t="s">
        <v>43</v>
      </c>
      <c r="C89" s="17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9"/>
    </row>
    <row r="90" ht="12.75" customHeight="1" spans="2:37" x14ac:dyDescent="0.25">
      <c r="B90" s="16" t="s">
        <v>44</v>
      </c>
      <c r="C90" s="17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9"/>
    </row>
    <row r="91" ht="12.75" customHeight="1" spans="2:37" x14ac:dyDescent="0.25">
      <c r="B91" s="20" t="s">
        <v>45</v>
      </c>
      <c r="C91" s="21"/>
      <c r="D91" s="21"/>
      <c r="E91" s="22">
        <f>E87+E88+E89+E90</f>
      </c>
      <c r="F91" s="22">
        <f>F87+F88+F89+F90</f>
      </c>
      <c r="G91" s="22">
        <f>G87+G88+G89+G90</f>
      </c>
      <c r="H91" s="22">
        <f>H87+H88+H89+H90</f>
      </c>
      <c r="I91" s="22">
        <f>I87+I88+I89+I90</f>
      </c>
      <c r="J91" s="22">
        <f>J87+J88+J89+J90</f>
      </c>
      <c r="K91" s="22">
        <f>K87+K88+K89+K90</f>
      </c>
      <c r="L91" s="22">
        <f>L87+L88+L89+L90</f>
      </c>
      <c r="M91" s="22">
        <f>M87+M88+M89+M90</f>
      </c>
      <c r="N91" s="22">
        <f>N87+N88+N89+N90</f>
      </c>
      <c r="O91" s="22">
        <f>O87+O88+O89+O90</f>
      </c>
      <c r="P91" s="22">
        <f>P87+P88+P89+P90</f>
      </c>
      <c r="Q91" s="22">
        <f>Q87+Q88+Q89+Q90</f>
      </c>
      <c r="R91" s="22">
        <f>R87+R88+R89+R90</f>
      </c>
      <c r="S91" s="22">
        <f>S87+S88+S89+S90</f>
      </c>
      <c r="T91" s="22">
        <f>T87+T88+T89+T90</f>
      </c>
      <c r="U91" s="22">
        <f>U87+U88+U89+U90</f>
      </c>
      <c r="V91" s="22">
        <f>V87+V88+V89+V90</f>
      </c>
      <c r="W91" s="22">
        <f>W87+W88+W89+W90</f>
      </c>
      <c r="X91" s="22">
        <f>X87+X88+X89+X90</f>
      </c>
      <c r="Y91" s="22">
        <f>Y87+Y88+Y89+Y90</f>
      </c>
      <c r="Z91" s="22">
        <f>Z87+Z88+Z89+Z90</f>
      </c>
      <c r="AA91" s="22">
        <f>AA87+AA88+AA89+AA90</f>
      </c>
      <c r="AB91" s="22">
        <f>AB87+AB88+AB89+AB90</f>
      </c>
      <c r="AC91" s="22">
        <f>AC87+AC88+AC89+AC90</f>
      </c>
      <c r="AD91" s="22">
        <f>AD87+AD88+AD89+AD90</f>
      </c>
      <c r="AE91" s="22">
        <f>AE87+AE88+AE89+AE90</f>
      </c>
      <c r="AF91" s="22">
        <f>AF87+AF88+AF89+AF90</f>
      </c>
      <c r="AG91" s="22">
        <f>AG87+AG88+AG89+AG90</f>
      </c>
      <c r="AH91" s="22">
        <f>AH87+AH88+AH89+AH90</f>
      </c>
      <c r="AI91" s="22">
        <f>AI87+AI88+AI89+AI90</f>
      </c>
      <c r="AJ91" s="22">
        <f>AJ87+AJ88+AJ89+AJ90</f>
      </c>
      <c r="AK91" s="23"/>
    </row>
    <row r="93" ht="12.75" customHeight="1" spans="2:37" x14ac:dyDescent="0.25">
      <c r="B93" s="11" t="s">
        <v>47</v>
      </c>
      <c r="C93" s="12"/>
      <c r="D93" s="13"/>
      <c r="E93" s="14" t="s">
        <v>7</v>
      </c>
      <c r="F93" s="14" t="s">
        <v>8</v>
      </c>
      <c r="G93" s="14" t="s">
        <v>9</v>
      </c>
      <c r="H93" s="14" t="s">
        <v>10</v>
      </c>
      <c r="I93" s="14" t="s">
        <v>11</v>
      </c>
      <c r="J93" s="14" t="s">
        <v>12</v>
      </c>
      <c r="K93" s="14" t="s">
        <v>13</v>
      </c>
      <c r="L93" s="14" t="s">
        <v>14</v>
      </c>
      <c r="M93" s="14" t="s">
        <v>15</v>
      </c>
      <c r="N93" s="14" t="s">
        <v>16</v>
      </c>
      <c r="O93" s="14" t="s">
        <v>17</v>
      </c>
      <c r="P93" s="14" t="s">
        <v>18</v>
      </c>
      <c r="Q93" s="14" t="s">
        <v>19</v>
      </c>
      <c r="R93" s="14" t="s">
        <v>20</v>
      </c>
      <c r="S93" s="14" t="s">
        <v>21</v>
      </c>
      <c r="T93" s="14" t="s">
        <v>22</v>
      </c>
      <c r="U93" s="14" t="s">
        <v>23</v>
      </c>
      <c r="V93" s="14" t="s">
        <v>24</v>
      </c>
      <c r="W93" s="14" t="s">
        <v>25</v>
      </c>
      <c r="X93" s="14" t="s">
        <v>26</v>
      </c>
      <c r="Y93" s="14" t="s">
        <v>27</v>
      </c>
      <c r="Z93" s="14" t="s">
        <v>28</v>
      </c>
      <c r="AA93" s="14" t="s">
        <v>29</v>
      </c>
      <c r="AB93" s="14" t="s">
        <v>30</v>
      </c>
      <c r="AC93" s="14" t="s">
        <v>31</v>
      </c>
      <c r="AD93" s="14" t="s">
        <v>32</v>
      </c>
      <c r="AE93" s="14" t="s">
        <v>33</v>
      </c>
      <c r="AF93" s="14" t="s">
        <v>34</v>
      </c>
      <c r="AG93" s="14" t="s">
        <v>35</v>
      </c>
      <c r="AH93" s="14" t="s">
        <v>36</v>
      </c>
      <c r="AI93" s="14" t="s">
        <v>37</v>
      </c>
      <c r="AJ93" s="14" t="s">
        <v>38</v>
      </c>
      <c r="AK93" s="15"/>
    </row>
    <row r="94" ht="12.75" customHeight="1" spans="2:37" x14ac:dyDescent="0.25">
      <c r="B94" s="16" t="s">
        <v>41</v>
      </c>
      <c r="C94" s="17"/>
      <c r="D94" s="17"/>
      <c r="E94" s="24">
        <f>E87-E80</f>
      </c>
      <c r="F94" s="24">
        <f>F87-F80</f>
      </c>
      <c r="G94" s="24">
        <f>G87-G80</f>
      </c>
      <c r="H94" s="24">
        <f>H87-H80</f>
      </c>
      <c r="I94" s="24">
        <f>I87-I80</f>
      </c>
      <c r="J94" s="24">
        <f>J87-J80</f>
      </c>
      <c r="K94" s="24">
        <f>K87-K80</f>
      </c>
      <c r="L94" s="24">
        <f>L87-L80</f>
      </c>
      <c r="M94" s="24">
        <f>M87-M80</f>
      </c>
      <c r="N94" s="24">
        <f>N87-N80</f>
      </c>
      <c r="O94" s="24">
        <f>O87-O80</f>
      </c>
      <c r="P94" s="24">
        <f>P87-P80</f>
      </c>
      <c r="Q94" s="24">
        <f>Q87-Q80</f>
      </c>
      <c r="R94" s="24">
        <f>R87-R80</f>
      </c>
      <c r="S94" s="24">
        <f>S87-S80</f>
      </c>
      <c r="T94" s="24">
        <f>T87-T80</f>
      </c>
      <c r="U94" s="24">
        <f>U87-U80</f>
      </c>
      <c r="V94" s="24">
        <f>V87-V80</f>
      </c>
      <c r="W94" s="24">
        <f>W87-W80</f>
      </c>
      <c r="X94" s="24">
        <f>X87-X80</f>
      </c>
      <c r="Y94" s="24">
        <f>Y87-Y80</f>
      </c>
      <c r="Z94" s="24">
        <f>Z87-Z80</f>
      </c>
      <c r="AA94" s="24">
        <f>AA87-AA80</f>
      </c>
      <c r="AB94" s="24">
        <f>AB87-AB80</f>
      </c>
      <c r="AC94" s="24">
        <f>AC87-AC80</f>
      </c>
      <c r="AD94" s="24">
        <f>AD87-AD80</f>
      </c>
      <c r="AE94" s="24">
        <f>AE87-AE80</f>
      </c>
      <c r="AF94" s="24">
        <f>AF87-AF80</f>
      </c>
      <c r="AG94" s="24">
        <f>AG87-AG80</f>
      </c>
      <c r="AH94" s="24">
        <f>AH87-AH80</f>
      </c>
      <c r="AI94" s="24">
        <f>AI87-AI80</f>
      </c>
      <c r="AJ94" s="24">
        <f>AJ87-AJ80</f>
      </c>
      <c r="AK94" s="19"/>
    </row>
    <row r="95" ht="12.75" customHeight="1" spans="2:37" x14ac:dyDescent="0.25">
      <c r="B95" s="16" t="s">
        <v>42</v>
      </c>
      <c r="C95" s="17"/>
      <c r="D95" s="17"/>
      <c r="E95" s="24">
        <f>E88-E81</f>
      </c>
      <c r="F95" s="24">
        <f>F88-F81</f>
      </c>
      <c r="G95" s="24">
        <f>G88-G81</f>
      </c>
      <c r="H95" s="24">
        <f>H88-H81</f>
      </c>
      <c r="I95" s="24">
        <f>I88-I81</f>
      </c>
      <c r="J95" s="24">
        <f>J88-J81</f>
      </c>
      <c r="K95" s="24">
        <f>K88-K81</f>
      </c>
      <c r="L95" s="24">
        <f>L88-L81</f>
      </c>
      <c r="M95" s="24">
        <f>M88-M81</f>
      </c>
      <c r="N95" s="24">
        <f>N88-N81</f>
      </c>
      <c r="O95" s="24">
        <f>O88-O81</f>
      </c>
      <c r="P95" s="24">
        <f>P88-P81</f>
      </c>
      <c r="Q95" s="24">
        <f>Q88-Q81</f>
      </c>
      <c r="R95" s="24">
        <f>R88-R81</f>
      </c>
      <c r="S95" s="24">
        <f>S88-S81</f>
      </c>
      <c r="T95" s="24">
        <f>T88-T81</f>
      </c>
      <c r="U95" s="24">
        <f>U88-U81</f>
      </c>
      <c r="V95" s="24">
        <f>V88-V81</f>
      </c>
      <c r="W95" s="24">
        <f>W88-W81</f>
      </c>
      <c r="X95" s="24">
        <f>X88-X81</f>
      </c>
      <c r="Y95" s="24">
        <f>Y88-Y81</f>
      </c>
      <c r="Z95" s="24">
        <f>Z88-Z81</f>
      </c>
      <c r="AA95" s="24">
        <f>AA88-AA81</f>
      </c>
      <c r="AB95" s="24">
        <f>AB88-AB81</f>
      </c>
      <c r="AC95" s="24">
        <f>AC88-AC81</f>
      </c>
      <c r="AD95" s="24">
        <f>AD88-AD81</f>
      </c>
      <c r="AE95" s="24">
        <f>AE88-AE81</f>
      </c>
      <c r="AF95" s="24">
        <f>AF88-AF81</f>
      </c>
      <c r="AG95" s="24">
        <f>AG88-AG81</f>
      </c>
      <c r="AH95" s="24">
        <f>AH88-AH81</f>
      </c>
      <c r="AI95" s="24">
        <f>AI88-AI81</f>
      </c>
      <c r="AJ95" s="24">
        <f>AJ88-AJ81</f>
      </c>
      <c r="AK95" s="19"/>
    </row>
    <row r="96" ht="12.75" customHeight="1" spans="2:37" x14ac:dyDescent="0.25">
      <c r="B96" s="16" t="s">
        <v>43</v>
      </c>
      <c r="C96" s="17"/>
      <c r="D96" s="17"/>
      <c r="E96" s="24">
        <f>E89-E82</f>
      </c>
      <c r="F96" s="24">
        <f>F89-F82</f>
      </c>
      <c r="G96" s="24">
        <f>G89-G82</f>
      </c>
      <c r="H96" s="24">
        <f>H89-H82</f>
      </c>
      <c r="I96" s="24">
        <f>I89-I82</f>
      </c>
      <c r="J96" s="24">
        <f>J89-J82</f>
      </c>
      <c r="K96" s="24">
        <f>K89-K82</f>
      </c>
      <c r="L96" s="24">
        <f>L89-L82</f>
      </c>
      <c r="M96" s="24">
        <f>M89-M82</f>
      </c>
      <c r="N96" s="24">
        <f>N89-N82</f>
      </c>
      <c r="O96" s="24">
        <f>O89-O82</f>
      </c>
      <c r="P96" s="24">
        <f>P89-P82</f>
      </c>
      <c r="Q96" s="24">
        <f>Q89-Q82</f>
      </c>
      <c r="R96" s="24">
        <f>R89-R82</f>
      </c>
      <c r="S96" s="24">
        <f>S89-S82</f>
      </c>
      <c r="T96" s="24">
        <f>T89-T82</f>
      </c>
      <c r="U96" s="24">
        <f>U89-U82</f>
      </c>
      <c r="V96" s="24">
        <f>V89-V82</f>
      </c>
      <c r="W96" s="24">
        <f>W89-W82</f>
      </c>
      <c r="X96" s="24">
        <f>X89-X82</f>
      </c>
      <c r="Y96" s="24">
        <f>Y89-Y82</f>
      </c>
      <c r="Z96" s="24">
        <f>Z89-Z82</f>
      </c>
      <c r="AA96" s="24">
        <f>AA89-AA82</f>
      </c>
      <c r="AB96" s="24">
        <f>AB89-AB82</f>
      </c>
      <c r="AC96" s="24">
        <f>AC89-AC82</f>
      </c>
      <c r="AD96" s="24">
        <f>AD89-AD82</f>
      </c>
      <c r="AE96" s="24">
        <f>AE89-AE82</f>
      </c>
      <c r="AF96" s="24">
        <f>AF89-AF82</f>
      </c>
      <c r="AG96" s="24">
        <f>AG89-AG82</f>
      </c>
      <c r="AH96" s="24">
        <f>AH89-AH82</f>
      </c>
      <c r="AI96" s="24">
        <f>AI89-AI82</f>
      </c>
      <c r="AJ96" s="24">
        <f>AJ89-AJ82</f>
      </c>
      <c r="AK96" s="19"/>
    </row>
    <row r="97" ht="12.75" customHeight="1" spans="2:37" x14ac:dyDescent="0.25">
      <c r="B97" s="16" t="s">
        <v>44</v>
      </c>
      <c r="C97" s="17"/>
      <c r="D97" s="17"/>
      <c r="E97" s="24">
        <f>E90-E83</f>
      </c>
      <c r="F97" s="24">
        <f>F90-F83</f>
      </c>
      <c r="G97" s="24">
        <f>G90-G83</f>
      </c>
      <c r="H97" s="24">
        <f>H90-H83</f>
      </c>
      <c r="I97" s="24">
        <f>I90-I83</f>
      </c>
      <c r="J97" s="24">
        <f>J90-J83</f>
      </c>
      <c r="K97" s="24">
        <f>K90-K83</f>
      </c>
      <c r="L97" s="24">
        <f>L90-L83</f>
      </c>
      <c r="M97" s="24">
        <f>M90-M83</f>
      </c>
      <c r="N97" s="24">
        <f>N90-N83</f>
      </c>
      <c r="O97" s="24">
        <f>O90-O83</f>
      </c>
      <c r="P97" s="24">
        <f>P90-P83</f>
      </c>
      <c r="Q97" s="24">
        <f>Q90-Q83</f>
      </c>
      <c r="R97" s="24">
        <f>R90-R83</f>
      </c>
      <c r="S97" s="24">
        <f>S90-S83</f>
      </c>
      <c r="T97" s="24">
        <f>T90-T83</f>
      </c>
      <c r="U97" s="24">
        <f>U90-U83</f>
      </c>
      <c r="V97" s="24">
        <f>V90-V83</f>
      </c>
      <c r="W97" s="24">
        <f>W90-W83</f>
      </c>
      <c r="X97" s="24">
        <f>X90-X83</f>
      </c>
      <c r="Y97" s="24">
        <f>Y90-Y83</f>
      </c>
      <c r="Z97" s="24">
        <f>Z90-Z83</f>
      </c>
      <c r="AA97" s="24">
        <f>AA90-AA83</f>
      </c>
      <c r="AB97" s="24">
        <f>AB90-AB83</f>
      </c>
      <c r="AC97" s="24">
        <f>AC90-AC83</f>
      </c>
      <c r="AD97" s="24">
        <f>AD90-AD83</f>
      </c>
      <c r="AE97" s="24">
        <f>AE90-AE83</f>
      </c>
      <c r="AF97" s="24">
        <f>AF90-AF83</f>
      </c>
      <c r="AG97" s="24">
        <f>AG90-AG83</f>
      </c>
      <c r="AH97" s="24">
        <f>AH90-AH83</f>
      </c>
      <c r="AI97" s="24">
        <f>AI90-AI83</f>
      </c>
      <c r="AJ97" s="24">
        <f>AJ90-AJ83</f>
      </c>
      <c r="AK97" s="19"/>
    </row>
    <row r="98" ht="12.75" customHeight="1" spans="2:37" x14ac:dyDescent="0.25">
      <c r="B98" s="20" t="s">
        <v>45</v>
      </c>
      <c r="C98" s="21"/>
      <c r="D98" s="21"/>
      <c r="E98" s="25">
        <f>E94+E95+E96+E97</f>
      </c>
      <c r="F98" s="25">
        <f>F94+F95+F96+F97</f>
      </c>
      <c r="G98" s="25">
        <f>G94+G95+G96+G97</f>
      </c>
      <c r="H98" s="25">
        <f>H94+H95+H96+H97</f>
      </c>
      <c r="I98" s="25">
        <f>I94+I95+I96+I97</f>
      </c>
      <c r="J98" s="25">
        <f>J94+J95+J96+J97</f>
      </c>
      <c r="K98" s="25">
        <f>K94+K95+K96+K97</f>
      </c>
      <c r="L98" s="25">
        <f>L94+L95+L96+L97</f>
      </c>
      <c r="M98" s="25">
        <f>M94+M95+M96+M97</f>
      </c>
      <c r="N98" s="25">
        <f>N94+N95+N96+N97</f>
      </c>
      <c r="O98" s="25">
        <f>O94+O95+O96+O97</f>
      </c>
      <c r="P98" s="25">
        <f>P94+P95+P96+P97</f>
      </c>
      <c r="Q98" s="25">
        <f>Q94+Q95+Q96+Q97</f>
      </c>
      <c r="R98" s="25">
        <f>R94+R95+R96+R97</f>
      </c>
      <c r="S98" s="25">
        <f>S94+S95+S96+S97</f>
      </c>
      <c r="T98" s="25">
        <f>T94+T95+T96+T97</f>
      </c>
      <c r="U98" s="25">
        <f>U94+U95+U96+U97</f>
      </c>
      <c r="V98" s="25">
        <f>V94+V95+V96+V97</f>
      </c>
      <c r="W98" s="25">
        <f>W94+W95+W96+W97</f>
      </c>
      <c r="X98" s="25">
        <f>X94+X95+X96+X97</f>
      </c>
      <c r="Y98" s="25">
        <f>Y94+Y95+Y96+Y97</f>
      </c>
      <c r="Z98" s="25">
        <f>Z94+Z95+Z96+Z97</f>
      </c>
      <c r="AA98" s="25">
        <f>AA94+AA95+AA96+AA97</f>
      </c>
      <c r="AB98" s="25">
        <f>AB94+AB95+AB96+AB97</f>
      </c>
      <c r="AC98" s="25">
        <f>AC94+AC95+AC96+AC97</f>
      </c>
      <c r="AD98" s="25">
        <f>AD94+AD95+AD96+AD97</f>
      </c>
      <c r="AE98" s="25">
        <f>AE94+AE95+AE96+AE97</f>
      </c>
      <c r="AF98" s="25">
        <f>AF94+AF95+AF96+AF97</f>
      </c>
      <c r="AG98" s="25">
        <f>AG94+AG95+AG96+AG97</f>
      </c>
      <c r="AH98" s="25">
        <f>AH94+AH95+AH96+AH97</f>
      </c>
      <c r="AI98" s="25">
        <f>AI94+AI95+AI96+AI97</f>
      </c>
      <c r="AJ98" s="25">
        <f>AJ94+AJ95+AJ96+AJ97</f>
      </c>
      <c r="AK98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99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2756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2811</v>
      </c>
      <c r="T8" s="44" t="s">
        <v>3</v>
      </c>
      <c r="U8" s="44" t="s">
        <v>3</v>
      </c>
      <c r="V8" s="44" t="s">
        <v>2812</v>
      </c>
      <c r="W8" s="44" t="s">
        <v>2813</v>
      </c>
      <c r="X8" s="44" t="s">
        <v>2814</v>
      </c>
      <c r="Y8" s="44" t="s">
        <v>2815</v>
      </c>
      <c r="Z8" s="44" t="s">
        <v>2816</v>
      </c>
      <c r="AA8" s="44" t="s">
        <v>2817</v>
      </c>
      <c r="AB8" s="44" t="s">
        <v>2818</v>
      </c>
      <c r="AC8" s="44" t="s">
        <v>2819</v>
      </c>
      <c r="AD8" s="44" t="s">
        <v>2820</v>
      </c>
      <c r="AE8" s="44" t="s">
        <v>2821</v>
      </c>
      <c r="AF8" s="44" t="s">
        <v>2822</v>
      </c>
      <c r="AG8" s="44" t="s">
        <v>2823</v>
      </c>
      <c r="AH8" s="44" t="s">
        <v>2824</v>
      </c>
      <c r="AI8" s="44" t="s">
        <v>2825</v>
      </c>
      <c r="AJ8" s="44" t="s">
        <v>2826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2756</v>
      </c>
      <c r="D10" s="50" t="s">
        <v>41</v>
      </c>
      <c r="E10" s="32" t="s">
        <v>3</v>
      </c>
      <c r="F10" s="32" t="s">
        <v>2757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>
        <f>411.70+612.79+301.47+1644.30</f>
        <v>2970.26</v>
      </c>
      <c r="W10" s="33">
        <f>1839.66+438.44+352.31+221.63+381.03+1741.84+669.72+94.30+346.93</f>
        <v>6085.860000000001</v>
      </c>
      <c r="X10" s="33">
        <f>563.74+205.18+929.49+134.66+73.66+132.90+1115.78+233.38+1098.15+244.06+248.06+499.45</f>
        <v>5478.510000000001</v>
      </c>
      <c r="Y10" s="33">
        <f>371.45+1266.98+400.46+295.19+531.15+163.55</f>
        <v>3028.78</v>
      </c>
      <c r="Z10" s="33">
        <f>68.57+295.19+846.35+287.12</f>
        <v>1497.23</v>
      </c>
      <c r="AA10" s="33">
        <f>1171.96+81.99+84.09+574.52+248.54</f>
        <v>2161.1</v>
      </c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4">
        <f>SUM(G10:AK10)</f>
      </c>
      <c r="AM10" s="35"/>
    </row>
    <row r="11" ht="13.5" customHeight="1" spans="2:39" x14ac:dyDescent="0.25">
      <c r="B11" s="5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ht="13.5" customHeight="1" spans="2:39" x14ac:dyDescent="0.25">
      <c r="B12" s="20"/>
      <c r="C12" s="21"/>
      <c r="D12" s="21" t="s">
        <v>64</v>
      </c>
      <c r="E12" s="21"/>
      <c r="F12" s="21"/>
      <c r="G12" s="22">
        <f>SUM(G10:G10)</f>
      </c>
      <c r="H12" s="22">
        <f>SUM(H10:H10)</f>
      </c>
      <c r="I12" s="22">
        <f>SUM(I10:I10)</f>
      </c>
      <c r="J12" s="22">
        <f>SUM(J10:J10)</f>
      </c>
      <c r="K12" s="22">
        <f>SUM(K10:K10)</f>
      </c>
      <c r="L12" s="22">
        <f>SUM(L10:L10)</f>
      </c>
      <c r="M12" s="22">
        <f>SUM(M10:M10)</f>
      </c>
      <c r="N12" s="22">
        <f>SUM(N10:N10)</f>
      </c>
      <c r="O12" s="22">
        <f>SUM(O10:O10)</f>
      </c>
      <c r="P12" s="22">
        <f>SUM(P10:P10)</f>
      </c>
      <c r="Q12" s="22">
        <f>SUM(Q10:Q10)</f>
      </c>
      <c r="R12" s="22">
        <f>SUM(R10:R10)</f>
      </c>
      <c r="S12" s="22">
        <f>SUM(S10:S10)</f>
      </c>
      <c r="T12" s="22">
        <f>SUM(T10:T10)</f>
      </c>
      <c r="U12" s="22">
        <f>SUM(U10:U10)</f>
      </c>
      <c r="V12" s="22">
        <f>SUM(V10:V10)</f>
      </c>
      <c r="W12" s="22">
        <f>SUM(W10:W10)</f>
      </c>
      <c r="X12" s="22">
        <f>SUM(X10:X10)</f>
      </c>
      <c r="Y12" s="22">
        <f>SUM(Y10:Y10)</f>
      </c>
      <c r="Z12" s="22">
        <f>SUM(Z10:Z10)</f>
      </c>
      <c r="AA12" s="22">
        <f>SUM(AA10:AA10)</f>
      </c>
      <c r="AB12" s="22">
        <f>SUM(AB10:AB10)</f>
      </c>
      <c r="AC12" s="22">
        <f>SUM(AC10:AC10)</f>
      </c>
      <c r="AD12" s="22">
        <f>SUM(AD10:AD10)</f>
      </c>
      <c r="AE12" s="22">
        <f>SUM(AE10:AE10)</f>
      </c>
      <c r="AF12" s="22">
        <f>SUM(AF10:AF10)</f>
      </c>
      <c r="AG12" s="22">
        <f>SUM(AG10:AG10)</f>
      </c>
      <c r="AH12" s="22">
        <f>SUM(AH10:AH10)</f>
      </c>
      <c r="AI12" s="22">
        <f>SUM(AI10:AI10)</f>
      </c>
      <c r="AJ12" s="22">
        <f>SUM(AJ10:AJ10)</f>
      </c>
      <c r="AK12" s="22">
        <f>SUM(AK10:AK10)</f>
      </c>
      <c r="AL12" s="22">
        <f>SUM(AL10:AL10)</f>
      </c>
      <c r="AM12" s="23"/>
    </row>
    <row r="14" ht="13.5" customHeight="1" spans="2:39" x14ac:dyDescent="0.25">
      <c r="B14" s="46"/>
      <c r="C14" s="28"/>
      <c r="D14" s="47" t="s">
        <v>42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</row>
    <row r="15" ht="13.5" customHeight="1" spans="2:39" x14ac:dyDescent="0.25">
      <c r="B15" s="48" t="s">
        <v>3</v>
      </c>
      <c r="C15" s="49" t="s">
        <v>2756</v>
      </c>
      <c r="D15" s="50" t="s">
        <v>42</v>
      </c>
      <c r="E15" s="32" t="s">
        <v>3</v>
      </c>
      <c r="F15" s="32" t="s">
        <v>2758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>
        <f>506.01+560.74</f>
        <v>1066.75</v>
      </c>
      <c r="W15" s="33">
        <f>650.84+721.22</f>
        <v>1372.06</v>
      </c>
      <c r="X15" s="33">
        <f>726.98+967.92</f>
        <v>1694.9</v>
      </c>
      <c r="Y15" s="33">
        <v>774.35</v>
      </c>
      <c r="Z15" s="33">
        <v>692.09</v>
      </c>
      <c r="AA15" s="33">
        <v>692.06</v>
      </c>
      <c r="AB15" s="33">
        <v>869.37</v>
      </c>
      <c r="AC15" s="33">
        <v>758.13</v>
      </c>
      <c r="AD15" s="33">
        <v>822.87</v>
      </c>
      <c r="AE15" s="33">
        <v>749.92</v>
      </c>
      <c r="AF15" s="33">
        <v>698.19</v>
      </c>
      <c r="AG15" s="33">
        <v>450.34</v>
      </c>
      <c r="AH15" s="33">
        <v>708.6</v>
      </c>
      <c r="AI15" s="33">
        <v>878.6</v>
      </c>
      <c r="AJ15" s="33">
        <v>839.64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2756</v>
      </c>
      <c r="D16" s="50" t="s">
        <v>42</v>
      </c>
      <c r="E16" s="32" t="s">
        <v>3</v>
      </c>
      <c r="F16" s="32" t="s">
        <v>2759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f>1799.41+1994.01</f>
        <v>3793.42</v>
      </c>
      <c r="W16" s="33">
        <f>1833.79+2032.10</f>
        <v>3865.89</v>
      </c>
      <c r="X16" s="33">
        <f>2852.17+1873.14</f>
        <v>4725.31</v>
      </c>
      <c r="Y16" s="33">
        <v>2108.22</v>
      </c>
      <c r="Z16" s="33">
        <v>2253.37</v>
      </c>
      <c r="AA16" s="33">
        <v>2256.47</v>
      </c>
      <c r="AB16" s="33">
        <v>2449.85</v>
      </c>
      <c r="AC16" s="33">
        <v>2287.05</v>
      </c>
      <c r="AD16" s="33">
        <v>2055.54</v>
      </c>
      <c r="AE16" s="33">
        <v>1787.42</v>
      </c>
      <c r="AF16" s="33">
        <v>1204.18</v>
      </c>
      <c r="AG16" s="33">
        <v>1069.21</v>
      </c>
      <c r="AH16" s="33">
        <v>1560.48</v>
      </c>
      <c r="AI16" s="33">
        <v>1648.49</v>
      </c>
      <c r="AJ16" s="33">
        <v>1381.18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2756</v>
      </c>
      <c r="D17" s="50" t="s">
        <v>42</v>
      </c>
      <c r="E17" s="32" t="s">
        <v>3</v>
      </c>
      <c r="F17" s="32" t="s">
        <v>2760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>
        <v>33.25</v>
      </c>
      <c r="W17" s="33">
        <v>36.04</v>
      </c>
      <c r="X17" s="33">
        <v>45.75</v>
      </c>
      <c r="Y17" s="33">
        <v>58.69</v>
      </c>
      <c r="Z17" s="33">
        <v>66.96</v>
      </c>
      <c r="AA17" s="33">
        <v>78.84</v>
      </c>
      <c r="AB17" s="33">
        <v>74</v>
      </c>
      <c r="AC17" s="33">
        <v>75.32</v>
      </c>
      <c r="AD17" s="33">
        <v>68.48</v>
      </c>
      <c r="AE17" s="33">
        <v>69.57</v>
      </c>
      <c r="AF17" s="33">
        <v>59.62</v>
      </c>
      <c r="AG17" s="33">
        <v>52.58</v>
      </c>
      <c r="AH17" s="33">
        <v>39.25</v>
      </c>
      <c r="AI17" s="33">
        <v>33.25</v>
      </c>
      <c r="AJ17" s="33">
        <v>40.75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2756</v>
      </c>
      <c r="D18" s="50" t="s">
        <v>42</v>
      </c>
      <c r="E18" s="32" t="s">
        <v>3</v>
      </c>
      <c r="F18" s="32" t="s">
        <v>2761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f>1975.73+1782.92</f>
        <v>3758.65</v>
      </c>
      <c r="W18" s="33">
        <f>1778.16+1970.45</f>
        <v>3748.61</v>
      </c>
      <c r="X18" s="33">
        <f>1975.99+2770.73</f>
        <v>4746.72</v>
      </c>
      <c r="Y18" s="33">
        <v>1596.91</v>
      </c>
      <c r="Z18" s="33">
        <v>1469.94</v>
      </c>
      <c r="AA18" s="33">
        <v>1945.96</v>
      </c>
      <c r="AB18" s="33">
        <v>2065.87</v>
      </c>
      <c r="AC18" s="33">
        <v>2200.33</v>
      </c>
      <c r="AD18" s="33">
        <v>2019.83</v>
      </c>
      <c r="AE18" s="33">
        <v>1393.84</v>
      </c>
      <c r="AF18" s="33">
        <v>1125.68</v>
      </c>
      <c r="AG18" s="33">
        <v>1365</v>
      </c>
      <c r="AH18" s="33">
        <v>1725.63</v>
      </c>
      <c r="AI18" s="33">
        <v>1809.19</v>
      </c>
      <c r="AJ18" s="33">
        <v>1625.61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2756</v>
      </c>
      <c r="D19" s="50" t="s">
        <v>42</v>
      </c>
      <c r="E19" s="32" t="s">
        <v>3</v>
      </c>
      <c r="F19" s="32" t="s">
        <v>2762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f>822.08+741.85</f>
        <v>1563.93</v>
      </c>
      <c r="W19" s="33">
        <f>754.92+836.54</f>
        <v>1591.46</v>
      </c>
      <c r="X19" s="33">
        <f>1325.45+929.18</f>
        <v>2254.63</v>
      </c>
      <c r="Y19" s="33">
        <v>951.76</v>
      </c>
      <c r="Z19" s="33">
        <v>1062.3</v>
      </c>
      <c r="AA19" s="33">
        <v>1059.5</v>
      </c>
      <c r="AB19" s="33">
        <v>1088.13</v>
      </c>
      <c r="AC19" s="33">
        <v>975.53</v>
      </c>
      <c r="AD19" s="33">
        <v>914.49</v>
      </c>
      <c r="AE19" s="33">
        <v>862.54</v>
      </c>
      <c r="AF19" s="33">
        <v>708.24</v>
      </c>
      <c r="AG19" s="33">
        <v>730.15</v>
      </c>
      <c r="AH19" s="33">
        <v>902.64</v>
      </c>
      <c r="AI19" s="33">
        <v>806.23</v>
      </c>
      <c r="AJ19" s="33">
        <v>762.65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2756</v>
      </c>
      <c r="D20" s="50" t="s">
        <v>42</v>
      </c>
      <c r="E20" s="32" t="s">
        <v>3</v>
      </c>
      <c r="F20" s="32" t="s">
        <v>2763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32</v>
      </c>
      <c r="W20" s="33">
        <v>41.06</v>
      </c>
      <c r="X20" s="33">
        <v>24.48</v>
      </c>
      <c r="Y20" s="33">
        <v>26.21</v>
      </c>
      <c r="Z20" s="33">
        <v>25.25</v>
      </c>
      <c r="AA20" s="33">
        <v>18.61</v>
      </c>
      <c r="AB20" s="33">
        <v>36.6</v>
      </c>
      <c r="AC20" s="33">
        <v>25.98</v>
      </c>
      <c r="AD20" s="33">
        <v>24.9</v>
      </c>
      <c r="AE20" s="33">
        <v>25.2</v>
      </c>
      <c r="AF20" s="33">
        <v>25.3</v>
      </c>
      <c r="AG20" s="33">
        <v>24.73</v>
      </c>
      <c r="AH20" s="33">
        <v>26.57</v>
      </c>
      <c r="AI20" s="33">
        <v>24.81</v>
      </c>
      <c r="AJ20" s="33">
        <v>24.98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2756</v>
      </c>
      <c r="D21" s="50" t="s">
        <v>42</v>
      </c>
      <c r="E21" s="32" t="s">
        <v>3</v>
      </c>
      <c r="F21" s="32" t="s">
        <v>2764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f>-122.22+1252.51</f>
        <v>1130.29</v>
      </c>
      <c r="W21" s="33">
        <f>-135.15+1384.85</f>
        <v>1249.6999999999998</v>
      </c>
      <c r="X21" s="33">
        <f>644.00+1335.04</f>
        <v>1979.04</v>
      </c>
      <c r="Y21" s="33">
        <v>1461.36</v>
      </c>
      <c r="Z21" s="33">
        <v>1613.14</v>
      </c>
      <c r="AA21" s="33">
        <v>1761.64</v>
      </c>
      <c r="AB21" s="33">
        <v>1933.75</v>
      </c>
      <c r="AC21" s="33">
        <v>2067.18</v>
      </c>
      <c r="AD21" s="33">
        <v>1890.99</v>
      </c>
      <c r="AE21" s="33">
        <v>1731.37</v>
      </c>
      <c r="AF21" s="33">
        <v>1336.06</v>
      </c>
      <c r="AG21" s="33">
        <v>1104.42</v>
      </c>
      <c r="AH21" s="33">
        <v>1220.96</v>
      </c>
      <c r="AI21" s="33">
        <v>1141.87</v>
      </c>
      <c r="AJ21" s="33">
        <v>1095.59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2756</v>
      </c>
      <c r="D22" s="50" t="s">
        <v>42</v>
      </c>
      <c r="E22" s="32" t="s">
        <v>3</v>
      </c>
      <c r="F22" s="32" t="s">
        <v>2765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>
        <v>714.82</v>
      </c>
      <c r="W22" s="33">
        <v>871.76</v>
      </c>
      <c r="X22" s="33">
        <v>770.36</v>
      </c>
      <c r="Y22" s="33">
        <v>689.18</v>
      </c>
      <c r="Z22" s="33">
        <v>429.83</v>
      </c>
      <c r="AA22" s="33">
        <v>486.16</v>
      </c>
      <c r="AB22" s="33">
        <v>770.36</v>
      </c>
      <c r="AC22" s="33">
        <v>646.64</v>
      </c>
      <c r="AD22" s="33">
        <v>419.09</v>
      </c>
      <c r="AE22" s="33">
        <v>566.57</v>
      </c>
      <c r="AF22" s="33">
        <v>702.53</v>
      </c>
      <c r="AG22" s="33">
        <v>807.44</v>
      </c>
      <c r="AH22" s="33">
        <v>883.35</v>
      </c>
      <c r="AI22" s="33">
        <v>617.37</v>
      </c>
      <c r="AJ22" s="33">
        <v>743.29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2756</v>
      </c>
      <c r="D23" s="50" t="s">
        <v>42</v>
      </c>
      <c r="E23" s="32" t="s">
        <v>3</v>
      </c>
      <c r="F23" s="32" t="s">
        <v>2766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f>368.21+408.02</f>
        <v>776.23</v>
      </c>
      <c r="W23" s="33">
        <f>407.44+451.50</f>
        <v>858.94</v>
      </c>
      <c r="X23" s="33">
        <f>687.11+460.86</f>
        <v>1147.97</v>
      </c>
      <c r="Y23" s="33">
        <v>457.18</v>
      </c>
      <c r="Z23" s="33">
        <v>523.34</v>
      </c>
      <c r="AA23" s="33">
        <v>484.61</v>
      </c>
      <c r="AB23" s="33">
        <v>484.11</v>
      </c>
      <c r="AC23" s="33">
        <v>440.16</v>
      </c>
      <c r="AD23" s="33">
        <v>327.12</v>
      </c>
      <c r="AE23" s="33">
        <v>296.81</v>
      </c>
      <c r="AF23" s="33">
        <v>151.78</v>
      </c>
      <c r="AG23" s="33">
        <v>260.25</v>
      </c>
      <c r="AH23" s="33">
        <v>383.95</v>
      </c>
      <c r="AI23" s="33">
        <v>427.81</v>
      </c>
      <c r="AJ23" s="33">
        <v>390.22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2756</v>
      </c>
      <c r="D24" s="50" t="s">
        <v>42</v>
      </c>
      <c r="E24" s="32" t="s">
        <v>3</v>
      </c>
      <c r="F24" s="32" t="s">
        <v>2767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3">
        <f>2443.29+2204.85</f>
        <v>4648.139999999999</v>
      </c>
      <c r="W24" s="33">
        <f>2461.71+2727.92</f>
        <v>5189.63</v>
      </c>
      <c r="X24" s="33">
        <f>2800.40+4058.41</f>
        <v>6858.8099999999995</v>
      </c>
      <c r="Y24" s="33">
        <v>3289.63</v>
      </c>
      <c r="Z24" s="33">
        <v>3122.03</v>
      </c>
      <c r="AA24" s="33">
        <v>3245.35</v>
      </c>
      <c r="AB24" s="33">
        <v>3939.71</v>
      </c>
      <c r="AC24" s="33">
        <v>3756.39</v>
      </c>
      <c r="AD24" s="33">
        <v>3252.7</v>
      </c>
      <c r="AE24" s="33">
        <v>2937.5</v>
      </c>
      <c r="AF24" s="33">
        <v>1988.99</v>
      </c>
      <c r="AG24" s="33">
        <v>1834.87</v>
      </c>
      <c r="AH24" s="33">
        <v>2377.35</v>
      </c>
      <c r="AI24" s="33">
        <v>2571.34</v>
      </c>
      <c r="AJ24" s="33">
        <v>2582.98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2756</v>
      </c>
      <c r="D25" s="50" t="s">
        <v>42</v>
      </c>
      <c r="E25" s="32" t="s">
        <v>3</v>
      </c>
      <c r="F25" s="32" t="s">
        <v>2768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>
        <v>382.19</v>
      </c>
      <c r="W25" s="33">
        <v>434.13</v>
      </c>
      <c r="X25" s="33">
        <v>515.67</v>
      </c>
      <c r="Y25" s="33">
        <v>681.08</v>
      </c>
      <c r="Z25" s="33">
        <v>831.7</v>
      </c>
      <c r="AA25" s="33">
        <v>759.38</v>
      </c>
      <c r="AB25" s="33">
        <v>949.63</v>
      </c>
      <c r="AC25" s="33">
        <v>720.65</v>
      </c>
      <c r="AD25" s="33">
        <v>358.06</v>
      </c>
      <c r="AE25" s="33">
        <v>423.06</v>
      </c>
      <c r="AF25" s="33">
        <v>291.99</v>
      </c>
      <c r="AG25" s="33">
        <v>271.58</v>
      </c>
      <c r="AH25" s="33">
        <v>340.86</v>
      </c>
      <c r="AI25" s="33">
        <v>357.12</v>
      </c>
      <c r="AJ25" s="33">
        <v>332.47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2756</v>
      </c>
      <c r="D26" s="50" t="s">
        <v>42</v>
      </c>
      <c r="E26" s="32" t="s">
        <v>3</v>
      </c>
      <c r="F26" s="32" t="s">
        <v>2769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>
        <v>1271.64</v>
      </c>
      <c r="W26" s="33">
        <v>1090.15</v>
      </c>
      <c r="X26" s="33">
        <v>1070.21</v>
      </c>
      <c r="Y26" s="33">
        <v>1332.98</v>
      </c>
      <c r="Z26" s="33">
        <v>1718.13</v>
      </c>
      <c r="AA26" s="33">
        <v>2013.34</v>
      </c>
      <c r="AB26" s="33">
        <v>2250.91</v>
      </c>
      <c r="AC26" s="33">
        <v>2155.87</v>
      </c>
      <c r="AD26" s="33">
        <v>1817.36</v>
      </c>
      <c r="AE26" s="33">
        <v>1586.27</v>
      </c>
      <c r="AF26" s="33">
        <v>1008.51</v>
      </c>
      <c r="AG26" s="33">
        <v>914.67</v>
      </c>
      <c r="AH26" s="33">
        <v>1090.51</v>
      </c>
      <c r="AI26" s="33">
        <v>1088.54</v>
      </c>
      <c r="AJ26" s="33">
        <v>843.41</v>
      </c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2756</v>
      </c>
      <c r="D27" s="50" t="s">
        <v>42</v>
      </c>
      <c r="E27" s="32" t="s">
        <v>3</v>
      </c>
      <c r="F27" s="32" t="s">
        <v>2770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f>1350.26+1496.29</f>
        <v>2846.55</v>
      </c>
      <c r="W27" s="33">
        <f>1405.47+1557.45</f>
        <v>2962.92</v>
      </c>
      <c r="X27" s="33">
        <f>2336.79+1534.36</f>
        <v>3871.1499999999996</v>
      </c>
      <c r="Y27" s="33">
        <v>1906.12</v>
      </c>
      <c r="Z27" s="33">
        <v>2139.95</v>
      </c>
      <c r="AA27" s="33">
        <v>2493.54</v>
      </c>
      <c r="AB27" s="33">
        <v>2753.88</v>
      </c>
      <c r="AC27" s="33">
        <v>2753.98</v>
      </c>
      <c r="AD27" s="33">
        <v>2331.84</v>
      </c>
      <c r="AE27" s="33">
        <v>2101.45</v>
      </c>
      <c r="AF27" s="33">
        <v>1564.07</v>
      </c>
      <c r="AG27" s="33">
        <v>1492.55</v>
      </c>
      <c r="AH27" s="33">
        <v>1505.41</v>
      </c>
      <c r="AI27" s="33">
        <v>1196.73</v>
      </c>
      <c r="AJ27" s="33">
        <v>1083.79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2756</v>
      </c>
      <c r="D28" s="50" t="s">
        <v>42</v>
      </c>
      <c r="E28" s="32" t="s">
        <v>3</v>
      </c>
      <c r="F28" s="32" t="s">
        <v>2771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>
        <f>2421.40+2185.09</f>
        <v>4606.49</v>
      </c>
      <c r="W28" s="33">
        <f>2511.24+2266.17</f>
        <v>4777.41</v>
      </c>
      <c r="X28" s="33">
        <f>2423.58+3543.65</f>
        <v>5967.23</v>
      </c>
      <c r="Y28" s="33">
        <v>2698.92</v>
      </c>
      <c r="Z28" s="33">
        <v>2931.18</v>
      </c>
      <c r="AA28" s="33">
        <v>3458.51</v>
      </c>
      <c r="AB28" s="33">
        <v>4058.81</v>
      </c>
      <c r="AC28" s="33">
        <v>3844.02</v>
      </c>
      <c r="AD28" s="33">
        <v>3862.34</v>
      </c>
      <c r="AE28" s="33">
        <v>3301.5</v>
      </c>
      <c r="AF28" s="33">
        <v>2460.67</v>
      </c>
      <c r="AG28" s="33">
        <v>2381.04</v>
      </c>
      <c r="AH28" s="33">
        <v>2534.11</v>
      </c>
      <c r="AI28" s="33">
        <v>2690.55</v>
      </c>
      <c r="AJ28" s="33">
        <v>2444.42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2756</v>
      </c>
      <c r="D29" s="50" t="s">
        <v>42</v>
      </c>
      <c r="E29" s="32" t="s">
        <v>3</v>
      </c>
      <c r="F29" s="32" t="s">
        <v>2772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f>916.13+1015.21</f>
        <v>1931.3400000000001</v>
      </c>
      <c r="W29" s="33">
        <v>1068.2</v>
      </c>
      <c r="X29" s="33">
        <f>963.95+1513.48+989.65</f>
        <v>3467.0800000000004</v>
      </c>
      <c r="Y29" s="33">
        <v>1318.71</v>
      </c>
      <c r="Z29" s="33">
        <v>1508.8</v>
      </c>
      <c r="AA29" s="33">
        <v>1532.57</v>
      </c>
      <c r="AB29" s="33">
        <v>1304.17</v>
      </c>
      <c r="AC29" s="33">
        <v>1124.03</v>
      </c>
      <c r="AD29" s="33">
        <v>1053.08</v>
      </c>
      <c r="AE29" s="33">
        <v>1009.07</v>
      </c>
      <c r="AF29" s="33">
        <v>775.56</v>
      </c>
      <c r="AG29" s="33">
        <v>759.34</v>
      </c>
      <c r="AH29" s="33">
        <v>936.04</v>
      </c>
      <c r="AI29" s="33">
        <v>833.4</v>
      </c>
      <c r="AJ29" s="33">
        <v>731.8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2756</v>
      </c>
      <c r="D30" s="50" t="s">
        <v>42</v>
      </c>
      <c r="E30" s="32" t="s">
        <v>3</v>
      </c>
      <c r="F30" s="32" t="s">
        <v>2773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>
        <f>723.14+801.34</f>
        <v>1524.48</v>
      </c>
      <c r="W30" s="33">
        <f>775.86+859.77</f>
        <v>1635.63</v>
      </c>
      <c r="X30" s="33">
        <f>1278.87+828.29</f>
        <v>2107.16</v>
      </c>
      <c r="Y30" s="33">
        <v>898.71</v>
      </c>
      <c r="Z30" s="33">
        <v>868.22</v>
      </c>
      <c r="AA30" s="33">
        <v>1118</v>
      </c>
      <c r="AB30" s="33">
        <v>1389.74</v>
      </c>
      <c r="AC30" s="33">
        <v>1415.3</v>
      </c>
      <c r="AD30" s="33">
        <v>989.01</v>
      </c>
      <c r="AE30" s="33">
        <v>876.65</v>
      </c>
      <c r="AF30" s="33">
        <v>698.04</v>
      </c>
      <c r="AG30" s="33">
        <v>668.83</v>
      </c>
      <c r="AH30" s="33">
        <v>793.67</v>
      </c>
      <c r="AI30" s="33">
        <v>808.41</v>
      </c>
      <c r="AJ30" s="33">
        <v>951.18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2756</v>
      </c>
      <c r="D31" s="50" t="s">
        <v>42</v>
      </c>
      <c r="E31" s="32" t="s">
        <v>3</v>
      </c>
      <c r="F31" s="32" t="s">
        <v>2774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>
        <v>869.09</v>
      </c>
      <c r="W31" s="33">
        <f>784.27+976.51+881.22</f>
        <v>2642</v>
      </c>
      <c r="X31" s="33">
        <f>980.57+1428.06</f>
        <v>2408.63</v>
      </c>
      <c r="Y31" s="33">
        <v>1068.24</v>
      </c>
      <c r="Z31" s="33">
        <v>1236.38</v>
      </c>
      <c r="AA31" s="33">
        <v>1300.62</v>
      </c>
      <c r="AB31" s="33">
        <v>1538.25</v>
      </c>
      <c r="AC31" s="33">
        <v>1336.61</v>
      </c>
      <c r="AD31" s="33">
        <v>1266.12</v>
      </c>
      <c r="AE31" s="33">
        <v>1127.6</v>
      </c>
      <c r="AF31" s="33">
        <v>843</v>
      </c>
      <c r="AG31" s="33">
        <v>880.97</v>
      </c>
      <c r="AH31" s="33">
        <v>1031.1</v>
      </c>
      <c r="AI31" s="33">
        <v>1048.8</v>
      </c>
      <c r="AJ31" s="33">
        <v>871.86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2756</v>
      </c>
      <c r="D32" s="50" t="s">
        <v>42</v>
      </c>
      <c r="E32" s="32" t="s">
        <v>3</v>
      </c>
      <c r="F32" s="32" t="s">
        <v>2775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>
        <f>1113.14+1113.14</f>
        <v>2226.28</v>
      </c>
      <c r="W32" s="33">
        <f>1257.98+1257.98</f>
        <v>2515.96</v>
      </c>
      <c r="X32" s="33">
        <f>1062.79+1062.79</f>
        <v>2125.58</v>
      </c>
      <c r="Y32" s="33">
        <v>865.48</v>
      </c>
      <c r="Z32" s="33">
        <v>374.9</v>
      </c>
      <c r="AA32" s="33">
        <v>563.1</v>
      </c>
      <c r="AB32" s="33">
        <v>1400.16</v>
      </c>
      <c r="AC32" s="33">
        <v>872.35</v>
      </c>
      <c r="AD32" s="33">
        <v>406.32</v>
      </c>
      <c r="AE32" s="33">
        <v>541.42</v>
      </c>
      <c r="AF32" s="33">
        <v>833.18</v>
      </c>
      <c r="AG32" s="33">
        <v>986.87</v>
      </c>
      <c r="AH32" s="33">
        <v>1171.76</v>
      </c>
      <c r="AI32" s="33">
        <v>1007.15</v>
      </c>
      <c r="AJ32" s="33">
        <v>1052.71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2756</v>
      </c>
      <c r="D33" s="50" t="s">
        <v>42</v>
      </c>
      <c r="E33" s="32" t="s">
        <v>3</v>
      </c>
      <c r="F33" s="32" t="s">
        <v>2776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>
        <v>160.27</v>
      </c>
      <c r="W33" s="33">
        <v>157.28</v>
      </c>
      <c r="X33" s="33">
        <v>158.93</v>
      </c>
      <c r="Y33" s="33">
        <v>191.33</v>
      </c>
      <c r="Z33" s="33">
        <v>203.4</v>
      </c>
      <c r="AA33" s="33">
        <v>250.18</v>
      </c>
      <c r="AB33" s="33">
        <v>246.41</v>
      </c>
      <c r="AC33" s="33">
        <v>311.38</v>
      </c>
      <c r="AD33" s="33">
        <v>304.45</v>
      </c>
      <c r="AE33" s="33">
        <v>212.76</v>
      </c>
      <c r="AF33" s="33">
        <v>183.12</v>
      </c>
      <c r="AG33" s="33">
        <v>197.92</v>
      </c>
      <c r="AH33" s="33">
        <v>205.15</v>
      </c>
      <c r="AI33" s="33">
        <v>201.84</v>
      </c>
      <c r="AJ33" s="33">
        <v>180.79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2756</v>
      </c>
      <c r="D34" s="50" t="s">
        <v>42</v>
      </c>
      <c r="E34" s="32" t="s">
        <v>3</v>
      </c>
      <c r="F34" s="32" t="s">
        <v>2777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f>223.87+248.08</f>
        <v>471.95000000000005</v>
      </c>
      <c r="W34" s="33">
        <f>324.40+359.48</f>
        <v>683.88</v>
      </c>
      <c r="X34" s="33">
        <f>561.60+412.74</f>
        <v>974.34</v>
      </c>
      <c r="Y34" s="33">
        <v>479.11</v>
      </c>
      <c r="Z34" s="33">
        <v>525.01</v>
      </c>
      <c r="AA34" s="33">
        <v>507.54</v>
      </c>
      <c r="AB34" s="33">
        <v>595.36</v>
      </c>
      <c r="AC34" s="33">
        <v>596.71</v>
      </c>
      <c r="AD34" s="33">
        <v>495.18</v>
      </c>
      <c r="AE34" s="33">
        <v>497.96</v>
      </c>
      <c r="AF34" s="33">
        <v>397.18</v>
      </c>
      <c r="AG34" s="33">
        <v>331.66</v>
      </c>
      <c r="AH34" s="33">
        <v>342.18</v>
      </c>
      <c r="AI34" s="33">
        <v>337.84</v>
      </c>
      <c r="AJ34" s="33">
        <v>317.27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2756</v>
      </c>
      <c r="D35" s="50" t="s">
        <v>42</v>
      </c>
      <c r="E35" s="32" t="s">
        <v>3</v>
      </c>
      <c r="F35" s="32" t="s">
        <v>2778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f>1871.24+2073.60</f>
        <v>3944.84</v>
      </c>
      <c r="W35" s="33">
        <v>1822.61</v>
      </c>
      <c r="X35" s="33">
        <f>1644.74+2705.98+1746.27</f>
        <v>6096.99</v>
      </c>
      <c r="Y35" s="33">
        <v>1867.68</v>
      </c>
      <c r="Z35" s="33">
        <v>2141.26</v>
      </c>
      <c r="AA35" s="33">
        <v>2657.12</v>
      </c>
      <c r="AB35" s="33">
        <v>2857.34</v>
      </c>
      <c r="AC35" s="33">
        <v>2834.83</v>
      </c>
      <c r="AD35" s="33">
        <v>2605.21</v>
      </c>
      <c r="AE35" s="33">
        <v>2254.61</v>
      </c>
      <c r="AF35" s="33">
        <v>1697.78</v>
      </c>
      <c r="AG35" s="33">
        <v>1625.59</v>
      </c>
      <c r="AH35" s="33">
        <v>1983.65</v>
      </c>
      <c r="AI35" s="33">
        <v>1773.2</v>
      </c>
      <c r="AJ35" s="33">
        <v>1536.43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2756</v>
      </c>
      <c r="D36" s="50" t="s">
        <v>42</v>
      </c>
      <c r="E36" s="32" t="s">
        <v>3</v>
      </c>
      <c r="F36" s="32" t="s">
        <v>2779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3">
        <v>634.42</v>
      </c>
      <c r="W36" s="33">
        <v>748.52</v>
      </c>
      <c r="X36" s="33">
        <f>772.56+4669.37</f>
        <v>5441.93</v>
      </c>
      <c r="Y36" s="33">
        <v>891.36</v>
      </c>
      <c r="Z36" s="33">
        <v>863.29</v>
      </c>
      <c r="AA36" s="33">
        <v>735.87</v>
      </c>
      <c r="AB36" s="33">
        <v>785.55</v>
      </c>
      <c r="AC36" s="33">
        <v>742.65</v>
      </c>
      <c r="AD36" s="33">
        <v>628.75</v>
      </c>
      <c r="AE36" s="33">
        <v>692.11</v>
      </c>
      <c r="AF36" s="33">
        <v>580.8</v>
      </c>
      <c r="AG36" s="33">
        <v>684.01</v>
      </c>
      <c r="AH36" s="33">
        <v>643.22</v>
      </c>
      <c r="AI36" s="33">
        <v>486.98</v>
      </c>
      <c r="AJ36" s="33">
        <v>521.03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2756</v>
      </c>
      <c r="D37" s="50" t="s">
        <v>42</v>
      </c>
      <c r="E37" s="32" t="s">
        <v>3</v>
      </c>
      <c r="F37" s="32" t="s">
        <v>2780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>
        <f>260.64+288.84</f>
        <v>549.48</v>
      </c>
      <c r="W37" s="33">
        <f>260.92+289.14</f>
        <v>550.06</v>
      </c>
      <c r="X37" s="33">
        <f>548.41+374.43</f>
        <v>922.8399999999999</v>
      </c>
      <c r="Y37" s="33">
        <v>429.92</v>
      </c>
      <c r="Z37" s="33">
        <v>489.64</v>
      </c>
      <c r="AA37" s="33">
        <v>550.17</v>
      </c>
      <c r="AB37" s="33">
        <v>577.57</v>
      </c>
      <c r="AC37" s="33">
        <v>593.79</v>
      </c>
      <c r="AD37" s="33">
        <v>448.11</v>
      </c>
      <c r="AE37" s="33">
        <v>333.95</v>
      </c>
      <c r="AF37" s="33">
        <v>226.12</v>
      </c>
      <c r="AG37" s="33">
        <v>186.6</v>
      </c>
      <c r="AH37" s="33">
        <v>242</v>
      </c>
      <c r="AI37" s="33">
        <v>287.39</v>
      </c>
      <c r="AJ37" s="33">
        <v>290.23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2756</v>
      </c>
      <c r="D38" s="50" t="s">
        <v>42</v>
      </c>
      <c r="E38" s="32" t="s">
        <v>3</v>
      </c>
      <c r="F38" s="32" t="s">
        <v>2781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>
        <f>542.06+600.68</f>
        <v>1142.7399999999998</v>
      </c>
      <c r="W38" s="33">
        <f>588.89+652.57</f>
        <v>1241.46</v>
      </c>
      <c r="X38" s="33">
        <f>964.38+655.15</f>
        <v>1619.53</v>
      </c>
      <c r="Y38" s="33">
        <v>737.43</v>
      </c>
      <c r="Z38" s="33">
        <v>473.15</v>
      </c>
      <c r="AA38" s="33">
        <v>789.97</v>
      </c>
      <c r="AB38" s="33">
        <v>805.44</v>
      </c>
      <c r="AC38" s="33">
        <v>569.57</v>
      </c>
      <c r="AD38" s="33">
        <v>463.55</v>
      </c>
      <c r="AE38" s="33">
        <v>337.5</v>
      </c>
      <c r="AF38" s="33">
        <v>485.75</v>
      </c>
      <c r="AG38" s="33">
        <v>561.63</v>
      </c>
      <c r="AH38" s="33">
        <v>602.52</v>
      </c>
      <c r="AI38" s="33">
        <v>510.89</v>
      </c>
      <c r="AJ38" s="33">
        <v>643.32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2756</v>
      </c>
      <c r="D39" s="50" t="s">
        <v>42</v>
      </c>
      <c r="E39" s="32" t="s">
        <v>3</v>
      </c>
      <c r="F39" s="32" t="s">
        <v>2782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580.05</v>
      </c>
      <c r="W39" s="33">
        <v>593.88</v>
      </c>
      <c r="X39" s="33">
        <v>585.87</v>
      </c>
      <c r="Y39" s="33">
        <v>757.06</v>
      </c>
      <c r="Z39" s="33">
        <v>583.52</v>
      </c>
      <c r="AA39" s="33">
        <v>447.8</v>
      </c>
      <c r="AB39" s="33">
        <v>553.84</v>
      </c>
      <c r="AC39" s="33">
        <v>488.01</v>
      </c>
      <c r="AD39" s="33">
        <v>424.5</v>
      </c>
      <c r="AE39" s="33">
        <v>393.62</v>
      </c>
      <c r="AF39" s="33">
        <v>371.07</v>
      </c>
      <c r="AG39" s="33">
        <v>486.59</v>
      </c>
      <c r="AH39" s="33">
        <v>666.59</v>
      </c>
      <c r="AI39" s="33">
        <v>765.09</v>
      </c>
      <c r="AJ39" s="33">
        <v>578.26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2756</v>
      </c>
      <c r="D40" s="50" t="s">
        <v>42</v>
      </c>
      <c r="E40" s="32" t="s">
        <v>3</v>
      </c>
      <c r="F40" s="32" t="s">
        <v>2783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>
        <f>187.71+208.01</f>
        <v>395.72</v>
      </c>
      <c r="W40" s="33">
        <f>203.05+225.01</f>
        <v>428.06</v>
      </c>
      <c r="X40" s="33">
        <f>366.55+245.54</f>
        <v>612.09</v>
      </c>
      <c r="Y40" s="33">
        <v>288.46</v>
      </c>
      <c r="Z40" s="33">
        <v>324.22</v>
      </c>
      <c r="AA40" s="33">
        <v>334.13</v>
      </c>
      <c r="AB40" s="33">
        <v>401.03</v>
      </c>
      <c r="AC40" s="33">
        <v>345.6</v>
      </c>
      <c r="AD40" s="33">
        <v>351.21</v>
      </c>
      <c r="AE40" s="33">
        <v>311.04</v>
      </c>
      <c r="AF40" s="33">
        <v>258.22</v>
      </c>
      <c r="AG40" s="33">
        <v>244.38</v>
      </c>
      <c r="AH40" s="33">
        <v>317.6</v>
      </c>
      <c r="AI40" s="33">
        <v>236.06</v>
      </c>
      <c r="AJ40" s="33">
        <v>281.57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2756</v>
      </c>
      <c r="D41" s="50" t="s">
        <v>42</v>
      </c>
      <c r="E41" s="32" t="s">
        <v>3</v>
      </c>
      <c r="F41" s="32" t="s">
        <v>2784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3">
        <v>331.64</v>
      </c>
      <c r="W41" s="33">
        <v>221.4</v>
      </c>
      <c r="X41" s="33">
        <v>268.56</v>
      </c>
      <c r="Y41" s="33">
        <v>277.72</v>
      </c>
      <c r="Z41" s="33">
        <v>263.34</v>
      </c>
      <c r="AA41" s="33">
        <v>275.77</v>
      </c>
      <c r="AB41" s="33">
        <v>339.11</v>
      </c>
      <c r="AC41" s="33">
        <v>366.41</v>
      </c>
      <c r="AD41" s="33">
        <v>642.22</v>
      </c>
      <c r="AE41" s="33">
        <v>663.02</v>
      </c>
      <c r="AF41" s="33">
        <v>596.19</v>
      </c>
      <c r="AG41" s="33">
        <v>284.39</v>
      </c>
      <c r="AH41" s="33">
        <v>322.2</v>
      </c>
      <c r="AI41" s="33">
        <v>214.11</v>
      </c>
      <c r="AJ41" s="33">
        <v>254.21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2756</v>
      </c>
      <c r="D42" s="50" t="s">
        <v>42</v>
      </c>
      <c r="E42" s="32" t="s">
        <v>3</v>
      </c>
      <c r="F42" s="32" t="s">
        <v>2785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>
        <v>234.2</v>
      </c>
      <c r="W42" s="33">
        <v>229.44</v>
      </c>
      <c r="X42" s="33">
        <v>255.95</v>
      </c>
      <c r="Y42" s="33">
        <v>255.23</v>
      </c>
      <c r="Z42" s="33">
        <v>317.52</v>
      </c>
      <c r="AA42" s="33">
        <v>606.38</v>
      </c>
      <c r="AB42" s="33">
        <v>816.43</v>
      </c>
      <c r="AC42" s="33">
        <v>647.55</v>
      </c>
      <c r="AD42" s="33">
        <v>172.11</v>
      </c>
      <c r="AE42" s="33">
        <v>209.46</v>
      </c>
      <c r="AF42" s="33">
        <v>143.56</v>
      </c>
      <c r="AG42" s="33">
        <v>154.78</v>
      </c>
      <c r="AH42" s="33">
        <v>187.82</v>
      </c>
      <c r="AI42" s="33">
        <v>172.78</v>
      </c>
      <c r="AJ42" s="33">
        <v>153.46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2756</v>
      </c>
      <c r="D43" s="50" t="s">
        <v>42</v>
      </c>
      <c r="E43" s="32" t="s">
        <v>3</v>
      </c>
      <c r="F43" s="32" t="s">
        <v>2786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>
        <v>33.25</v>
      </c>
      <c r="W43" s="33">
        <v>33.25</v>
      </c>
      <c r="X43" s="33">
        <v>33.25</v>
      </c>
      <c r="Y43" s="33">
        <v>33.25</v>
      </c>
      <c r="Z43" s="33">
        <v>33.25</v>
      </c>
      <c r="AA43" s="33">
        <v>33.25</v>
      </c>
      <c r="AB43" s="33">
        <v>33.25</v>
      </c>
      <c r="AC43" s="33">
        <v>33.25</v>
      </c>
      <c r="AD43" s="33">
        <v>33.25</v>
      </c>
      <c r="AE43" s="33">
        <v>33.25</v>
      </c>
      <c r="AF43" s="33">
        <v>33.25</v>
      </c>
      <c r="AG43" s="33">
        <v>33.25</v>
      </c>
      <c r="AH43" s="33">
        <v>33.24</v>
      </c>
      <c r="AI43" s="33">
        <v>33.24</v>
      </c>
      <c r="AJ43" s="33">
        <v>33.24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2756</v>
      </c>
      <c r="D44" s="50" t="s">
        <v>42</v>
      </c>
      <c r="E44" s="32" t="s">
        <v>3</v>
      </c>
      <c r="F44" s="32" t="s">
        <v>2787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>
        <v>126.8</v>
      </c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2756</v>
      </c>
      <c r="D45" s="50" t="s">
        <v>42</v>
      </c>
      <c r="E45" s="32" t="s">
        <v>3</v>
      </c>
      <c r="F45" s="32" t="s">
        <v>2788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f>523.87+580.52</f>
        <v>1104.3899999999999</v>
      </c>
      <c r="W45" s="33">
        <f>550.40+609.91</f>
        <v>1160.31</v>
      </c>
      <c r="X45" s="33">
        <f>876.55+627.15</f>
        <v>1503.6999999999998</v>
      </c>
      <c r="Y45" s="33">
        <v>675.25</v>
      </c>
      <c r="Z45" s="33">
        <v>510.86</v>
      </c>
      <c r="AA45" s="33">
        <v>601.76</v>
      </c>
      <c r="AB45" s="33">
        <v>681.46</v>
      </c>
      <c r="AC45" s="33">
        <v>682.03</v>
      </c>
      <c r="AD45" s="33">
        <v>630.4</v>
      </c>
      <c r="AE45" s="33">
        <v>509.68</v>
      </c>
      <c r="AF45" s="33">
        <v>510.2</v>
      </c>
      <c r="AG45" s="33">
        <v>470.54</v>
      </c>
      <c r="AH45" s="33">
        <v>599.42</v>
      </c>
      <c r="AI45" s="33">
        <v>574.98</v>
      </c>
      <c r="AJ45" s="33">
        <v>720.78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2756</v>
      </c>
      <c r="D46" s="50" t="s">
        <v>42</v>
      </c>
      <c r="E46" s="32" t="s">
        <v>3</v>
      </c>
      <c r="F46" s="32" t="s">
        <v>2789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>
        <f>2009.70+2227.03</f>
        <v>4236.7300000000005</v>
      </c>
      <c r="W46" s="33">
        <f>2290.05+2537.70</f>
        <v>4827.75</v>
      </c>
      <c r="X46" s="33">
        <f>3496.15+2382.67</f>
        <v>5878.82</v>
      </c>
      <c r="Y46" s="33">
        <v>2685.75</v>
      </c>
      <c r="Z46" s="33">
        <v>2903.8</v>
      </c>
      <c r="AA46" s="33">
        <v>3149.09</v>
      </c>
      <c r="AB46" s="33">
        <v>3499.05</v>
      </c>
      <c r="AC46" s="33">
        <v>3565.05</v>
      </c>
      <c r="AD46" s="33">
        <v>3123.89</v>
      </c>
      <c r="AE46" s="33">
        <v>2814.3</v>
      </c>
      <c r="AF46" s="33">
        <v>1848.94</v>
      </c>
      <c r="AG46" s="33">
        <v>1540.15</v>
      </c>
      <c r="AH46" s="33">
        <v>2043.61</v>
      </c>
      <c r="AI46" s="33">
        <v>1970.45</v>
      </c>
      <c r="AJ46" s="33">
        <v>1844.47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2756</v>
      </c>
      <c r="D47" s="50" t="s">
        <v>42</v>
      </c>
      <c r="E47" s="32" t="s">
        <v>3</v>
      </c>
      <c r="F47" s="32" t="s">
        <v>2790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>
        <f>-103.64+1062.00</f>
        <v>958.36</v>
      </c>
      <c r="W47" s="33">
        <f>-84.44+865.25</f>
        <v>780.81</v>
      </c>
      <c r="X47" s="33">
        <f>1613.20+1172.57</f>
        <v>2785.77</v>
      </c>
      <c r="Y47" s="33">
        <v>1165.42</v>
      </c>
      <c r="Z47" s="33">
        <v>1022.51</v>
      </c>
      <c r="AA47" s="33">
        <v>938.95</v>
      </c>
      <c r="AB47" s="33">
        <v>1308.36</v>
      </c>
      <c r="AC47" s="33">
        <v>1185.14</v>
      </c>
      <c r="AD47" s="33">
        <v>1202.97</v>
      </c>
      <c r="AE47" s="33">
        <v>1126.91</v>
      </c>
      <c r="AF47" s="33">
        <v>863.76</v>
      </c>
      <c r="AG47" s="33">
        <v>1008.78</v>
      </c>
      <c r="AH47" s="33">
        <v>1411.48</v>
      </c>
      <c r="AI47" s="33">
        <v>1151.56</v>
      </c>
      <c r="AJ47" s="33">
        <v>1163.26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2756</v>
      </c>
      <c r="D48" s="50" t="s">
        <v>42</v>
      </c>
      <c r="E48" s="32" t="s">
        <v>3</v>
      </c>
      <c r="F48" s="32" t="s">
        <v>2791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>
        <v>1330.84</v>
      </c>
      <c r="W48" s="33">
        <v>1302.58</v>
      </c>
      <c r="X48" s="33">
        <v>1466.14</v>
      </c>
      <c r="Y48" s="33">
        <v>1682.69</v>
      </c>
      <c r="Z48" s="33">
        <v>2024.29</v>
      </c>
      <c r="AA48" s="33">
        <v>1993.18</v>
      </c>
      <c r="AB48" s="33">
        <v>2315.17</v>
      </c>
      <c r="AC48" s="33">
        <v>2396.61</v>
      </c>
      <c r="AD48" s="33">
        <v>2075.89</v>
      </c>
      <c r="AE48" s="33">
        <v>1756.68</v>
      </c>
      <c r="AF48" s="33">
        <v>1344.35</v>
      </c>
      <c r="AG48" s="33">
        <v>1138.54</v>
      </c>
      <c r="AH48" s="33">
        <v>1416.42</v>
      </c>
      <c r="AI48" s="33">
        <v>1276.97</v>
      </c>
      <c r="AJ48" s="33">
        <v>1282.55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2756</v>
      </c>
      <c r="D49" s="50" t="s">
        <v>42</v>
      </c>
      <c r="E49" s="32" t="s">
        <v>3</v>
      </c>
      <c r="F49" s="32" t="s">
        <v>2792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>
        <f>1397.15+1260.80</f>
        <v>2657.95</v>
      </c>
      <c r="W49" s="33">
        <f>1549.23+1716.78</f>
        <v>3266.01</v>
      </c>
      <c r="X49" s="33">
        <f>1837.06+2563.18</f>
        <v>4400.24</v>
      </c>
      <c r="Y49" s="33">
        <v>2115.53</v>
      </c>
      <c r="Z49" s="33">
        <v>1973.09</v>
      </c>
      <c r="AA49" s="33">
        <v>2138.08</v>
      </c>
      <c r="AB49" s="33">
        <v>2956.13</v>
      </c>
      <c r="AC49" s="33">
        <v>2907.98</v>
      </c>
      <c r="AD49" s="33">
        <v>2757.54</v>
      </c>
      <c r="AE49" s="33">
        <v>2357.63</v>
      </c>
      <c r="AF49" s="33">
        <v>1739.83</v>
      </c>
      <c r="AG49" s="33">
        <v>1663</v>
      </c>
      <c r="AH49" s="33">
        <v>1913.06</v>
      </c>
      <c r="AI49" s="33">
        <v>1890.79</v>
      </c>
      <c r="AJ49" s="33">
        <v>1665.34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2756</v>
      </c>
      <c r="D50" s="50" t="s">
        <v>42</v>
      </c>
      <c r="E50" s="32" t="s">
        <v>3</v>
      </c>
      <c r="F50" s="32" t="s">
        <v>2793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3">
        <f>662.36+734.00</f>
        <v>1396.3600000000001</v>
      </c>
      <c r="W50" s="33">
        <f>590.82+654.71</f>
        <v>1245.5300000000002</v>
      </c>
      <c r="X50" s="33">
        <f>999.64+702.50</f>
        <v>1702.1399999999999</v>
      </c>
      <c r="Y50" s="33">
        <v>694.64</v>
      </c>
      <c r="Z50" s="33">
        <v>670.32</v>
      </c>
      <c r="AA50" s="33">
        <v>902.13</v>
      </c>
      <c r="AB50" s="33">
        <v>836.84</v>
      </c>
      <c r="AC50" s="33">
        <v>704.48</v>
      </c>
      <c r="AD50" s="33">
        <v>699.14</v>
      </c>
      <c r="AE50" s="33">
        <v>505.9</v>
      </c>
      <c r="AF50" s="33">
        <v>390.63</v>
      </c>
      <c r="AG50" s="33">
        <v>478.84</v>
      </c>
      <c r="AH50" s="33">
        <v>770.32</v>
      </c>
      <c r="AI50" s="33">
        <v>704.96</v>
      </c>
      <c r="AJ50" s="33">
        <v>791.02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2756</v>
      </c>
      <c r="D51" s="50" t="s">
        <v>42</v>
      </c>
      <c r="E51" s="32" t="s">
        <v>3</v>
      </c>
      <c r="F51" s="32" t="s">
        <v>2794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f>441.04+488.73</f>
        <v>929.77</v>
      </c>
      <c r="W51" s="33">
        <f>473.27+524.46</f>
        <v>997.73</v>
      </c>
      <c r="X51" s="33">
        <f>870.25+595.19</f>
        <v>1465.44</v>
      </c>
      <c r="Y51" s="33">
        <v>612.36</v>
      </c>
      <c r="Z51" s="33">
        <v>591.65</v>
      </c>
      <c r="AA51" s="33">
        <v>696.63</v>
      </c>
      <c r="AB51" s="33">
        <v>1048.66</v>
      </c>
      <c r="AC51" s="33">
        <v>884.27</v>
      </c>
      <c r="AD51" s="33">
        <v>758.78</v>
      </c>
      <c r="AE51" s="33">
        <v>668.33</v>
      </c>
      <c r="AF51" s="33">
        <v>486.11</v>
      </c>
      <c r="AG51" s="33">
        <v>430.46</v>
      </c>
      <c r="AH51" s="33">
        <v>467.04</v>
      </c>
      <c r="AI51" s="33">
        <v>522.26</v>
      </c>
      <c r="AJ51" s="33">
        <v>527.83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2756</v>
      </c>
      <c r="D52" s="50" t="s">
        <v>42</v>
      </c>
      <c r="E52" s="32" t="s">
        <v>3</v>
      </c>
      <c r="F52" s="32" t="s">
        <v>2795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3">
        <v>488.55</v>
      </c>
      <c r="W52" s="33">
        <v>532.76</v>
      </c>
      <c r="X52" s="33">
        <v>778.8</v>
      </c>
      <c r="Y52" s="33">
        <v>710.95</v>
      </c>
      <c r="Z52" s="33">
        <v>725.89</v>
      </c>
      <c r="AA52" s="33">
        <v>889.29</v>
      </c>
      <c r="AB52" s="33">
        <v>894.88</v>
      </c>
      <c r="AC52" s="33">
        <v>776.21</v>
      </c>
      <c r="AD52" s="33">
        <v>625.08</v>
      </c>
      <c r="AE52" s="33">
        <v>713.92</v>
      </c>
      <c r="AF52" s="33">
        <v>386.03</v>
      </c>
      <c r="AG52" s="33">
        <v>458.27</v>
      </c>
      <c r="AH52" s="33">
        <v>710.33</v>
      </c>
      <c r="AI52" s="33">
        <v>762.89</v>
      </c>
      <c r="AJ52" s="33">
        <v>623.09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2756</v>
      </c>
      <c r="D53" s="50" t="s">
        <v>42</v>
      </c>
      <c r="E53" s="32" t="s">
        <v>3</v>
      </c>
      <c r="F53" s="32" t="s">
        <v>2796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3">
        <v>227.05</v>
      </c>
      <c r="W53" s="33">
        <v>225.57</v>
      </c>
      <c r="X53" s="33">
        <v>268.03</v>
      </c>
      <c r="Y53" s="33">
        <v>351.18</v>
      </c>
      <c r="Z53" s="33">
        <v>430.37</v>
      </c>
      <c r="AA53" s="33">
        <v>497.49</v>
      </c>
      <c r="AB53" s="33">
        <v>527.54</v>
      </c>
      <c r="AC53" s="33">
        <v>517.26</v>
      </c>
      <c r="AD53" s="33">
        <v>460.42</v>
      </c>
      <c r="AE53" s="33">
        <v>439.31</v>
      </c>
      <c r="AF53" s="33">
        <v>304.08</v>
      </c>
      <c r="AG53" s="33">
        <v>266.15</v>
      </c>
      <c r="AH53" s="33">
        <v>309.19</v>
      </c>
      <c r="AI53" s="33">
        <v>388.39</v>
      </c>
      <c r="AJ53" s="33">
        <v>287.35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2756</v>
      </c>
      <c r="D54" s="50" t="s">
        <v>42</v>
      </c>
      <c r="E54" s="32" t="s">
        <v>3</v>
      </c>
      <c r="F54" s="32" t="s">
        <v>2797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>
        <v>33.25</v>
      </c>
      <c r="W54" s="33">
        <v>33.25</v>
      </c>
      <c r="X54" s="33">
        <v>33.25</v>
      </c>
      <c r="Y54" s="33">
        <v>33.25</v>
      </c>
      <c r="Z54" s="33">
        <v>33.25</v>
      </c>
      <c r="AA54" s="33">
        <v>33.25</v>
      </c>
      <c r="AB54" s="33">
        <v>33.25</v>
      </c>
      <c r="AC54" s="33">
        <v>33.25</v>
      </c>
      <c r="AD54" s="33">
        <v>33.25</v>
      </c>
      <c r="AE54" s="33">
        <v>33.25</v>
      </c>
      <c r="AF54" s="33">
        <v>33.25</v>
      </c>
      <c r="AG54" s="33">
        <v>33.25</v>
      </c>
      <c r="AH54" s="33">
        <v>33.24</v>
      </c>
      <c r="AI54" s="33">
        <v>33.24</v>
      </c>
      <c r="AJ54" s="33">
        <v>33.24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2756</v>
      </c>
      <c r="D55" s="50" t="s">
        <v>42</v>
      </c>
      <c r="E55" s="32" t="s">
        <v>3</v>
      </c>
      <c r="F55" s="32" t="s">
        <v>2798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3">
        <f>2213.74+1997.70</f>
        <v>4211.44</v>
      </c>
      <c r="W55" s="33">
        <f>2039.79+2260.39</f>
        <v>4300.18</v>
      </c>
      <c r="X55" s="33">
        <f>2214.98+3264.04</f>
        <v>5479.02</v>
      </c>
      <c r="Y55" s="33">
        <v>2539.3</v>
      </c>
      <c r="Z55" s="33">
        <v>2677.76</v>
      </c>
      <c r="AA55" s="33">
        <v>3045.36</v>
      </c>
      <c r="AB55" s="33">
        <v>3464.41</v>
      </c>
      <c r="AC55" s="33">
        <v>3443.85</v>
      </c>
      <c r="AD55" s="33">
        <v>3203.68</v>
      </c>
      <c r="AE55" s="33">
        <v>2830.22</v>
      </c>
      <c r="AF55" s="33">
        <v>1924.3</v>
      </c>
      <c r="AG55" s="33">
        <v>1784.74</v>
      </c>
      <c r="AH55" s="33">
        <v>2211.56</v>
      </c>
      <c r="AI55" s="33">
        <v>2016.7</v>
      </c>
      <c r="AJ55" s="33">
        <v>2186.29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2756</v>
      </c>
      <c r="D56" s="50" t="s">
        <v>42</v>
      </c>
      <c r="E56" s="32" t="s">
        <v>3</v>
      </c>
      <c r="F56" s="32" t="s">
        <v>2799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3">
        <v>2631.5</v>
      </c>
      <c r="W56" s="33">
        <f>2374.70+2271.81+2517.49</f>
        <v>7164</v>
      </c>
      <c r="X56" s="33">
        <f>3765.83+2437.28</f>
        <v>6203.110000000001</v>
      </c>
      <c r="Y56" s="33">
        <v>2402.57</v>
      </c>
      <c r="Z56" s="33">
        <v>2664.68</v>
      </c>
      <c r="AA56" s="33">
        <v>2890.76</v>
      </c>
      <c r="AB56" s="33">
        <v>2804.3</v>
      </c>
      <c r="AC56" s="33">
        <v>2949.31</v>
      </c>
      <c r="AD56" s="33">
        <v>2784.59</v>
      </c>
      <c r="AE56" s="33">
        <v>2363.13</v>
      </c>
      <c r="AF56" s="33">
        <v>1854.71</v>
      </c>
      <c r="AG56" s="33">
        <v>1802.91</v>
      </c>
      <c r="AH56" s="33">
        <v>2158.49</v>
      </c>
      <c r="AI56" s="33">
        <v>2088.73</v>
      </c>
      <c r="AJ56" s="33">
        <v>1686.91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2756</v>
      </c>
      <c r="D57" s="50" t="s">
        <v>42</v>
      </c>
      <c r="E57" s="32" t="s">
        <v>3</v>
      </c>
      <c r="F57" s="32" t="s">
        <v>2800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3">
        <f>1084.29+1201.55</f>
        <v>2285.84</v>
      </c>
      <c r="W57" s="33">
        <f>1075.70+1192.04</f>
        <v>2267.74</v>
      </c>
      <c r="X57" s="33">
        <f>1826.58+1178.39</f>
        <v>3004.9700000000003</v>
      </c>
      <c r="Y57" s="33">
        <v>1492.6</v>
      </c>
      <c r="Z57" s="33">
        <v>1568.57</v>
      </c>
      <c r="AA57" s="33">
        <v>1823.24</v>
      </c>
      <c r="AB57" s="33">
        <v>2126.37</v>
      </c>
      <c r="AC57" s="33">
        <v>2141.7</v>
      </c>
      <c r="AD57" s="33">
        <v>1858.66</v>
      </c>
      <c r="AE57" s="33">
        <v>1734.7</v>
      </c>
      <c r="AF57" s="33">
        <v>1261.99</v>
      </c>
      <c r="AG57" s="33">
        <v>1118.48</v>
      </c>
      <c r="AH57" s="33">
        <v>1494.61</v>
      </c>
      <c r="AI57" s="33">
        <v>1303.72</v>
      </c>
      <c r="AJ57" s="33">
        <v>1215.68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2756</v>
      </c>
      <c r="D58" s="50" t="s">
        <v>42</v>
      </c>
      <c r="E58" s="32" t="s">
        <v>3</v>
      </c>
      <c r="F58" s="32" t="s">
        <v>2801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>
        <f>501.25+555.45</f>
        <v>1056.7</v>
      </c>
      <c r="W58" s="33">
        <f>625.65+693.31</f>
        <v>1318.96</v>
      </c>
      <c r="X58" s="33">
        <f>950.27+692.78</f>
        <v>1643.05</v>
      </c>
      <c r="Y58" s="33">
        <v>815.94</v>
      </c>
      <c r="Z58" s="33">
        <v>668.08</v>
      </c>
      <c r="AA58" s="33">
        <v>903.32</v>
      </c>
      <c r="AB58" s="33">
        <v>844.92</v>
      </c>
      <c r="AC58" s="33">
        <v>817.63</v>
      </c>
      <c r="AD58" s="33">
        <v>764.32</v>
      </c>
      <c r="AE58" s="33">
        <v>569.08</v>
      </c>
      <c r="AF58" s="33">
        <v>586.71</v>
      </c>
      <c r="AG58" s="33">
        <v>471.14</v>
      </c>
      <c r="AH58" s="33">
        <v>657.23</v>
      </c>
      <c r="AI58" s="33">
        <v>636.5</v>
      </c>
      <c r="AJ58" s="33">
        <v>821.77</v>
      </c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2756</v>
      </c>
      <c r="D59" s="50" t="s">
        <v>42</v>
      </c>
      <c r="E59" s="32" t="s">
        <v>3</v>
      </c>
      <c r="F59" s="32" t="s">
        <v>2802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3">
        <v>970.06</v>
      </c>
      <c r="T59" s="32"/>
      <c r="U59" s="32"/>
      <c r="V59" s="33">
        <v>1001.42</v>
      </c>
      <c r="W59" s="33">
        <v>969.79</v>
      </c>
      <c r="X59" s="33">
        <v>894</v>
      </c>
      <c r="Y59" s="33">
        <v>1062.28</v>
      </c>
      <c r="Z59" s="33">
        <v>1218.61</v>
      </c>
      <c r="AA59" s="33">
        <v>1381.69</v>
      </c>
      <c r="AB59" s="33">
        <v>1496.06</v>
      </c>
      <c r="AC59" s="33">
        <v>1061.23</v>
      </c>
      <c r="AD59" s="33">
        <v>1074.88</v>
      </c>
      <c r="AE59" s="33">
        <v>1067.12</v>
      </c>
      <c r="AF59" s="33">
        <v>906.9</v>
      </c>
      <c r="AG59" s="33">
        <v>1009.79</v>
      </c>
      <c r="AH59" s="33">
        <v>1027.22</v>
      </c>
      <c r="AI59" s="33">
        <v>971.3</v>
      </c>
      <c r="AJ59" s="33">
        <v>771.78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2756</v>
      </c>
      <c r="D60" s="50" t="s">
        <v>42</v>
      </c>
      <c r="E60" s="32" t="s">
        <v>3</v>
      </c>
      <c r="F60" s="32" t="s">
        <v>2803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3">
        <f>589.70+653.46</f>
        <v>1243.16</v>
      </c>
      <c r="W60" s="33">
        <f>690.67+765.36</f>
        <v>1456.03</v>
      </c>
      <c r="X60" s="33">
        <f>1276.64+878.77</f>
        <v>2155.41</v>
      </c>
      <c r="Y60" s="33">
        <v>709.72</v>
      </c>
      <c r="Z60" s="33">
        <v>1072.04</v>
      </c>
      <c r="AA60" s="33">
        <v>1437.42</v>
      </c>
      <c r="AB60" s="33">
        <v>1546.77</v>
      </c>
      <c r="AC60" s="33">
        <v>1699.93</v>
      </c>
      <c r="AD60" s="33">
        <v>1339.1</v>
      </c>
      <c r="AE60" s="33">
        <v>1158.92</v>
      </c>
      <c r="AF60" s="33">
        <v>944.99</v>
      </c>
      <c r="AG60" s="33">
        <v>1096.08</v>
      </c>
      <c r="AH60" s="33">
        <v>1334.93</v>
      </c>
      <c r="AI60" s="33">
        <v>1472.29</v>
      </c>
      <c r="AJ60" s="33">
        <v>1043.99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2756</v>
      </c>
      <c r="D61" s="50" t="s">
        <v>42</v>
      </c>
      <c r="E61" s="32" t="s">
        <v>3</v>
      </c>
      <c r="F61" s="32" t="s">
        <v>2804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3">
        <f>1844.34+2043.79</f>
        <v>3888.13</v>
      </c>
      <c r="W61" s="33">
        <f>2385.19+2643.14</f>
        <v>5028.33</v>
      </c>
      <c r="X61" s="33">
        <f>3585.87+2549.70</f>
        <v>6135.57</v>
      </c>
      <c r="Y61" s="33">
        <v>2545.9</v>
      </c>
      <c r="Z61" s="33">
        <v>2289.16</v>
      </c>
      <c r="AA61" s="33">
        <v>2421.06</v>
      </c>
      <c r="AB61" s="33">
        <v>2803.75</v>
      </c>
      <c r="AC61" s="33">
        <v>2887.64</v>
      </c>
      <c r="AD61" s="33">
        <v>2662.33</v>
      </c>
      <c r="AE61" s="33">
        <v>2358</v>
      </c>
      <c r="AF61" s="33">
        <v>1540.21</v>
      </c>
      <c r="AG61" s="33">
        <v>1505.47</v>
      </c>
      <c r="AH61" s="33">
        <v>1705.44</v>
      </c>
      <c r="AI61" s="33">
        <v>1842.81</v>
      </c>
      <c r="AJ61" s="33">
        <v>1784.59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2756</v>
      </c>
      <c r="D62" s="50" t="s">
        <v>42</v>
      </c>
      <c r="E62" s="32" t="s">
        <v>3</v>
      </c>
      <c r="F62" s="32" t="s">
        <v>2805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3">
        <f>1458.43+1616.15</f>
        <v>3074.58</v>
      </c>
      <c r="W62" s="33">
        <f>1621.00+1796.30</f>
        <v>3417.3</v>
      </c>
      <c r="X62" s="33">
        <f>2617.21+1846.37</f>
        <v>4463.58</v>
      </c>
      <c r="Y62" s="33">
        <v>1976.01</v>
      </c>
      <c r="Z62" s="33">
        <v>2314.74</v>
      </c>
      <c r="AA62" s="33">
        <v>2519.22</v>
      </c>
      <c r="AB62" s="33">
        <v>2778.77</v>
      </c>
      <c r="AC62" s="33">
        <v>2522.34</v>
      </c>
      <c r="AD62" s="33">
        <v>2143.81</v>
      </c>
      <c r="AE62" s="33">
        <v>1875.48</v>
      </c>
      <c r="AF62" s="33">
        <v>1617.29</v>
      </c>
      <c r="AG62" s="33">
        <v>1527.41</v>
      </c>
      <c r="AH62" s="33">
        <v>1887.32</v>
      </c>
      <c r="AI62" s="33">
        <v>1747.9</v>
      </c>
      <c r="AJ62" s="33">
        <v>1901.73</v>
      </c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2756</v>
      </c>
      <c r="D63" s="50" t="s">
        <v>42</v>
      </c>
      <c r="E63" s="32" t="s">
        <v>3</v>
      </c>
      <c r="F63" s="32" t="s">
        <v>2806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3">
        <v>31.39</v>
      </c>
      <c r="W63" s="33">
        <v>33.45</v>
      </c>
      <c r="X63" s="33">
        <v>32.48</v>
      </c>
      <c r="Y63" s="33">
        <v>48.6</v>
      </c>
      <c r="Z63" s="33">
        <v>62.4</v>
      </c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2756</v>
      </c>
      <c r="D64" s="50" t="s">
        <v>42</v>
      </c>
      <c r="E64" s="32" t="s">
        <v>3</v>
      </c>
      <c r="F64" s="32" t="s">
        <v>2807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3">
        <v>31.58</v>
      </c>
      <c r="W64" s="33">
        <v>27.52</v>
      </c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2756</v>
      </c>
      <c r="D65" s="50" t="s">
        <v>42</v>
      </c>
      <c r="E65" s="32" t="s">
        <v>3</v>
      </c>
      <c r="F65" s="32" t="s">
        <v>2808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3">
        <v>31.16</v>
      </c>
      <c r="W65" s="33">
        <v>31.71</v>
      </c>
      <c r="X65" s="33">
        <v>33.88</v>
      </c>
      <c r="Y65" s="33">
        <v>48.5</v>
      </c>
      <c r="Z65" s="33">
        <v>70.72</v>
      </c>
      <c r="AA65" s="33">
        <v>79.38</v>
      </c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2756</v>
      </c>
      <c r="D66" s="50" t="s">
        <v>42</v>
      </c>
      <c r="E66" s="32" t="s">
        <v>3</v>
      </c>
      <c r="F66" s="32" t="s">
        <v>2809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3">
        <v>30.8</v>
      </c>
      <c r="W66" s="33">
        <v>115.98</v>
      </c>
      <c r="X66" s="33">
        <v>52.59</v>
      </c>
      <c r="Y66" s="33">
        <v>36.66</v>
      </c>
      <c r="Z66" s="33">
        <f>51.78+9.10</f>
        <v>60.88</v>
      </c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2756</v>
      </c>
      <c r="D67" s="50" t="s">
        <v>42</v>
      </c>
      <c r="E67" s="32" t="s">
        <v>3</v>
      </c>
      <c r="F67" s="32" t="s">
        <v>2810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3">
        <v>32.42</v>
      </c>
      <c r="W67" s="33">
        <v>30.8</v>
      </c>
      <c r="X67" s="33">
        <v>30.8</v>
      </c>
      <c r="Y67" s="33">
        <v>38.47</v>
      </c>
      <c r="Z67" s="33">
        <v>33.12</v>
      </c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4">
        <f>SUM(G67:AK67)</f>
      </c>
      <c r="AM67" s="35"/>
    </row>
    <row r="68" ht="13.5" customHeight="1" spans="2:39" x14ac:dyDescent="0.25">
      <c r="B68" s="51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40"/>
    </row>
    <row r="69" ht="13.5" customHeight="1" spans="2:39" x14ac:dyDescent="0.25">
      <c r="B69" s="20"/>
      <c r="C69" s="21"/>
      <c r="D69" s="21" t="s">
        <v>85</v>
      </c>
      <c r="E69" s="21"/>
      <c r="F69" s="21"/>
      <c r="G69" s="22">
        <f>SUM(G15:G67)</f>
      </c>
      <c r="H69" s="22">
        <f>SUM(H15:H67)</f>
      </c>
      <c r="I69" s="22">
        <f>SUM(I15:I67)</f>
      </c>
      <c r="J69" s="22">
        <f>SUM(J15:J67)</f>
      </c>
      <c r="K69" s="22">
        <f>SUM(K15:K67)</f>
      </c>
      <c r="L69" s="22">
        <f>SUM(L15:L67)</f>
      </c>
      <c r="M69" s="22">
        <f>SUM(M15:M67)</f>
      </c>
      <c r="N69" s="22">
        <f>SUM(N15:N67)</f>
      </c>
      <c r="O69" s="22">
        <f>SUM(O15:O67)</f>
      </c>
      <c r="P69" s="22">
        <f>SUM(P15:P67)</f>
      </c>
      <c r="Q69" s="22">
        <f>SUM(Q15:Q67)</f>
      </c>
      <c r="R69" s="22">
        <f>SUM(R15:R67)</f>
      </c>
      <c r="S69" s="22">
        <f>SUM(S15:S67)</f>
      </c>
      <c r="T69" s="22">
        <f>SUM(T15:T67)</f>
      </c>
      <c r="U69" s="22">
        <f>SUM(U15:U67)</f>
      </c>
      <c r="V69" s="22">
        <f>SUM(V15:V67)</f>
      </c>
      <c r="W69" s="22">
        <f>SUM(W15:W67)</f>
      </c>
      <c r="X69" s="22">
        <f>SUM(X15:X67)</f>
      </c>
      <c r="Y69" s="22">
        <f>SUM(Y15:Y67)</f>
      </c>
      <c r="Z69" s="22">
        <f>SUM(Z15:Z67)</f>
      </c>
      <c r="AA69" s="22">
        <f>SUM(AA15:AA67)</f>
      </c>
      <c r="AB69" s="22">
        <f>SUM(AB15:AB67)</f>
      </c>
      <c r="AC69" s="22">
        <f>SUM(AC15:AC67)</f>
      </c>
      <c r="AD69" s="22">
        <f>SUM(AD15:AD67)</f>
      </c>
      <c r="AE69" s="22">
        <f>SUM(AE15:AE67)</f>
      </c>
      <c r="AF69" s="22">
        <f>SUM(AF15:AF67)</f>
      </c>
      <c r="AG69" s="22">
        <f>SUM(AG15:AG67)</f>
      </c>
      <c r="AH69" s="22">
        <f>SUM(AH15:AH67)</f>
      </c>
      <c r="AI69" s="22">
        <f>SUM(AI15:AI67)</f>
      </c>
      <c r="AJ69" s="22">
        <f>SUM(AJ15:AJ67)</f>
      </c>
      <c r="AK69" s="22">
        <f>SUM(AK15:AK67)</f>
      </c>
      <c r="AL69" s="22">
        <f>SUM(AL15:AL67)</f>
      </c>
      <c r="AM69" s="23"/>
    </row>
    <row r="71" ht="13.5" customHeight="1" spans="2:39" x14ac:dyDescent="0.25">
      <c r="B71" s="46"/>
      <c r="C71" s="28"/>
      <c r="D71" s="47" t="s">
        <v>43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9"/>
    </row>
    <row r="72" ht="13.5" customHeight="1" spans="2:39" x14ac:dyDescent="0.25">
      <c r="B72" s="51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40"/>
    </row>
    <row r="73" ht="13.5" customHeight="1" spans="2:39" x14ac:dyDescent="0.25">
      <c r="B73" s="20"/>
      <c r="C73" s="21"/>
      <c r="D73" s="21" t="s">
        <v>89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3"/>
    </row>
    <row r="75" ht="13.5" customHeight="1" spans="2:39" x14ac:dyDescent="0.25">
      <c r="B75" s="46"/>
      <c r="C75" s="28"/>
      <c r="D75" s="47" t="s">
        <v>44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9"/>
    </row>
    <row r="76" ht="13.5" customHeight="1" spans="2:39" x14ac:dyDescent="0.25">
      <c r="B76" s="51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40"/>
    </row>
    <row r="77" ht="13.5" customHeight="1" spans="2:39" x14ac:dyDescent="0.25">
      <c r="B77" s="20"/>
      <c r="C77" s="21"/>
      <c r="D77" s="21" t="s">
        <v>90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3"/>
    </row>
    <row r="80" ht="12.75" customHeight="1" spans="2:39" x14ac:dyDescent="0.25">
      <c r="B80" s="11" t="s">
        <v>40</v>
      </c>
      <c r="C80" s="12"/>
      <c r="D80" s="12"/>
      <c r="E80" s="12"/>
      <c r="F80" s="12"/>
      <c r="G80" s="52" t="s">
        <v>7</v>
      </c>
      <c r="H80" s="52" t="s">
        <v>8</v>
      </c>
      <c r="I80" s="52" t="s">
        <v>9</v>
      </c>
      <c r="J80" s="52" t="s">
        <v>10</v>
      </c>
      <c r="K80" s="52" t="s">
        <v>11</v>
      </c>
      <c r="L80" s="52" t="s">
        <v>12</v>
      </c>
      <c r="M80" s="52" t="s">
        <v>13</v>
      </c>
      <c r="N80" s="52" t="s">
        <v>14</v>
      </c>
      <c r="O80" s="52" t="s">
        <v>15</v>
      </c>
      <c r="P80" s="52" t="s">
        <v>16</v>
      </c>
      <c r="Q80" s="52" t="s">
        <v>17</v>
      </c>
      <c r="R80" s="52" t="s">
        <v>18</v>
      </c>
      <c r="S80" s="52" t="s">
        <v>19</v>
      </c>
      <c r="T80" s="52" t="s">
        <v>20</v>
      </c>
      <c r="U80" s="52" t="s">
        <v>21</v>
      </c>
      <c r="V80" s="52" t="s">
        <v>22</v>
      </c>
      <c r="W80" s="52" t="s">
        <v>23</v>
      </c>
      <c r="X80" s="52" t="s">
        <v>24</v>
      </c>
      <c r="Y80" s="52" t="s">
        <v>25</v>
      </c>
      <c r="Z80" s="52" t="s">
        <v>26</v>
      </c>
      <c r="AA80" s="52" t="s">
        <v>27</v>
      </c>
      <c r="AB80" s="52" t="s">
        <v>28</v>
      </c>
      <c r="AC80" s="52" t="s">
        <v>29</v>
      </c>
      <c r="AD80" s="52" t="s">
        <v>30</v>
      </c>
      <c r="AE80" s="52" t="s">
        <v>31</v>
      </c>
      <c r="AF80" s="52" t="s">
        <v>32</v>
      </c>
      <c r="AG80" s="52" t="s">
        <v>33</v>
      </c>
      <c r="AH80" s="52" t="s">
        <v>34</v>
      </c>
      <c r="AI80" s="52" t="s">
        <v>35</v>
      </c>
      <c r="AJ80" s="52" t="s">
        <v>36</v>
      </c>
      <c r="AK80" s="52" t="s">
        <v>37</v>
      </c>
      <c r="AL80" s="52" t="s">
        <v>38</v>
      </c>
      <c r="AM80" s="15"/>
    </row>
    <row r="81" ht="12.75" customHeight="1" spans="2:39" x14ac:dyDescent="0.25">
      <c r="B81" s="16"/>
      <c r="C81" s="17"/>
      <c r="D81" s="17" t="s">
        <v>41</v>
      </c>
      <c r="E81" s="17"/>
      <c r="F81" s="17"/>
      <c r="G81" s="18">
        <f>G12</f>
      </c>
      <c r="H81" s="18">
        <f>H12</f>
      </c>
      <c r="I81" s="18">
        <f>I12</f>
      </c>
      <c r="J81" s="18">
        <f>J12</f>
      </c>
      <c r="K81" s="18">
        <f>K12</f>
      </c>
      <c r="L81" s="18">
        <f>L12</f>
      </c>
      <c r="M81" s="18">
        <f>M12</f>
      </c>
      <c r="N81" s="18">
        <f>N12</f>
      </c>
      <c r="O81" s="18">
        <f>O12</f>
      </c>
      <c r="P81" s="18">
        <f>P12</f>
      </c>
      <c r="Q81" s="18">
        <f>Q12</f>
      </c>
      <c r="R81" s="18">
        <f>R12</f>
      </c>
      <c r="S81" s="18">
        <f>S12</f>
      </c>
      <c r="T81" s="18">
        <f>T12</f>
      </c>
      <c r="U81" s="18">
        <f>U12</f>
      </c>
      <c r="V81" s="18">
        <f>V12</f>
      </c>
      <c r="W81" s="18">
        <f>W12</f>
      </c>
      <c r="X81" s="18">
        <f>X12</f>
      </c>
      <c r="Y81" s="18">
        <f>Y12</f>
      </c>
      <c r="Z81" s="18">
        <f>Z12</f>
      </c>
      <c r="AA81" s="18">
        <f>AA12</f>
      </c>
      <c r="AB81" s="18">
        <f>AB12</f>
      </c>
      <c r="AC81" s="18">
        <f>AC12</f>
      </c>
      <c r="AD81" s="18">
        <f>AD12</f>
      </c>
      <c r="AE81" s="18">
        <f>AE12</f>
      </c>
      <c r="AF81" s="18">
        <f>AF12</f>
      </c>
      <c r="AG81" s="18">
        <f>AG12</f>
      </c>
      <c r="AH81" s="18">
        <f>AH12</f>
      </c>
      <c r="AI81" s="18">
        <f>AI12</f>
      </c>
      <c r="AJ81" s="18">
        <f>AJ12</f>
      </c>
      <c r="AK81" s="18">
        <f>AK12</f>
      </c>
      <c r="AL81" s="18">
        <f>AL12</f>
      </c>
      <c r="AM81" s="19"/>
    </row>
    <row r="82" ht="12.75" customHeight="1" spans="2:39" x14ac:dyDescent="0.25">
      <c r="B82" s="16"/>
      <c r="C82" s="17"/>
      <c r="D82" s="17" t="s">
        <v>42</v>
      </c>
      <c r="E82" s="17"/>
      <c r="F82" s="17"/>
      <c r="G82" s="18">
        <f>G69</f>
      </c>
      <c r="H82" s="18">
        <f>H69</f>
      </c>
      <c r="I82" s="18">
        <f>I69</f>
      </c>
      <c r="J82" s="18">
        <f>J69</f>
      </c>
      <c r="K82" s="18">
        <f>K69</f>
      </c>
      <c r="L82" s="18">
        <f>L69</f>
      </c>
      <c r="M82" s="18">
        <f>M69</f>
      </c>
      <c r="N82" s="18">
        <f>N69</f>
      </c>
      <c r="O82" s="18">
        <f>O69</f>
      </c>
      <c r="P82" s="18">
        <f>P69</f>
      </c>
      <c r="Q82" s="18">
        <f>Q69</f>
      </c>
      <c r="R82" s="18">
        <f>R69</f>
      </c>
      <c r="S82" s="18">
        <f>S69</f>
      </c>
      <c r="T82" s="18">
        <f>T69</f>
      </c>
      <c r="U82" s="18">
        <f>U69</f>
      </c>
      <c r="V82" s="18">
        <f>V69</f>
      </c>
      <c r="W82" s="18">
        <f>W69</f>
      </c>
      <c r="X82" s="18">
        <f>X69</f>
      </c>
      <c r="Y82" s="18">
        <f>Y69</f>
      </c>
      <c r="Z82" s="18">
        <f>Z69</f>
      </c>
      <c r="AA82" s="18">
        <f>AA69</f>
      </c>
      <c r="AB82" s="18">
        <f>AB69</f>
      </c>
      <c r="AC82" s="18">
        <f>AC69</f>
      </c>
      <c r="AD82" s="18">
        <f>AD69</f>
      </c>
      <c r="AE82" s="18">
        <f>AE69</f>
      </c>
      <c r="AF82" s="18">
        <f>AF69</f>
      </c>
      <c r="AG82" s="18">
        <f>AG69</f>
      </c>
      <c r="AH82" s="18">
        <f>AH69</f>
      </c>
      <c r="AI82" s="18">
        <f>AI69</f>
      </c>
      <c r="AJ82" s="18">
        <f>AJ69</f>
      </c>
      <c r="AK82" s="18">
        <f>AK69</f>
      </c>
      <c r="AL82" s="18">
        <f>AL69</f>
      </c>
      <c r="AM82" s="19"/>
    </row>
    <row r="83" ht="12.75" customHeight="1" spans="2:39" x14ac:dyDescent="0.25">
      <c r="B83" s="16"/>
      <c r="C83" s="17"/>
      <c r="D83" s="17" t="s">
        <v>43</v>
      </c>
      <c r="E83" s="17"/>
      <c r="F83" s="17"/>
      <c r="G83" s="18">
        <f>G73</f>
      </c>
      <c r="H83" s="18">
        <f>H73</f>
      </c>
      <c r="I83" s="18">
        <f>I73</f>
      </c>
      <c r="J83" s="18">
        <f>J73</f>
      </c>
      <c r="K83" s="18">
        <f>K73</f>
      </c>
      <c r="L83" s="18">
        <f>L73</f>
      </c>
      <c r="M83" s="18">
        <f>M73</f>
      </c>
      <c r="N83" s="18">
        <f>N73</f>
      </c>
      <c r="O83" s="18">
        <f>O73</f>
      </c>
      <c r="P83" s="18">
        <f>P73</f>
      </c>
      <c r="Q83" s="18">
        <f>Q73</f>
      </c>
      <c r="R83" s="18">
        <f>R73</f>
      </c>
      <c r="S83" s="18">
        <f>S73</f>
      </c>
      <c r="T83" s="18">
        <f>T73</f>
      </c>
      <c r="U83" s="18">
        <f>U73</f>
      </c>
      <c r="V83" s="18">
        <f>V73</f>
      </c>
      <c r="W83" s="18">
        <f>W73</f>
      </c>
      <c r="X83" s="18">
        <f>X73</f>
      </c>
      <c r="Y83" s="18">
        <f>Y73</f>
      </c>
      <c r="Z83" s="18">
        <f>Z73</f>
      </c>
      <c r="AA83" s="18">
        <f>AA73</f>
      </c>
      <c r="AB83" s="18">
        <f>AB73</f>
      </c>
      <c r="AC83" s="18">
        <f>AC73</f>
      </c>
      <c r="AD83" s="18">
        <f>AD73</f>
      </c>
      <c r="AE83" s="18">
        <f>AE73</f>
      </c>
      <c r="AF83" s="18">
        <f>AF73</f>
      </c>
      <c r="AG83" s="18">
        <f>AG73</f>
      </c>
      <c r="AH83" s="18">
        <f>AH73</f>
      </c>
      <c r="AI83" s="18">
        <f>AI73</f>
      </c>
      <c r="AJ83" s="18">
        <f>AJ73</f>
      </c>
      <c r="AK83" s="18">
        <f>AK73</f>
      </c>
      <c r="AL83" s="18">
        <f>AL73</f>
      </c>
      <c r="AM83" s="19"/>
    </row>
    <row r="84" ht="12.75" customHeight="1" spans="2:39" x14ac:dyDescent="0.25">
      <c r="B84" s="16"/>
      <c r="C84" s="17"/>
      <c r="D84" s="17" t="s">
        <v>44</v>
      </c>
      <c r="E84" s="17"/>
      <c r="F84" s="17"/>
      <c r="G84" s="18">
        <f>G77</f>
      </c>
      <c r="H84" s="18">
        <f>H77</f>
      </c>
      <c r="I84" s="18">
        <f>I77</f>
      </c>
      <c r="J84" s="18">
        <f>J77</f>
      </c>
      <c r="K84" s="18">
        <f>K77</f>
      </c>
      <c r="L84" s="18">
        <f>L77</f>
      </c>
      <c r="M84" s="18">
        <f>M77</f>
      </c>
      <c r="N84" s="18">
        <f>N77</f>
      </c>
      <c r="O84" s="18">
        <f>O77</f>
      </c>
      <c r="P84" s="18">
        <f>P77</f>
      </c>
      <c r="Q84" s="18">
        <f>Q77</f>
      </c>
      <c r="R84" s="18">
        <f>R77</f>
      </c>
      <c r="S84" s="18">
        <f>S77</f>
      </c>
      <c r="T84" s="18">
        <f>T77</f>
      </c>
      <c r="U84" s="18">
        <f>U77</f>
      </c>
      <c r="V84" s="18">
        <f>V77</f>
      </c>
      <c r="W84" s="18">
        <f>W77</f>
      </c>
      <c r="X84" s="18">
        <f>X77</f>
      </c>
      <c r="Y84" s="18">
        <f>Y77</f>
      </c>
      <c r="Z84" s="18">
        <f>Z77</f>
      </c>
      <c r="AA84" s="18">
        <f>AA77</f>
      </c>
      <c r="AB84" s="18">
        <f>AB77</f>
      </c>
      <c r="AC84" s="18">
        <f>AC77</f>
      </c>
      <c r="AD84" s="18">
        <f>AD77</f>
      </c>
      <c r="AE84" s="18">
        <f>AE77</f>
      </c>
      <c r="AF84" s="18">
        <f>AF77</f>
      </c>
      <c r="AG84" s="18">
        <f>AG77</f>
      </c>
      <c r="AH84" s="18">
        <f>AH77</f>
      </c>
      <c r="AI84" s="18">
        <f>AI77</f>
      </c>
      <c r="AJ84" s="18">
        <f>AJ77</f>
      </c>
      <c r="AK84" s="18">
        <f>AK77</f>
      </c>
      <c r="AL84" s="18">
        <f>AL77</f>
      </c>
      <c r="AM84" s="19"/>
    </row>
    <row r="85" ht="12.75" customHeight="1" spans="2:39" x14ac:dyDescent="0.25">
      <c r="B85" s="20"/>
      <c r="C85" s="21"/>
      <c r="D85" s="21" t="s">
        <v>45</v>
      </c>
      <c r="E85" s="21"/>
      <c r="F85" s="21"/>
      <c r="G85" s="22">
        <f>G81+G82+G83+G84</f>
      </c>
      <c r="H85" s="22">
        <f>H81+H82+H83+H84</f>
      </c>
      <c r="I85" s="22">
        <f>I81+I82+I83+I84</f>
      </c>
      <c r="J85" s="22">
        <f>J81+J82+J83+J84</f>
      </c>
      <c r="K85" s="22">
        <f>K81+K82+K83+K84</f>
      </c>
      <c r="L85" s="22">
        <f>L81+L82+L83+L84</f>
      </c>
      <c r="M85" s="22">
        <f>M81+M82+M83+M84</f>
      </c>
      <c r="N85" s="22">
        <f>N81+N82+N83+N84</f>
      </c>
      <c r="O85" s="22">
        <f>O81+O82+O83+O84</f>
      </c>
      <c r="P85" s="22">
        <f>P81+P82+P83+P84</f>
      </c>
      <c r="Q85" s="22">
        <f>Q81+Q82+Q83+Q84</f>
      </c>
      <c r="R85" s="22">
        <f>R81+R82+R83+R84</f>
      </c>
      <c r="S85" s="22">
        <f>S81+S82+S83+S84</f>
      </c>
      <c r="T85" s="22">
        <f>T81+T82+T83+T84</f>
      </c>
      <c r="U85" s="22">
        <f>U81+U82+U83+U84</f>
      </c>
      <c r="V85" s="22">
        <f>V81+V82+V83+V84</f>
      </c>
      <c r="W85" s="22">
        <f>W81+W82+W83+W84</f>
      </c>
      <c r="X85" s="22">
        <f>X81+X82+X83+X84</f>
      </c>
      <c r="Y85" s="22">
        <f>Y81+Y82+Y83+Y84</f>
      </c>
      <c r="Z85" s="22">
        <f>Z81+Z82+Z83+Z84</f>
      </c>
      <c r="AA85" s="22">
        <f>AA81+AA82+AA83+AA84</f>
      </c>
      <c r="AB85" s="22">
        <f>AB81+AB82+AB83+AB84</f>
      </c>
      <c r="AC85" s="22">
        <f>AC81+AC82+AC83+AC84</f>
      </c>
      <c r="AD85" s="22">
        <f>AD81+AD82+AD83+AD84</f>
      </c>
      <c r="AE85" s="22">
        <f>AE81+AE82+AE83+AE84</f>
      </c>
      <c r="AF85" s="22">
        <f>AF81+AF82+AF83+AF84</f>
      </c>
      <c r="AG85" s="22">
        <f>AG81+AG82+AG83+AG84</f>
      </c>
      <c r="AH85" s="22">
        <f>AH81+AH82+AH83+AH84</f>
      </c>
      <c r="AI85" s="22">
        <f>AI81+AI82+AI83+AI84</f>
      </c>
      <c r="AJ85" s="22">
        <f>AJ81+AJ82+AJ83+AJ84</f>
      </c>
      <c r="AK85" s="22">
        <f>AK81+AK82+AK83+AK84</f>
      </c>
      <c r="AL85" s="22">
        <f>AL81+AL82+AL83+AL84</f>
      </c>
      <c r="AM85" s="23"/>
    </row>
    <row r="87" ht="12.75" customHeight="1" spans="2:39" x14ac:dyDescent="0.25">
      <c r="B87" s="11" t="s">
        <v>46</v>
      </c>
      <c r="C87" s="12"/>
      <c r="D87" s="12"/>
      <c r="E87" s="12"/>
      <c r="F87" s="12"/>
      <c r="G87" s="52" t="s">
        <v>7</v>
      </c>
      <c r="H87" s="52" t="s">
        <v>8</v>
      </c>
      <c r="I87" s="52" t="s">
        <v>9</v>
      </c>
      <c r="J87" s="52" t="s">
        <v>10</v>
      </c>
      <c r="K87" s="52" t="s">
        <v>11</v>
      </c>
      <c r="L87" s="52" t="s">
        <v>12</v>
      </c>
      <c r="M87" s="52" t="s">
        <v>13</v>
      </c>
      <c r="N87" s="52" t="s">
        <v>14</v>
      </c>
      <c r="O87" s="52" t="s">
        <v>15</v>
      </c>
      <c r="P87" s="52" t="s">
        <v>16</v>
      </c>
      <c r="Q87" s="52" t="s">
        <v>17</v>
      </c>
      <c r="R87" s="52" t="s">
        <v>18</v>
      </c>
      <c r="S87" s="52" t="s">
        <v>19</v>
      </c>
      <c r="T87" s="52" t="s">
        <v>20</v>
      </c>
      <c r="U87" s="52" t="s">
        <v>21</v>
      </c>
      <c r="V87" s="52" t="s">
        <v>22</v>
      </c>
      <c r="W87" s="52" t="s">
        <v>23</v>
      </c>
      <c r="X87" s="52" t="s">
        <v>24</v>
      </c>
      <c r="Y87" s="52" t="s">
        <v>25</v>
      </c>
      <c r="Z87" s="52" t="s">
        <v>26</v>
      </c>
      <c r="AA87" s="52" t="s">
        <v>27</v>
      </c>
      <c r="AB87" s="52" t="s">
        <v>28</v>
      </c>
      <c r="AC87" s="52" t="s">
        <v>29</v>
      </c>
      <c r="AD87" s="52" t="s">
        <v>30</v>
      </c>
      <c r="AE87" s="52" t="s">
        <v>31</v>
      </c>
      <c r="AF87" s="52" t="s">
        <v>32</v>
      </c>
      <c r="AG87" s="52" t="s">
        <v>33</v>
      </c>
      <c r="AH87" s="52" t="s">
        <v>34</v>
      </c>
      <c r="AI87" s="52" t="s">
        <v>35</v>
      </c>
      <c r="AJ87" s="52" t="s">
        <v>36</v>
      </c>
      <c r="AK87" s="52" t="s">
        <v>37</v>
      </c>
      <c r="AL87" s="52" t="s">
        <v>38</v>
      </c>
      <c r="AM87" s="15"/>
    </row>
    <row r="88" ht="12.75" customHeight="1" spans="2:39" x14ac:dyDescent="0.25">
      <c r="B88" s="16"/>
      <c r="C88" s="17"/>
      <c r="D88" s="17" t="s">
        <v>41</v>
      </c>
      <c r="E88" s="17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9"/>
    </row>
    <row r="89" ht="12.75" customHeight="1" spans="2:39" x14ac:dyDescent="0.25">
      <c r="B89" s="16"/>
      <c r="C89" s="17"/>
      <c r="D89" s="17" t="s">
        <v>42</v>
      </c>
      <c r="E89" s="17"/>
      <c r="F89" s="1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9"/>
    </row>
    <row r="90" ht="12.75" customHeight="1" spans="2:39" x14ac:dyDescent="0.25">
      <c r="B90" s="16"/>
      <c r="C90" s="17"/>
      <c r="D90" s="17" t="s">
        <v>43</v>
      </c>
      <c r="E90" s="17"/>
      <c r="F90" s="1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9"/>
    </row>
    <row r="91" ht="12.75" customHeight="1" spans="2:39" x14ac:dyDescent="0.25">
      <c r="B91" s="16"/>
      <c r="C91" s="17"/>
      <c r="D91" s="17" t="s">
        <v>44</v>
      </c>
      <c r="E91" s="17"/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</row>
    <row r="92" ht="12.75" customHeight="1" spans="2:39" x14ac:dyDescent="0.25">
      <c r="B92" s="20"/>
      <c r="C92" s="21"/>
      <c r="D92" s="21" t="s">
        <v>45</v>
      </c>
      <c r="E92" s="21"/>
      <c r="F92" s="21"/>
      <c r="G92" s="22">
        <f>G88+G89+G90+G91</f>
      </c>
      <c r="H92" s="22">
        <f>H88+H89+H90+H91</f>
      </c>
      <c r="I92" s="22">
        <f>I88+I89+I90+I91</f>
      </c>
      <c r="J92" s="22">
        <f>J88+J89+J90+J91</f>
      </c>
      <c r="K92" s="22">
        <f>K88+K89+K90+K91</f>
      </c>
      <c r="L92" s="22">
        <f>L88+L89+L90+L91</f>
      </c>
      <c r="M92" s="22">
        <f>M88+M89+M90+M91</f>
      </c>
      <c r="N92" s="22">
        <f>N88+N89+N90+N91</f>
      </c>
      <c r="O92" s="22">
        <f>O88+O89+O90+O91</f>
      </c>
      <c r="P92" s="22">
        <f>P88+P89+P90+P91</f>
      </c>
      <c r="Q92" s="22">
        <f>Q88+Q89+Q90+Q91</f>
      </c>
      <c r="R92" s="22">
        <f>R88+R89+R90+R91</f>
      </c>
      <c r="S92" s="22">
        <f>S88+S89+S90+S91</f>
      </c>
      <c r="T92" s="22">
        <f>T88+T89+T90+T91</f>
      </c>
      <c r="U92" s="22">
        <f>U88+U89+U90+U91</f>
      </c>
      <c r="V92" s="22">
        <f>V88+V89+V90+V91</f>
      </c>
      <c r="W92" s="22">
        <f>W88+W89+W90+W91</f>
      </c>
      <c r="X92" s="22">
        <f>X88+X89+X90+X91</f>
      </c>
      <c r="Y92" s="22">
        <f>Y88+Y89+Y90+Y91</f>
      </c>
      <c r="Z92" s="22">
        <f>Z88+Z89+Z90+Z91</f>
      </c>
      <c r="AA92" s="22">
        <f>AA88+AA89+AA90+AA91</f>
      </c>
      <c r="AB92" s="22">
        <f>AB88+AB89+AB90+AB91</f>
      </c>
      <c r="AC92" s="22">
        <f>AC88+AC89+AC90+AC91</f>
      </c>
      <c r="AD92" s="22">
        <f>AD88+AD89+AD90+AD91</f>
      </c>
      <c r="AE92" s="22">
        <f>AE88+AE89+AE90+AE91</f>
      </c>
      <c r="AF92" s="22">
        <f>AF88+AF89+AF90+AF91</f>
      </c>
      <c r="AG92" s="22">
        <f>AG88+AG89+AG90+AG91</f>
      </c>
      <c r="AH92" s="22">
        <f>AH88+AH89+AH90+AH91</f>
      </c>
      <c r="AI92" s="22">
        <f>AI88+AI89+AI90+AI91</f>
      </c>
      <c r="AJ92" s="22">
        <f>AJ88+AJ89+AJ90+AJ91</f>
      </c>
      <c r="AK92" s="22">
        <f>AK88+AK89+AK90+AK91</f>
      </c>
      <c r="AL92" s="22">
        <f>AL88+AL89+AL90+AL91</f>
      </c>
      <c r="AM92" s="23"/>
    </row>
    <row r="94" ht="12.75" customHeight="1" spans="2:39" x14ac:dyDescent="0.25">
      <c r="B94" s="11" t="s">
        <v>47</v>
      </c>
      <c r="C94" s="12"/>
      <c r="D94" s="12"/>
      <c r="E94" s="12"/>
      <c r="F94" s="12"/>
      <c r="G94" s="52" t="s">
        <v>7</v>
      </c>
      <c r="H94" s="52" t="s">
        <v>8</v>
      </c>
      <c r="I94" s="52" t="s">
        <v>9</v>
      </c>
      <c r="J94" s="52" t="s">
        <v>10</v>
      </c>
      <c r="K94" s="52" t="s">
        <v>11</v>
      </c>
      <c r="L94" s="52" t="s">
        <v>12</v>
      </c>
      <c r="M94" s="52" t="s">
        <v>13</v>
      </c>
      <c r="N94" s="52" t="s">
        <v>14</v>
      </c>
      <c r="O94" s="52" t="s">
        <v>15</v>
      </c>
      <c r="P94" s="52" t="s">
        <v>16</v>
      </c>
      <c r="Q94" s="52" t="s">
        <v>17</v>
      </c>
      <c r="R94" s="52" t="s">
        <v>18</v>
      </c>
      <c r="S94" s="52" t="s">
        <v>19</v>
      </c>
      <c r="T94" s="52" t="s">
        <v>20</v>
      </c>
      <c r="U94" s="52" t="s">
        <v>21</v>
      </c>
      <c r="V94" s="52" t="s">
        <v>22</v>
      </c>
      <c r="W94" s="52" t="s">
        <v>23</v>
      </c>
      <c r="X94" s="52" t="s">
        <v>24</v>
      </c>
      <c r="Y94" s="52" t="s">
        <v>25</v>
      </c>
      <c r="Z94" s="52" t="s">
        <v>26</v>
      </c>
      <c r="AA94" s="52" t="s">
        <v>27</v>
      </c>
      <c r="AB94" s="52" t="s">
        <v>28</v>
      </c>
      <c r="AC94" s="52" t="s">
        <v>29</v>
      </c>
      <c r="AD94" s="52" t="s">
        <v>30</v>
      </c>
      <c r="AE94" s="52" t="s">
        <v>31</v>
      </c>
      <c r="AF94" s="52" t="s">
        <v>32</v>
      </c>
      <c r="AG94" s="52" t="s">
        <v>33</v>
      </c>
      <c r="AH94" s="52" t="s">
        <v>34</v>
      </c>
      <c r="AI94" s="52" t="s">
        <v>35</v>
      </c>
      <c r="AJ94" s="52" t="s">
        <v>36</v>
      </c>
      <c r="AK94" s="52" t="s">
        <v>37</v>
      </c>
      <c r="AL94" s="52" t="s">
        <v>38</v>
      </c>
      <c r="AM94" s="15"/>
    </row>
    <row r="95" ht="12.75" customHeight="1" spans="2:39" x14ac:dyDescent="0.25">
      <c r="B95" s="16"/>
      <c r="C95" s="17"/>
      <c r="D95" s="17" t="s">
        <v>41</v>
      </c>
      <c r="E95" s="17"/>
      <c r="F95" s="17"/>
      <c r="G95" s="24">
        <f>G88-G81</f>
      </c>
      <c r="H95" s="24">
        <f>H88-H81</f>
      </c>
      <c r="I95" s="24">
        <f>I88-I81</f>
      </c>
      <c r="J95" s="24">
        <f>J88-J81</f>
      </c>
      <c r="K95" s="24">
        <f>K88-K81</f>
      </c>
      <c r="L95" s="24">
        <f>L88-L81</f>
      </c>
      <c r="M95" s="24">
        <f>M88-M81</f>
      </c>
      <c r="N95" s="24">
        <f>N88-N81</f>
      </c>
      <c r="O95" s="24">
        <f>O88-O81</f>
      </c>
      <c r="P95" s="24">
        <f>P88-P81</f>
      </c>
      <c r="Q95" s="24">
        <f>Q88-Q81</f>
      </c>
      <c r="R95" s="24">
        <f>R88-R81</f>
      </c>
      <c r="S95" s="24">
        <f>S88-S81</f>
      </c>
      <c r="T95" s="24">
        <f>T88-T81</f>
      </c>
      <c r="U95" s="24">
        <f>U88-U81</f>
      </c>
      <c r="V95" s="24">
        <f>V88-V81</f>
      </c>
      <c r="W95" s="24">
        <f>W88-W81</f>
      </c>
      <c r="X95" s="24">
        <f>X88-X81</f>
      </c>
      <c r="Y95" s="24">
        <f>Y88-Y81</f>
      </c>
      <c r="Z95" s="24">
        <f>Z88-Z81</f>
      </c>
      <c r="AA95" s="24">
        <f>AA88-AA81</f>
      </c>
      <c r="AB95" s="24">
        <f>AB88-AB81</f>
      </c>
      <c r="AC95" s="24">
        <f>AC88-AC81</f>
      </c>
      <c r="AD95" s="24">
        <f>AD88-AD81</f>
      </c>
      <c r="AE95" s="24">
        <f>AE88-AE81</f>
      </c>
      <c r="AF95" s="24">
        <f>AF88-AF81</f>
      </c>
      <c r="AG95" s="24">
        <f>AG88-AG81</f>
      </c>
      <c r="AH95" s="24">
        <f>AH88-AH81</f>
      </c>
      <c r="AI95" s="24">
        <f>AI88-AI81</f>
      </c>
      <c r="AJ95" s="24">
        <f>AJ88-AJ81</f>
      </c>
      <c r="AK95" s="24">
        <f>AK88-AK81</f>
      </c>
      <c r="AL95" s="24">
        <f>AL88-AL81</f>
      </c>
      <c r="AM95" s="19"/>
    </row>
    <row r="96" ht="12.75" customHeight="1" spans="2:39" x14ac:dyDescent="0.25">
      <c r="B96" s="16"/>
      <c r="C96" s="17"/>
      <c r="D96" s="17" t="s">
        <v>42</v>
      </c>
      <c r="E96" s="17"/>
      <c r="F96" s="17"/>
      <c r="G96" s="24">
        <f>G89-G82</f>
      </c>
      <c r="H96" s="24">
        <f>H89-H82</f>
      </c>
      <c r="I96" s="24">
        <f>I89-I82</f>
      </c>
      <c r="J96" s="24">
        <f>J89-J82</f>
      </c>
      <c r="K96" s="24">
        <f>K89-K82</f>
      </c>
      <c r="L96" s="24">
        <f>L89-L82</f>
      </c>
      <c r="M96" s="24">
        <f>M89-M82</f>
      </c>
      <c r="N96" s="24">
        <f>N89-N82</f>
      </c>
      <c r="O96" s="24">
        <f>O89-O82</f>
      </c>
      <c r="P96" s="24">
        <f>P89-P82</f>
      </c>
      <c r="Q96" s="24">
        <f>Q89-Q82</f>
      </c>
      <c r="R96" s="24">
        <f>R89-R82</f>
      </c>
      <c r="S96" s="24">
        <f>S89-S82</f>
      </c>
      <c r="T96" s="24">
        <f>T89-T82</f>
      </c>
      <c r="U96" s="24">
        <f>U89-U82</f>
      </c>
      <c r="V96" s="24">
        <f>V89-V82</f>
      </c>
      <c r="W96" s="24">
        <f>W89-W82</f>
      </c>
      <c r="X96" s="24">
        <f>X89-X82</f>
      </c>
      <c r="Y96" s="24">
        <f>Y89-Y82</f>
      </c>
      <c r="Z96" s="24">
        <f>Z89-Z82</f>
      </c>
      <c r="AA96" s="24">
        <f>AA89-AA82</f>
      </c>
      <c r="AB96" s="24">
        <f>AB89-AB82</f>
      </c>
      <c r="AC96" s="24">
        <f>AC89-AC82</f>
      </c>
      <c r="AD96" s="24">
        <f>AD89-AD82</f>
      </c>
      <c r="AE96" s="24">
        <f>AE89-AE82</f>
      </c>
      <c r="AF96" s="24">
        <f>AF89-AF82</f>
      </c>
      <c r="AG96" s="24">
        <f>AG89-AG82</f>
      </c>
      <c r="AH96" s="24">
        <f>AH89-AH82</f>
      </c>
      <c r="AI96" s="24">
        <f>AI89-AI82</f>
      </c>
      <c r="AJ96" s="24">
        <f>AJ89-AJ82</f>
      </c>
      <c r="AK96" s="24">
        <f>AK89-AK82</f>
      </c>
      <c r="AL96" s="24">
        <f>AL89-AL82</f>
      </c>
      <c r="AM96" s="19"/>
    </row>
    <row r="97" ht="12.75" customHeight="1" spans="2:39" x14ac:dyDescent="0.25">
      <c r="B97" s="16"/>
      <c r="C97" s="17"/>
      <c r="D97" s="17" t="s">
        <v>43</v>
      </c>
      <c r="E97" s="17"/>
      <c r="F97" s="17"/>
      <c r="G97" s="24">
        <f>G90-G83</f>
      </c>
      <c r="H97" s="24">
        <f>H90-H83</f>
      </c>
      <c r="I97" s="24">
        <f>I90-I83</f>
      </c>
      <c r="J97" s="24">
        <f>J90-J83</f>
      </c>
      <c r="K97" s="24">
        <f>K90-K83</f>
      </c>
      <c r="L97" s="24">
        <f>L90-L83</f>
      </c>
      <c r="M97" s="24">
        <f>M90-M83</f>
      </c>
      <c r="N97" s="24">
        <f>N90-N83</f>
      </c>
      <c r="O97" s="24">
        <f>O90-O83</f>
      </c>
      <c r="P97" s="24">
        <f>P90-P83</f>
      </c>
      <c r="Q97" s="24">
        <f>Q90-Q83</f>
      </c>
      <c r="R97" s="24">
        <f>R90-R83</f>
      </c>
      <c r="S97" s="24">
        <f>S90-S83</f>
      </c>
      <c r="T97" s="24">
        <f>T90-T83</f>
      </c>
      <c r="U97" s="24">
        <f>U90-U83</f>
      </c>
      <c r="V97" s="24">
        <f>V90-V83</f>
      </c>
      <c r="W97" s="24">
        <f>W90-W83</f>
      </c>
      <c r="X97" s="24">
        <f>X90-X83</f>
      </c>
      <c r="Y97" s="24">
        <f>Y90-Y83</f>
      </c>
      <c r="Z97" s="24">
        <f>Z90-Z83</f>
      </c>
      <c r="AA97" s="24">
        <f>AA90-AA83</f>
      </c>
      <c r="AB97" s="24">
        <f>AB90-AB83</f>
      </c>
      <c r="AC97" s="24">
        <f>AC90-AC83</f>
      </c>
      <c r="AD97" s="24">
        <f>AD90-AD83</f>
      </c>
      <c r="AE97" s="24">
        <f>AE90-AE83</f>
      </c>
      <c r="AF97" s="24">
        <f>AF90-AF83</f>
      </c>
      <c r="AG97" s="24">
        <f>AG90-AG83</f>
      </c>
      <c r="AH97" s="24">
        <f>AH90-AH83</f>
      </c>
      <c r="AI97" s="24">
        <f>AI90-AI83</f>
      </c>
      <c r="AJ97" s="24">
        <f>AJ90-AJ83</f>
      </c>
      <c r="AK97" s="24">
        <f>AK90-AK83</f>
      </c>
      <c r="AL97" s="24">
        <f>AL90-AL83</f>
      </c>
      <c r="AM97" s="19"/>
    </row>
    <row r="98" ht="12.75" customHeight="1" spans="2:39" x14ac:dyDescent="0.25">
      <c r="B98" s="16"/>
      <c r="C98" s="17"/>
      <c r="D98" s="17" t="s">
        <v>44</v>
      </c>
      <c r="E98" s="17"/>
      <c r="F98" s="17"/>
      <c r="G98" s="24">
        <f>G91-G84</f>
      </c>
      <c r="H98" s="24">
        <f>H91-H84</f>
      </c>
      <c r="I98" s="24">
        <f>I91-I84</f>
      </c>
      <c r="J98" s="24">
        <f>J91-J84</f>
      </c>
      <c r="K98" s="24">
        <f>K91-K84</f>
      </c>
      <c r="L98" s="24">
        <f>L91-L84</f>
      </c>
      <c r="M98" s="24">
        <f>M91-M84</f>
      </c>
      <c r="N98" s="24">
        <f>N91-N84</f>
      </c>
      <c r="O98" s="24">
        <f>O91-O84</f>
      </c>
      <c r="P98" s="24">
        <f>P91-P84</f>
      </c>
      <c r="Q98" s="24">
        <f>Q91-Q84</f>
      </c>
      <c r="R98" s="24">
        <f>R91-R84</f>
      </c>
      <c r="S98" s="24">
        <f>S91-S84</f>
      </c>
      <c r="T98" s="24">
        <f>T91-T84</f>
      </c>
      <c r="U98" s="24">
        <f>U91-U84</f>
      </c>
      <c r="V98" s="24">
        <f>V91-V84</f>
      </c>
      <c r="W98" s="24">
        <f>W91-W84</f>
      </c>
      <c r="X98" s="24">
        <f>X91-X84</f>
      </c>
      <c r="Y98" s="24">
        <f>Y91-Y84</f>
      </c>
      <c r="Z98" s="24">
        <f>Z91-Z84</f>
      </c>
      <c r="AA98" s="24">
        <f>AA91-AA84</f>
      </c>
      <c r="AB98" s="24">
        <f>AB91-AB84</f>
      </c>
      <c r="AC98" s="24">
        <f>AC91-AC84</f>
      </c>
      <c r="AD98" s="24">
        <f>AD91-AD84</f>
      </c>
      <c r="AE98" s="24">
        <f>AE91-AE84</f>
      </c>
      <c r="AF98" s="24">
        <f>AF91-AF84</f>
      </c>
      <c r="AG98" s="24">
        <f>AG91-AG84</f>
      </c>
      <c r="AH98" s="24">
        <f>AH91-AH84</f>
      </c>
      <c r="AI98" s="24">
        <f>AI91-AI84</f>
      </c>
      <c r="AJ98" s="24">
        <f>AJ91-AJ84</f>
      </c>
      <c r="AK98" s="24">
        <f>AK91-AK84</f>
      </c>
      <c r="AL98" s="24">
        <f>AL91-AL84</f>
      </c>
      <c r="AM98" s="19"/>
    </row>
    <row r="99" ht="12.75" customHeight="1" spans="2:39" x14ac:dyDescent="0.25">
      <c r="B99" s="20"/>
      <c r="C99" s="21"/>
      <c r="D99" s="21" t="s">
        <v>45</v>
      </c>
      <c r="E99" s="21"/>
      <c r="F99" s="21"/>
      <c r="G99" s="25">
        <f>G95+G96+G97+G98</f>
      </c>
      <c r="H99" s="25">
        <f>H95+H96+H97+H98</f>
      </c>
      <c r="I99" s="25">
        <f>I95+I96+I97+I98</f>
      </c>
      <c r="J99" s="25">
        <f>J95+J96+J97+J98</f>
      </c>
      <c r="K99" s="25">
        <f>K95+K96+K97+K98</f>
      </c>
      <c r="L99" s="25">
        <f>L95+L96+L97+L98</f>
      </c>
      <c r="M99" s="25">
        <f>M95+M96+M97+M98</f>
      </c>
      <c r="N99" s="25">
        <f>N95+N96+N97+N98</f>
      </c>
      <c r="O99" s="25">
        <f>O95+O96+O97+O98</f>
      </c>
      <c r="P99" s="25">
        <f>P95+P96+P97+P98</f>
      </c>
      <c r="Q99" s="25">
        <f>Q95+Q96+Q97+Q98</f>
      </c>
      <c r="R99" s="25">
        <f>R95+R96+R97+R98</f>
      </c>
      <c r="S99" s="25">
        <f>S95+S96+S97+S98</f>
      </c>
      <c r="T99" s="25">
        <f>T95+T96+T97+T98</f>
      </c>
      <c r="U99" s="25">
        <f>U95+U96+U97+U98</f>
      </c>
      <c r="V99" s="25">
        <f>V95+V96+V97+V98</f>
      </c>
      <c r="W99" s="25">
        <f>W95+W96+W97+W98</f>
      </c>
      <c r="X99" s="25">
        <f>X95+X96+X97+X98</f>
      </c>
      <c r="Y99" s="25">
        <f>Y95+Y96+Y97+Y98</f>
      </c>
      <c r="Z99" s="25">
        <f>Z95+Z96+Z97+Z98</f>
      </c>
      <c r="AA99" s="25">
        <f>AA95+AA96+AA97+AA98</f>
      </c>
      <c r="AB99" s="25">
        <f>AB95+AB96+AB97+AB98</f>
      </c>
      <c r="AC99" s="25">
        <f>AC95+AC96+AC97+AC98</f>
      </c>
      <c r="AD99" s="25">
        <f>AD95+AD96+AD97+AD98</f>
      </c>
      <c r="AE99" s="25">
        <f>AE95+AE96+AE97+AE98</f>
      </c>
      <c r="AF99" s="25">
        <f>AF95+AF96+AF97+AF98</f>
      </c>
      <c r="AG99" s="25">
        <f>AG95+AG96+AG97+AG98</f>
      </c>
      <c r="AH99" s="25">
        <f>AH95+AH96+AH97+AH98</f>
      </c>
      <c r="AI99" s="25">
        <f>AI95+AI96+AI97+AI98</f>
      </c>
      <c r="AJ99" s="25">
        <f>AJ95+AJ96+AJ97+AJ98</f>
      </c>
      <c r="AK99" s="25">
        <f>AK95+AK96+AK97+AK98</f>
      </c>
      <c r="AL99" s="25">
        <f>AL95+AL96+AL97+AL98</f>
      </c>
      <c r="AM99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5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2827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</row>
    <row r="10" ht="12.75" customHeight="1" spans="2:37" x14ac:dyDescent="0.25">
      <c r="B10" s="20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3"/>
    </row>
    <row r="12" ht="12.75" customHeight="1" spans="2:37" x14ac:dyDescent="0.25">
      <c r="B12" s="26" t="s">
        <v>42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</row>
    <row r="13" ht="12.75" customHeight="1" spans="2:37" x14ac:dyDescent="0.25">
      <c r="B13" s="30" t="s">
        <v>42</v>
      </c>
      <c r="C13" s="31" t="s">
        <v>3</v>
      </c>
      <c r="D13" s="32" t="s">
        <v>2828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>
        <v>477.4</v>
      </c>
      <c r="V13" s="33">
        <v>485.04</v>
      </c>
      <c r="W13" s="33">
        <v>501.29</v>
      </c>
      <c r="X13" s="33">
        <v>447.37</v>
      </c>
      <c r="Y13" s="33">
        <v>548.49</v>
      </c>
      <c r="Z13" s="33">
        <v>573.09</v>
      </c>
      <c r="AA13" s="33">
        <v>620.25</v>
      </c>
      <c r="AB13" s="33">
        <v>769.43</v>
      </c>
      <c r="AC13" s="33">
        <v>408.86</v>
      </c>
      <c r="AD13" s="33">
        <v>345.67</v>
      </c>
      <c r="AE13" s="33">
        <v>264.22</v>
      </c>
      <c r="AF13" s="33">
        <v>230.8</v>
      </c>
      <c r="AG13" s="33">
        <v>601.15</v>
      </c>
      <c r="AH13" s="33">
        <v>705.52</v>
      </c>
      <c r="AI13" s="32"/>
      <c r="AJ13" s="34">
        <f>SUM(E13:AI13)</f>
      </c>
      <c r="AK13" s="35"/>
    </row>
    <row r="14" ht="12.75" customHeight="1" spans="2:37" x14ac:dyDescent="0.25">
      <c r="B14" s="30" t="s">
        <v>42</v>
      </c>
      <c r="C14" s="31" t="s">
        <v>3</v>
      </c>
      <c r="D14" s="32" t="s">
        <v>2829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>
        <v>1228.42</v>
      </c>
      <c r="V14" s="33">
        <v>1599.64</v>
      </c>
      <c r="W14" s="33">
        <v>1593.23</v>
      </c>
      <c r="X14" s="33">
        <v>1625.74</v>
      </c>
      <c r="Y14" s="33">
        <v>1083.75</v>
      </c>
      <c r="Z14" s="33">
        <v>1101.21</v>
      </c>
      <c r="AA14" s="33">
        <v>1229.42</v>
      </c>
      <c r="AB14" s="33">
        <v>1326</v>
      </c>
      <c r="AC14" s="33">
        <v>1099.69</v>
      </c>
      <c r="AD14" s="33">
        <v>1159.33</v>
      </c>
      <c r="AE14" s="33">
        <v>872.18</v>
      </c>
      <c r="AF14" s="33">
        <v>1160.95</v>
      </c>
      <c r="AG14" s="33">
        <v>1508.08</v>
      </c>
      <c r="AH14" s="33">
        <v>1570.87</v>
      </c>
      <c r="AI14" s="32"/>
      <c r="AJ14" s="34">
        <f>SUM(E14:AI14)</f>
      </c>
      <c r="AK14" s="35"/>
    </row>
    <row r="15" ht="12.75" customHeight="1" spans="2:37" x14ac:dyDescent="0.25">
      <c r="B15" s="30" t="s">
        <v>42</v>
      </c>
      <c r="C15" s="31" t="s">
        <v>3</v>
      </c>
      <c r="D15" s="32" t="s">
        <v>2830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>
        <v>238.39</v>
      </c>
      <c r="V15" s="33">
        <v>181.91</v>
      </c>
      <c r="W15" s="33">
        <v>182.24</v>
      </c>
      <c r="X15" s="33">
        <v>329.56</v>
      </c>
      <c r="Y15" s="33">
        <v>297.53</v>
      </c>
      <c r="Z15" s="33">
        <v>326.42</v>
      </c>
      <c r="AA15" s="33">
        <v>372.59</v>
      </c>
      <c r="AB15" s="33">
        <v>430.06</v>
      </c>
      <c r="AC15" s="33">
        <v>335.2</v>
      </c>
      <c r="AD15" s="33">
        <v>316.76</v>
      </c>
      <c r="AE15" s="33">
        <v>163.46</v>
      </c>
      <c r="AF15" s="33">
        <v>193.71</v>
      </c>
      <c r="AG15" s="33">
        <v>285.26</v>
      </c>
      <c r="AH15" s="33">
        <v>306.02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2831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>
        <v>200.72</v>
      </c>
      <c r="V16" s="33">
        <v>281.55</v>
      </c>
      <c r="W16" s="33">
        <v>285.21</v>
      </c>
      <c r="X16" s="33">
        <v>447.5</v>
      </c>
      <c r="Y16" s="33">
        <v>71.04</v>
      </c>
      <c r="Z16" s="33">
        <v>36.54</v>
      </c>
      <c r="AA16" s="33">
        <v>48.15</v>
      </c>
      <c r="AB16" s="33">
        <v>123.87</v>
      </c>
      <c r="AC16" s="33">
        <v>125.56</v>
      </c>
      <c r="AD16" s="33">
        <v>125.11</v>
      </c>
      <c r="AE16" s="33">
        <v>125.11</v>
      </c>
      <c r="AF16" s="33">
        <v>190.73</v>
      </c>
      <c r="AG16" s="33">
        <v>249.08</v>
      </c>
      <c r="AH16" s="33">
        <v>198.16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2832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>
        <v>343.38</v>
      </c>
      <c r="V17" s="33">
        <v>384.55</v>
      </c>
      <c r="W17" s="33">
        <v>412.79</v>
      </c>
      <c r="X17" s="33">
        <v>548.49</v>
      </c>
      <c r="Y17" s="33">
        <v>549.8</v>
      </c>
      <c r="Z17" s="33">
        <v>586.52</v>
      </c>
      <c r="AA17" s="33">
        <v>904.28</v>
      </c>
      <c r="AB17" s="33">
        <v>922.21</v>
      </c>
      <c r="AC17" s="33">
        <v>762.85</v>
      </c>
      <c r="AD17" s="33">
        <v>611.21</v>
      </c>
      <c r="AE17" s="33">
        <v>412.02</v>
      </c>
      <c r="AF17" s="33">
        <v>438.12</v>
      </c>
      <c r="AG17" s="33">
        <v>314.58</v>
      </c>
      <c r="AH17" s="33">
        <v>351.09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2833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>
        <v>1164.94</v>
      </c>
      <c r="V18" s="33">
        <v>1159.59</v>
      </c>
      <c r="W18" s="33">
        <v>1119.84</v>
      </c>
      <c r="X18" s="33">
        <v>1078.04</v>
      </c>
      <c r="Y18" s="33">
        <v>782.51</v>
      </c>
      <c r="Z18" s="33">
        <v>880.76</v>
      </c>
      <c r="AA18" s="33">
        <v>1018.46</v>
      </c>
      <c r="AB18" s="33">
        <v>976.85</v>
      </c>
      <c r="AC18" s="33">
        <v>1036.48</v>
      </c>
      <c r="AD18" s="33">
        <v>860</v>
      </c>
      <c r="AE18" s="33">
        <v>834.65</v>
      </c>
      <c r="AF18" s="33">
        <v>918.39</v>
      </c>
      <c r="AG18" s="33">
        <v>1233.07</v>
      </c>
      <c r="AH18" s="33">
        <v>1171.63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2834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>
        <v>2403.7</v>
      </c>
      <c r="V19" s="33">
        <v>2940.83</v>
      </c>
      <c r="W19" s="33">
        <v>2797.32</v>
      </c>
      <c r="X19" s="33">
        <v>2822.02</v>
      </c>
      <c r="Y19" s="33">
        <v>2214.39</v>
      </c>
      <c r="Z19" s="33">
        <v>2292.24</v>
      </c>
      <c r="AA19" s="33">
        <v>2535.13</v>
      </c>
      <c r="AB19" s="33">
        <v>2691.86</v>
      </c>
      <c r="AC19" s="33">
        <v>2681.14</v>
      </c>
      <c r="AD19" s="33">
        <v>2490.61</v>
      </c>
      <c r="AE19" s="33">
        <v>2293.21</v>
      </c>
      <c r="AF19" s="33">
        <v>2310.29</v>
      </c>
      <c r="AG19" s="33">
        <v>2874.44</v>
      </c>
      <c r="AH19" s="33">
        <v>2981.9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2835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>
        <v>82.98</v>
      </c>
      <c r="V20" s="33">
        <v>96.76</v>
      </c>
      <c r="W20" s="33">
        <v>105.98</v>
      </c>
      <c r="X20" s="33">
        <v>150.6</v>
      </c>
      <c r="Y20" s="33">
        <v>208.65</v>
      </c>
      <c r="Z20" s="33">
        <v>240.97</v>
      </c>
      <c r="AA20" s="33">
        <v>266.11</v>
      </c>
      <c r="AB20" s="33">
        <v>282.67</v>
      </c>
      <c r="AC20" s="33">
        <v>244.18</v>
      </c>
      <c r="AD20" s="33">
        <v>212.13</v>
      </c>
      <c r="AE20" s="33">
        <v>150.75</v>
      </c>
      <c r="AF20" s="33">
        <v>123.57</v>
      </c>
      <c r="AG20" s="33">
        <v>140.54</v>
      </c>
      <c r="AH20" s="33">
        <v>158.4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2836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>
        <v>61.92</v>
      </c>
      <c r="V21" s="33">
        <v>59.29</v>
      </c>
      <c r="W21" s="33">
        <v>59.12</v>
      </c>
      <c r="X21" s="33">
        <v>63.52</v>
      </c>
      <c r="Y21" s="33">
        <v>58.36</v>
      </c>
      <c r="Z21" s="33">
        <v>60.53</v>
      </c>
      <c r="AA21" s="33">
        <v>64.28</v>
      </c>
      <c r="AB21" s="33">
        <v>65.06</v>
      </c>
      <c r="AC21" s="33">
        <v>66.55</v>
      </c>
      <c r="AD21" s="33">
        <v>70.28</v>
      </c>
      <c r="AE21" s="33">
        <v>65.12</v>
      </c>
      <c r="AF21" s="33">
        <v>69.2</v>
      </c>
      <c r="AG21" s="33">
        <v>75.21</v>
      </c>
      <c r="AH21" s="33">
        <v>72.33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2837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>
        <v>833.9</v>
      </c>
      <c r="V22" s="33">
        <v>802.23</v>
      </c>
      <c r="W22" s="33">
        <v>800.36</v>
      </c>
      <c r="X22" s="33">
        <v>749.46</v>
      </c>
      <c r="Y22" s="33">
        <v>919.81</v>
      </c>
      <c r="Z22" s="33">
        <v>892.78</v>
      </c>
      <c r="AA22" s="33">
        <v>745.26</v>
      </c>
      <c r="AB22" s="33">
        <v>693.11</v>
      </c>
      <c r="AC22" s="33">
        <v>856.46</v>
      </c>
      <c r="AD22" s="33">
        <v>673</v>
      </c>
      <c r="AE22" s="33">
        <v>532.66</v>
      </c>
      <c r="AF22" s="33">
        <v>611.41</v>
      </c>
      <c r="AG22" s="33">
        <v>804</v>
      </c>
      <c r="AH22" s="33">
        <v>867.92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2838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>
        <v>743.35</v>
      </c>
      <c r="V23" s="33">
        <v>993.41</v>
      </c>
      <c r="W23" s="33">
        <v>1038.34</v>
      </c>
      <c r="X23" s="33">
        <v>1045.79</v>
      </c>
      <c r="Y23" s="33">
        <v>1168.85</v>
      </c>
      <c r="Z23" s="33">
        <v>1023.22</v>
      </c>
      <c r="AA23" s="36">
        <f>931.31+0.00</f>
        <v>931.31</v>
      </c>
      <c r="AB23" s="33">
        <v>1157.33</v>
      </c>
      <c r="AC23" s="33">
        <v>740.95</v>
      </c>
      <c r="AD23" s="33">
        <v>739.97</v>
      </c>
      <c r="AE23" s="33">
        <v>936.64</v>
      </c>
      <c r="AF23" s="33">
        <v>964.93</v>
      </c>
      <c r="AG23" s="33">
        <v>994.07</v>
      </c>
      <c r="AH23" s="33">
        <v>1030.8</v>
      </c>
      <c r="AI23" s="32"/>
      <c r="AJ23" s="34">
        <f>SUM(E23:AI23)</f>
      </c>
      <c r="AK23" s="35"/>
    </row>
    <row r="24" ht="12.75" customHeight="1" spans="2:37" x14ac:dyDescent="0.25">
      <c r="B24" s="37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40"/>
    </row>
    <row r="25" ht="12.75" customHeight="1" spans="2:37" x14ac:dyDescent="0.25">
      <c r="B25" s="20" t="s">
        <v>85</v>
      </c>
      <c r="C25" s="21"/>
      <c r="D25" s="21"/>
      <c r="E25" s="22">
        <f>SUM(E13:E23)</f>
      </c>
      <c r="F25" s="22">
        <f>SUM(F13:F23)</f>
      </c>
      <c r="G25" s="22">
        <f>SUM(G13:G23)</f>
      </c>
      <c r="H25" s="22">
        <f>SUM(H13:H23)</f>
      </c>
      <c r="I25" s="22">
        <f>SUM(I13:I23)</f>
      </c>
      <c r="J25" s="22">
        <f>SUM(J13:J23)</f>
      </c>
      <c r="K25" s="22">
        <f>SUM(K13:K23)</f>
      </c>
      <c r="L25" s="22">
        <f>SUM(L13:L23)</f>
      </c>
      <c r="M25" s="22">
        <f>SUM(M13:M23)</f>
      </c>
      <c r="N25" s="22">
        <f>SUM(N13:N23)</f>
      </c>
      <c r="O25" s="22">
        <f>SUM(O13:O23)</f>
      </c>
      <c r="P25" s="22">
        <f>SUM(P13:P23)</f>
      </c>
      <c r="Q25" s="22">
        <f>SUM(Q13:Q23)</f>
      </c>
      <c r="R25" s="22">
        <f>SUM(R13:R23)</f>
      </c>
      <c r="S25" s="22">
        <f>SUM(S13:S23)</f>
      </c>
      <c r="T25" s="22">
        <f>SUM(T13:T23)</f>
      </c>
      <c r="U25" s="22">
        <f>SUM(U13:U23)</f>
      </c>
      <c r="V25" s="22">
        <f>SUM(V13:V23)</f>
      </c>
      <c r="W25" s="22">
        <f>SUM(W13:W23)</f>
      </c>
      <c r="X25" s="22">
        <f>SUM(X13:X23)</f>
      </c>
      <c r="Y25" s="22">
        <f>SUM(Y13:Y23)</f>
      </c>
      <c r="Z25" s="22">
        <f>SUM(Z13:Z23)</f>
      </c>
      <c r="AA25" s="22">
        <f>SUM(AA13:AA23)</f>
      </c>
      <c r="AB25" s="22">
        <f>SUM(AB13:AB23)</f>
      </c>
      <c r="AC25" s="22">
        <f>SUM(AC13:AC23)</f>
      </c>
      <c r="AD25" s="22">
        <f>SUM(AD13:AD23)</f>
      </c>
      <c r="AE25" s="22">
        <f>SUM(AE13:AE23)</f>
      </c>
      <c r="AF25" s="22">
        <f>SUM(AF13:AF23)</f>
      </c>
      <c r="AG25" s="22">
        <f>SUM(AG13:AG23)</f>
      </c>
      <c r="AH25" s="22">
        <f>SUM(AH13:AH23)</f>
      </c>
      <c r="AI25" s="22">
        <f>SUM(AI13:AI23)</f>
      </c>
      <c r="AJ25" s="22">
        <f>SUM(AJ13:AJ23)</f>
      </c>
      <c r="AK25" s="23"/>
    </row>
    <row r="27" ht="12.75" customHeight="1" spans="2:37" x14ac:dyDescent="0.25">
      <c r="B27" s="26" t="s">
        <v>43</v>
      </c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9"/>
    </row>
    <row r="28" ht="12.75" customHeight="1" spans="2:37" x14ac:dyDescent="0.25"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</row>
    <row r="29" ht="12.75" customHeight="1" spans="2:37" x14ac:dyDescent="0.25">
      <c r="B29" s="20" t="s">
        <v>89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3"/>
    </row>
    <row r="31" ht="12.75" customHeight="1" spans="2:37" x14ac:dyDescent="0.25">
      <c r="B31" s="26" t="s">
        <v>44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9"/>
    </row>
    <row r="32" ht="12.75" customHeight="1" spans="2:37" x14ac:dyDescent="0.25"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</row>
    <row r="33" ht="12.75" customHeight="1" spans="2:37" x14ac:dyDescent="0.25">
      <c r="B33" s="20" t="s">
        <v>90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3"/>
    </row>
    <row r="36" ht="12.75" customHeight="1" spans="2:37" x14ac:dyDescent="0.25">
      <c r="B36" s="11" t="s">
        <v>40</v>
      </c>
      <c r="C36" s="12"/>
      <c r="D36" s="13"/>
      <c r="E36" s="14" t="s">
        <v>7</v>
      </c>
      <c r="F36" s="14" t="s">
        <v>8</v>
      </c>
      <c r="G36" s="14" t="s">
        <v>9</v>
      </c>
      <c r="H36" s="14" t="s">
        <v>10</v>
      </c>
      <c r="I36" s="14" t="s">
        <v>11</v>
      </c>
      <c r="J36" s="14" t="s">
        <v>12</v>
      </c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R36" s="14" t="s">
        <v>20</v>
      </c>
      <c r="S36" s="14" t="s">
        <v>21</v>
      </c>
      <c r="T36" s="14" t="s">
        <v>22</v>
      </c>
      <c r="U36" s="14" t="s">
        <v>23</v>
      </c>
      <c r="V36" s="14" t="s">
        <v>24</v>
      </c>
      <c r="W36" s="14" t="s">
        <v>25</v>
      </c>
      <c r="X36" s="14" t="s">
        <v>26</v>
      </c>
      <c r="Y36" s="14" t="s">
        <v>27</v>
      </c>
      <c r="Z36" s="14" t="s">
        <v>28</v>
      </c>
      <c r="AA36" s="14" t="s">
        <v>29</v>
      </c>
      <c r="AB36" s="14" t="s">
        <v>30</v>
      </c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5"/>
    </row>
    <row r="37" ht="12.75" customHeight="1" spans="2:37" x14ac:dyDescent="0.25">
      <c r="B37" s="16" t="s">
        <v>41</v>
      </c>
      <c r="C37" s="17"/>
      <c r="D37" s="17"/>
      <c r="E37" s="18">
        <f>E10</f>
      </c>
      <c r="F37" s="18">
        <f>F10</f>
      </c>
      <c r="G37" s="18">
        <f>G10</f>
      </c>
      <c r="H37" s="18">
        <f>H10</f>
      </c>
      <c r="I37" s="18">
        <f>I10</f>
      </c>
      <c r="J37" s="18">
        <f>J10</f>
      </c>
      <c r="K37" s="18">
        <f>K10</f>
      </c>
      <c r="L37" s="18">
        <f>L10</f>
      </c>
      <c r="M37" s="18">
        <f>M10</f>
      </c>
      <c r="N37" s="18">
        <f>N10</f>
      </c>
      <c r="O37" s="18">
        <f>O10</f>
      </c>
      <c r="P37" s="18">
        <f>P10</f>
      </c>
      <c r="Q37" s="18">
        <f>Q10</f>
      </c>
      <c r="R37" s="18">
        <f>R10</f>
      </c>
      <c r="S37" s="18">
        <f>S10</f>
      </c>
      <c r="T37" s="18">
        <f>T10</f>
      </c>
      <c r="U37" s="18">
        <f>U10</f>
      </c>
      <c r="V37" s="18">
        <f>V10</f>
      </c>
      <c r="W37" s="18">
        <f>W10</f>
      </c>
      <c r="X37" s="18">
        <f>X10</f>
      </c>
      <c r="Y37" s="18">
        <f>Y10</f>
      </c>
      <c r="Z37" s="18">
        <f>Z10</f>
      </c>
      <c r="AA37" s="18">
        <f>AA10</f>
      </c>
      <c r="AB37" s="18">
        <f>AB10</f>
      </c>
      <c r="AC37" s="18">
        <f>AC10</f>
      </c>
      <c r="AD37" s="18">
        <f>AD10</f>
      </c>
      <c r="AE37" s="18">
        <f>AE10</f>
      </c>
      <c r="AF37" s="18">
        <f>AF10</f>
      </c>
      <c r="AG37" s="18">
        <f>AG10</f>
      </c>
      <c r="AH37" s="18">
        <f>AH10</f>
      </c>
      <c r="AI37" s="18">
        <f>AI10</f>
      </c>
      <c r="AJ37" s="18">
        <f>AJ10</f>
      </c>
      <c r="AK37" s="19"/>
    </row>
    <row r="38" ht="12.75" customHeight="1" spans="2:37" x14ac:dyDescent="0.25">
      <c r="B38" s="16" t="s">
        <v>42</v>
      </c>
      <c r="C38" s="17"/>
      <c r="D38" s="17"/>
      <c r="E38" s="18">
        <f>E25</f>
      </c>
      <c r="F38" s="18">
        <f>F25</f>
      </c>
      <c r="G38" s="18">
        <f>G25</f>
      </c>
      <c r="H38" s="18">
        <f>H25</f>
      </c>
      <c r="I38" s="18">
        <f>I25</f>
      </c>
      <c r="J38" s="18">
        <f>J25</f>
      </c>
      <c r="K38" s="18">
        <f>K25</f>
      </c>
      <c r="L38" s="18">
        <f>L25</f>
      </c>
      <c r="M38" s="18">
        <f>M25</f>
      </c>
      <c r="N38" s="18">
        <f>N25</f>
      </c>
      <c r="O38" s="18">
        <f>O25</f>
      </c>
      <c r="P38" s="18">
        <f>P25</f>
      </c>
      <c r="Q38" s="18">
        <f>Q25</f>
      </c>
      <c r="R38" s="18">
        <f>R25</f>
      </c>
      <c r="S38" s="18">
        <f>S25</f>
      </c>
      <c r="T38" s="18">
        <f>T25</f>
      </c>
      <c r="U38" s="18">
        <f>U25</f>
      </c>
      <c r="V38" s="18">
        <f>V25</f>
      </c>
      <c r="W38" s="18">
        <f>W25</f>
      </c>
      <c r="X38" s="18">
        <f>X25</f>
      </c>
      <c r="Y38" s="18">
        <f>Y25</f>
      </c>
      <c r="Z38" s="18">
        <f>Z25</f>
      </c>
      <c r="AA38" s="18">
        <f>AA25</f>
      </c>
      <c r="AB38" s="18">
        <f>AB25</f>
      </c>
      <c r="AC38" s="18">
        <f>AC25</f>
      </c>
      <c r="AD38" s="18">
        <f>AD25</f>
      </c>
      <c r="AE38" s="18">
        <f>AE25</f>
      </c>
      <c r="AF38" s="18">
        <f>AF25</f>
      </c>
      <c r="AG38" s="18">
        <f>AG25</f>
      </c>
      <c r="AH38" s="18">
        <f>AH25</f>
      </c>
      <c r="AI38" s="18">
        <f>AI25</f>
      </c>
      <c r="AJ38" s="18">
        <f>AJ25</f>
      </c>
      <c r="AK38" s="19"/>
    </row>
    <row r="39" ht="12.75" customHeight="1" spans="2:37" x14ac:dyDescent="0.25">
      <c r="B39" s="16" t="s">
        <v>43</v>
      </c>
      <c r="C39" s="17"/>
      <c r="D39" s="17"/>
      <c r="E39" s="18">
        <f>E29</f>
      </c>
      <c r="F39" s="18">
        <f>F29</f>
      </c>
      <c r="G39" s="18">
        <f>G29</f>
      </c>
      <c r="H39" s="18">
        <f>H29</f>
      </c>
      <c r="I39" s="18">
        <f>I29</f>
      </c>
      <c r="J39" s="18">
        <f>J29</f>
      </c>
      <c r="K39" s="18">
        <f>K29</f>
      </c>
      <c r="L39" s="18">
        <f>L29</f>
      </c>
      <c r="M39" s="18">
        <f>M29</f>
      </c>
      <c r="N39" s="18">
        <f>N29</f>
      </c>
      <c r="O39" s="18">
        <f>O29</f>
      </c>
      <c r="P39" s="18">
        <f>P29</f>
      </c>
      <c r="Q39" s="18">
        <f>Q29</f>
      </c>
      <c r="R39" s="18">
        <f>R29</f>
      </c>
      <c r="S39" s="18">
        <f>S29</f>
      </c>
      <c r="T39" s="18">
        <f>T29</f>
      </c>
      <c r="U39" s="18">
        <f>U29</f>
      </c>
      <c r="V39" s="18">
        <f>V29</f>
      </c>
      <c r="W39" s="18">
        <f>W29</f>
      </c>
      <c r="X39" s="18">
        <f>X29</f>
      </c>
      <c r="Y39" s="18">
        <f>Y29</f>
      </c>
      <c r="Z39" s="18">
        <f>Z29</f>
      </c>
      <c r="AA39" s="18">
        <f>AA29</f>
      </c>
      <c r="AB39" s="18">
        <f>AB29</f>
      </c>
      <c r="AC39" s="18">
        <f>AC29</f>
      </c>
      <c r="AD39" s="18">
        <f>AD29</f>
      </c>
      <c r="AE39" s="18">
        <f>AE29</f>
      </c>
      <c r="AF39" s="18">
        <f>AF29</f>
      </c>
      <c r="AG39" s="18">
        <f>AG29</f>
      </c>
      <c r="AH39" s="18">
        <f>AH29</f>
      </c>
      <c r="AI39" s="18">
        <f>AI29</f>
      </c>
      <c r="AJ39" s="18">
        <f>AJ29</f>
      </c>
      <c r="AK39" s="19"/>
    </row>
    <row r="40" ht="12.75" customHeight="1" spans="2:37" x14ac:dyDescent="0.25">
      <c r="B40" s="16" t="s">
        <v>44</v>
      </c>
      <c r="C40" s="17"/>
      <c r="D40" s="17"/>
      <c r="E40" s="18">
        <f>E33</f>
      </c>
      <c r="F40" s="18">
        <f>F33</f>
      </c>
      <c r="G40" s="18">
        <f>G33</f>
      </c>
      <c r="H40" s="18">
        <f>H33</f>
      </c>
      <c r="I40" s="18">
        <f>I33</f>
      </c>
      <c r="J40" s="18">
        <f>J33</f>
      </c>
      <c r="K40" s="18">
        <f>K33</f>
      </c>
      <c r="L40" s="18">
        <f>L33</f>
      </c>
      <c r="M40" s="18">
        <f>M33</f>
      </c>
      <c r="N40" s="18">
        <f>N33</f>
      </c>
      <c r="O40" s="18">
        <f>O33</f>
      </c>
      <c r="P40" s="18">
        <f>P33</f>
      </c>
      <c r="Q40" s="18">
        <f>Q33</f>
      </c>
      <c r="R40" s="18">
        <f>R33</f>
      </c>
      <c r="S40" s="18">
        <f>S33</f>
      </c>
      <c r="T40" s="18">
        <f>T33</f>
      </c>
      <c r="U40" s="18">
        <f>U33</f>
      </c>
      <c r="V40" s="18">
        <f>V33</f>
      </c>
      <c r="W40" s="18">
        <f>W33</f>
      </c>
      <c r="X40" s="18">
        <f>X33</f>
      </c>
      <c r="Y40" s="18">
        <f>Y33</f>
      </c>
      <c r="Z40" s="18">
        <f>Z33</f>
      </c>
      <c r="AA40" s="18">
        <f>AA33</f>
      </c>
      <c r="AB40" s="18">
        <f>AB33</f>
      </c>
      <c r="AC40" s="18">
        <f>AC33</f>
      </c>
      <c r="AD40" s="18">
        <f>AD33</f>
      </c>
      <c r="AE40" s="18">
        <f>AE33</f>
      </c>
      <c r="AF40" s="18">
        <f>AF33</f>
      </c>
      <c r="AG40" s="18">
        <f>AG33</f>
      </c>
      <c r="AH40" s="18">
        <f>AH33</f>
      </c>
      <c r="AI40" s="18">
        <f>AI33</f>
      </c>
      <c r="AJ40" s="18">
        <f>AJ33</f>
      </c>
      <c r="AK40" s="19"/>
    </row>
    <row r="41" ht="12.75" customHeight="1" spans="2:37" x14ac:dyDescent="0.25">
      <c r="B41" s="20" t="s">
        <v>45</v>
      </c>
      <c r="C41" s="21"/>
      <c r="D41" s="21"/>
      <c r="E41" s="22">
        <f>E37+E38+E39+E40</f>
      </c>
      <c r="F41" s="22">
        <f>F37+F38+F39+F40</f>
      </c>
      <c r="G41" s="22">
        <f>G37+G38+G39+G40</f>
      </c>
      <c r="H41" s="22">
        <f>H37+H38+H39+H40</f>
      </c>
      <c r="I41" s="22">
        <f>I37+I38+I39+I40</f>
      </c>
      <c r="J41" s="22">
        <f>J37+J38+J39+J40</f>
      </c>
      <c r="K41" s="22">
        <f>K37+K38+K39+K40</f>
      </c>
      <c r="L41" s="22">
        <f>L37+L38+L39+L40</f>
      </c>
      <c r="M41" s="22">
        <f>M37+M38+M39+M40</f>
      </c>
      <c r="N41" s="22">
        <f>N37+N38+N39+N40</f>
      </c>
      <c r="O41" s="22">
        <f>O37+O38+O39+O40</f>
      </c>
      <c r="P41" s="22">
        <f>P37+P38+P39+P40</f>
      </c>
      <c r="Q41" s="22">
        <f>Q37+Q38+Q39+Q40</f>
      </c>
      <c r="R41" s="22">
        <f>R37+R38+R39+R40</f>
      </c>
      <c r="S41" s="22">
        <f>S37+S38+S39+S40</f>
      </c>
      <c r="T41" s="22">
        <f>T37+T38+T39+T40</f>
      </c>
      <c r="U41" s="22">
        <f>U37+U38+U39+U40</f>
      </c>
      <c r="V41" s="22">
        <f>V37+V38+V39+V40</f>
      </c>
      <c r="W41" s="22">
        <f>W37+W38+W39+W40</f>
      </c>
      <c r="X41" s="22">
        <f>X37+X38+X39+X40</f>
      </c>
      <c r="Y41" s="22">
        <f>Y37+Y38+Y39+Y40</f>
      </c>
      <c r="Z41" s="22">
        <f>Z37+Z38+Z39+Z40</f>
      </c>
      <c r="AA41" s="22">
        <f>AA37+AA38+AA39+AA40</f>
      </c>
      <c r="AB41" s="22">
        <f>AB37+AB38+AB39+AB40</f>
      </c>
      <c r="AC41" s="22">
        <f>AC37+AC38+AC39+AC40</f>
      </c>
      <c r="AD41" s="22">
        <f>AD37+AD38+AD39+AD40</f>
      </c>
      <c r="AE41" s="22">
        <f>AE37+AE38+AE39+AE40</f>
      </c>
      <c r="AF41" s="22">
        <f>AF37+AF38+AF39+AF40</f>
      </c>
      <c r="AG41" s="22">
        <f>AG37+AG38+AG39+AG40</f>
      </c>
      <c r="AH41" s="22">
        <f>AH37+AH38+AH39+AH40</f>
      </c>
      <c r="AI41" s="22">
        <f>AI37+AI38+AI39+AI40</f>
      </c>
      <c r="AJ41" s="22">
        <f>AJ37+AJ38+AJ39+AJ40</f>
      </c>
      <c r="AK41" s="23"/>
    </row>
    <row r="43" ht="12.75" customHeight="1" spans="2:37" x14ac:dyDescent="0.25">
      <c r="B43" s="11" t="s">
        <v>46</v>
      </c>
      <c r="C43" s="12"/>
      <c r="D43" s="13"/>
      <c r="E43" s="14" t="s">
        <v>7</v>
      </c>
      <c r="F43" s="14" t="s">
        <v>8</v>
      </c>
      <c r="G43" s="14" t="s">
        <v>9</v>
      </c>
      <c r="H43" s="14" t="s">
        <v>10</v>
      </c>
      <c r="I43" s="14" t="s">
        <v>11</v>
      </c>
      <c r="J43" s="14" t="s">
        <v>12</v>
      </c>
      <c r="K43" s="14" t="s">
        <v>13</v>
      </c>
      <c r="L43" s="14" t="s">
        <v>14</v>
      </c>
      <c r="M43" s="14" t="s">
        <v>15</v>
      </c>
      <c r="N43" s="14" t="s">
        <v>16</v>
      </c>
      <c r="O43" s="14" t="s">
        <v>17</v>
      </c>
      <c r="P43" s="14" t="s">
        <v>18</v>
      </c>
      <c r="Q43" s="14" t="s">
        <v>19</v>
      </c>
      <c r="R43" s="14" t="s">
        <v>20</v>
      </c>
      <c r="S43" s="14" t="s">
        <v>21</v>
      </c>
      <c r="T43" s="14" t="s">
        <v>22</v>
      </c>
      <c r="U43" s="14" t="s">
        <v>23</v>
      </c>
      <c r="V43" s="14" t="s">
        <v>24</v>
      </c>
      <c r="W43" s="14" t="s">
        <v>25</v>
      </c>
      <c r="X43" s="14" t="s">
        <v>26</v>
      </c>
      <c r="Y43" s="14" t="s">
        <v>27</v>
      </c>
      <c r="Z43" s="14" t="s">
        <v>28</v>
      </c>
      <c r="AA43" s="14" t="s">
        <v>29</v>
      </c>
      <c r="AB43" s="14" t="s">
        <v>30</v>
      </c>
      <c r="AC43" s="14" t="s">
        <v>31</v>
      </c>
      <c r="AD43" s="14" t="s">
        <v>32</v>
      </c>
      <c r="AE43" s="14" t="s">
        <v>33</v>
      </c>
      <c r="AF43" s="14" t="s">
        <v>34</v>
      </c>
      <c r="AG43" s="14" t="s">
        <v>35</v>
      </c>
      <c r="AH43" s="14" t="s">
        <v>36</v>
      </c>
      <c r="AI43" s="14" t="s">
        <v>37</v>
      </c>
      <c r="AJ43" s="14" t="s">
        <v>38</v>
      </c>
      <c r="AK43" s="15"/>
    </row>
    <row r="44" ht="12.75" customHeight="1" spans="2:37" x14ac:dyDescent="0.25">
      <c r="B44" s="16" t="s">
        <v>41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ht="12.75" customHeight="1" spans="2:37" x14ac:dyDescent="0.25">
      <c r="B45" s="16" t="s">
        <v>42</v>
      </c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ht="12.75" customHeight="1" spans="2:37" x14ac:dyDescent="0.25">
      <c r="B46" s="16" t="s">
        <v>43</v>
      </c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ht="12.75" customHeight="1" spans="2:37" x14ac:dyDescent="0.25">
      <c r="B47" s="16" t="s">
        <v>44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ht="12.75" customHeight="1" spans="2:37" x14ac:dyDescent="0.25">
      <c r="B48" s="20" t="s">
        <v>45</v>
      </c>
      <c r="C48" s="21"/>
      <c r="D48" s="21"/>
      <c r="E48" s="22">
        <f>E44+E45+E46+E47</f>
      </c>
      <c r="F48" s="22">
        <f>F44+F45+F46+F47</f>
      </c>
      <c r="G48" s="22">
        <f>G44+G45+G46+G47</f>
      </c>
      <c r="H48" s="22">
        <f>H44+H45+H46+H47</f>
      </c>
      <c r="I48" s="22">
        <f>I44+I45+I46+I47</f>
      </c>
      <c r="J48" s="22">
        <f>J44+J45+J46+J47</f>
      </c>
      <c r="K48" s="22">
        <f>K44+K45+K46+K47</f>
      </c>
      <c r="L48" s="22">
        <f>L44+L45+L46+L47</f>
      </c>
      <c r="M48" s="22">
        <f>M44+M45+M46+M47</f>
      </c>
      <c r="N48" s="22">
        <f>N44+N45+N46+N47</f>
      </c>
      <c r="O48" s="22">
        <f>O44+O45+O46+O47</f>
      </c>
      <c r="P48" s="22">
        <f>P44+P45+P46+P47</f>
      </c>
      <c r="Q48" s="22">
        <f>Q44+Q45+Q46+Q47</f>
      </c>
      <c r="R48" s="22">
        <f>R44+R45+R46+R47</f>
      </c>
      <c r="S48" s="22">
        <f>S44+S45+S46+S47</f>
      </c>
      <c r="T48" s="22">
        <f>T44+T45+T46+T47</f>
      </c>
      <c r="U48" s="22">
        <f>U44+U45+U46+U47</f>
      </c>
      <c r="V48" s="22">
        <f>V44+V45+V46+V47</f>
      </c>
      <c r="W48" s="22">
        <f>W44+W45+W46+W47</f>
      </c>
      <c r="X48" s="22">
        <f>X44+X45+X46+X47</f>
      </c>
      <c r="Y48" s="22">
        <f>Y44+Y45+Y46+Y47</f>
      </c>
      <c r="Z48" s="22">
        <f>Z44+Z45+Z46+Z47</f>
      </c>
      <c r="AA48" s="22">
        <f>AA44+AA45+AA46+AA47</f>
      </c>
      <c r="AB48" s="22">
        <f>AB44+AB45+AB46+AB47</f>
      </c>
      <c r="AC48" s="22">
        <f>AC44+AC45+AC46+AC47</f>
      </c>
      <c r="AD48" s="22">
        <f>AD44+AD45+AD46+AD47</f>
      </c>
      <c r="AE48" s="22">
        <f>AE44+AE45+AE46+AE47</f>
      </c>
      <c r="AF48" s="22">
        <f>AF44+AF45+AF46+AF47</f>
      </c>
      <c r="AG48" s="22">
        <f>AG44+AG45+AG46+AG47</f>
      </c>
      <c r="AH48" s="22">
        <f>AH44+AH45+AH46+AH47</f>
      </c>
      <c r="AI48" s="22">
        <f>AI44+AI45+AI46+AI47</f>
      </c>
      <c r="AJ48" s="22">
        <f>AJ44+AJ45+AJ46+AJ47</f>
      </c>
      <c r="AK48" s="23"/>
    </row>
    <row r="50" ht="12.75" customHeight="1" spans="2:37" x14ac:dyDescent="0.25">
      <c r="B50" s="11" t="s">
        <v>47</v>
      </c>
      <c r="C50" s="12"/>
      <c r="D50" s="13"/>
      <c r="E50" s="14" t="s">
        <v>7</v>
      </c>
      <c r="F50" s="14" t="s">
        <v>8</v>
      </c>
      <c r="G50" s="14" t="s">
        <v>9</v>
      </c>
      <c r="H50" s="14" t="s">
        <v>10</v>
      </c>
      <c r="I50" s="14" t="s">
        <v>11</v>
      </c>
      <c r="J50" s="14" t="s">
        <v>12</v>
      </c>
      <c r="K50" s="14" t="s">
        <v>13</v>
      </c>
      <c r="L50" s="14" t="s">
        <v>14</v>
      </c>
      <c r="M50" s="14" t="s">
        <v>15</v>
      </c>
      <c r="N50" s="14" t="s">
        <v>16</v>
      </c>
      <c r="O50" s="14" t="s">
        <v>17</v>
      </c>
      <c r="P50" s="14" t="s">
        <v>18</v>
      </c>
      <c r="Q50" s="14" t="s">
        <v>19</v>
      </c>
      <c r="R50" s="14" t="s">
        <v>20</v>
      </c>
      <c r="S50" s="14" t="s">
        <v>21</v>
      </c>
      <c r="T50" s="14" t="s">
        <v>22</v>
      </c>
      <c r="U50" s="14" t="s">
        <v>23</v>
      </c>
      <c r="V50" s="14" t="s">
        <v>24</v>
      </c>
      <c r="W50" s="14" t="s">
        <v>25</v>
      </c>
      <c r="X50" s="14" t="s">
        <v>26</v>
      </c>
      <c r="Y50" s="14" t="s">
        <v>27</v>
      </c>
      <c r="Z50" s="14" t="s">
        <v>28</v>
      </c>
      <c r="AA50" s="14" t="s">
        <v>29</v>
      </c>
      <c r="AB50" s="14" t="s">
        <v>30</v>
      </c>
      <c r="AC50" s="14" t="s">
        <v>31</v>
      </c>
      <c r="AD50" s="14" t="s">
        <v>32</v>
      </c>
      <c r="AE50" s="14" t="s">
        <v>33</v>
      </c>
      <c r="AF50" s="14" t="s">
        <v>34</v>
      </c>
      <c r="AG50" s="14" t="s">
        <v>35</v>
      </c>
      <c r="AH50" s="14" t="s">
        <v>36</v>
      </c>
      <c r="AI50" s="14" t="s">
        <v>37</v>
      </c>
      <c r="AJ50" s="14" t="s">
        <v>38</v>
      </c>
      <c r="AK50" s="15"/>
    </row>
    <row r="51" ht="12.75" customHeight="1" spans="2:37" x14ac:dyDescent="0.25">
      <c r="B51" s="16" t="s">
        <v>41</v>
      </c>
      <c r="C51" s="17"/>
      <c r="D51" s="17"/>
      <c r="E51" s="24">
        <f>E44-E37</f>
      </c>
      <c r="F51" s="24">
        <f>F44-F37</f>
      </c>
      <c r="G51" s="24">
        <f>G44-G37</f>
      </c>
      <c r="H51" s="24">
        <f>H44-H37</f>
      </c>
      <c r="I51" s="24">
        <f>I44-I37</f>
      </c>
      <c r="J51" s="24">
        <f>J44-J37</f>
      </c>
      <c r="K51" s="24">
        <f>K44-K37</f>
      </c>
      <c r="L51" s="24">
        <f>L44-L37</f>
      </c>
      <c r="M51" s="24">
        <f>M44-M37</f>
      </c>
      <c r="N51" s="24">
        <f>N44-N37</f>
      </c>
      <c r="O51" s="24">
        <f>O44-O37</f>
      </c>
      <c r="P51" s="24">
        <f>P44-P37</f>
      </c>
      <c r="Q51" s="24">
        <f>Q44-Q37</f>
      </c>
      <c r="R51" s="24">
        <f>R44-R37</f>
      </c>
      <c r="S51" s="24">
        <f>S44-S37</f>
      </c>
      <c r="T51" s="24">
        <f>T44-T37</f>
      </c>
      <c r="U51" s="24">
        <f>U44-U37</f>
      </c>
      <c r="V51" s="24">
        <f>V44-V37</f>
      </c>
      <c r="W51" s="24">
        <f>W44-W37</f>
      </c>
      <c r="X51" s="24">
        <f>X44-X37</f>
      </c>
      <c r="Y51" s="24">
        <f>Y44-Y37</f>
      </c>
      <c r="Z51" s="24">
        <f>Z44-Z37</f>
      </c>
      <c r="AA51" s="24">
        <f>AA44-AA37</f>
      </c>
      <c r="AB51" s="24">
        <f>AB44-AB37</f>
      </c>
      <c r="AC51" s="24">
        <f>AC44-AC37</f>
      </c>
      <c r="AD51" s="24">
        <f>AD44-AD37</f>
      </c>
      <c r="AE51" s="24">
        <f>AE44-AE37</f>
      </c>
      <c r="AF51" s="24">
        <f>AF44-AF37</f>
      </c>
      <c r="AG51" s="24">
        <f>AG44-AG37</f>
      </c>
      <c r="AH51" s="24">
        <f>AH44-AH37</f>
      </c>
      <c r="AI51" s="24">
        <f>AI44-AI37</f>
      </c>
      <c r="AJ51" s="24">
        <f>AJ44-AJ37</f>
      </c>
      <c r="AK51" s="19"/>
    </row>
    <row r="52" ht="12.75" customHeight="1" spans="2:37" x14ac:dyDescent="0.25">
      <c r="B52" s="16" t="s">
        <v>42</v>
      </c>
      <c r="C52" s="17"/>
      <c r="D52" s="17"/>
      <c r="E52" s="24">
        <f>E45-E38</f>
      </c>
      <c r="F52" s="24">
        <f>F45-F38</f>
      </c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19"/>
    </row>
    <row r="53" ht="12.75" customHeight="1" spans="2:37" x14ac:dyDescent="0.25">
      <c r="B53" s="16" t="s">
        <v>43</v>
      </c>
      <c r="C53" s="17"/>
      <c r="D53" s="17"/>
      <c r="E53" s="24">
        <f>E46-E39</f>
      </c>
      <c r="F53" s="24">
        <f>F46-F39</f>
      </c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19"/>
    </row>
    <row r="54" ht="12.75" customHeight="1" spans="2:37" x14ac:dyDescent="0.25">
      <c r="B54" s="16" t="s">
        <v>44</v>
      </c>
      <c r="C54" s="17"/>
      <c r="D54" s="17"/>
      <c r="E54" s="24">
        <f>E47-E40</f>
      </c>
      <c r="F54" s="24">
        <f>F47-F40</f>
      </c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19"/>
    </row>
    <row r="55" ht="12.75" customHeight="1" spans="2:37" x14ac:dyDescent="0.25">
      <c r="B55" s="20" t="s">
        <v>45</v>
      </c>
      <c r="C55" s="21"/>
      <c r="D55" s="21"/>
      <c r="E55" s="25">
        <f>E51+E52+E53+E54</f>
      </c>
      <c r="F55" s="25">
        <f>F51+F52+F53+F54</f>
      </c>
      <c r="G55" s="25">
        <f>G51+G52+G53+G54</f>
      </c>
      <c r="H55" s="25">
        <f>H51+H52+H53+H54</f>
      </c>
      <c r="I55" s="25">
        <f>I51+I52+I53+I54</f>
      </c>
      <c r="J55" s="25">
        <f>J51+J52+J53+J54</f>
      </c>
      <c r="K55" s="25">
        <f>K51+K52+K53+K54</f>
      </c>
      <c r="L55" s="25">
        <f>L51+L52+L53+L54</f>
      </c>
      <c r="M55" s="25">
        <f>M51+M52+M53+M54</f>
      </c>
      <c r="N55" s="25">
        <f>N51+N52+N53+N54</f>
      </c>
      <c r="O55" s="25">
        <f>O51+O52+O53+O54</f>
      </c>
      <c r="P55" s="25">
        <f>P51+P52+P53+P54</f>
      </c>
      <c r="Q55" s="25">
        <f>Q51+Q52+Q53+Q54</f>
      </c>
      <c r="R55" s="25">
        <f>R51+R52+R53+R54</f>
      </c>
      <c r="S55" s="25">
        <f>S51+S52+S53+S54</f>
      </c>
      <c r="T55" s="25">
        <f>T51+T52+T53+T54</f>
      </c>
      <c r="U55" s="25">
        <f>U51+U52+U53+U54</f>
      </c>
      <c r="V55" s="25">
        <f>V51+V52+V53+V54</f>
      </c>
      <c r="W55" s="25">
        <f>W51+W52+W53+W54</f>
      </c>
      <c r="X55" s="25">
        <f>X51+X52+X53+X54</f>
      </c>
      <c r="Y55" s="25">
        <f>Y51+Y52+Y53+Y54</f>
      </c>
      <c r="Z55" s="25">
        <f>Z51+Z52+Z53+Z54</f>
      </c>
      <c r="AA55" s="25">
        <f>AA51+AA52+AA53+AA54</f>
      </c>
      <c r="AB55" s="25">
        <f>AB51+AB52+AB53+AB54</f>
      </c>
      <c r="AC55" s="25">
        <f>AC51+AC52+AC53+AC54</f>
      </c>
      <c r="AD55" s="25">
        <f>AD51+AD52+AD53+AD54</f>
      </c>
      <c r="AE55" s="25">
        <f>AE51+AE52+AE53+AE54</f>
      </c>
      <c r="AF55" s="25">
        <f>AF51+AF52+AF53+AF54</f>
      </c>
      <c r="AG55" s="25">
        <f>AG51+AG52+AG53+AG54</f>
      </c>
      <c r="AH55" s="25">
        <f>AH51+AH52+AH53+AH54</f>
      </c>
      <c r="AI55" s="25">
        <f>AI51+AI52+AI53+AI54</f>
      </c>
      <c r="AJ55" s="25">
        <f>AJ51+AJ52+AJ53+AJ54</f>
      </c>
      <c r="AK55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2827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3</v>
      </c>
      <c r="W8" s="44" t="s">
        <v>2839</v>
      </c>
      <c r="X8" s="44" t="s">
        <v>2840</v>
      </c>
      <c r="Y8" s="44" t="s">
        <v>2841</v>
      </c>
      <c r="Z8" s="44" t="s">
        <v>2842</v>
      </c>
      <c r="AA8" s="44" t="s">
        <v>2843</v>
      </c>
      <c r="AB8" s="44" t="s">
        <v>2844</v>
      </c>
      <c r="AC8" s="44" t="s">
        <v>2845</v>
      </c>
      <c r="AD8" s="44" t="s">
        <v>2846</v>
      </c>
      <c r="AE8" s="44" t="s">
        <v>2847</v>
      </c>
      <c r="AF8" s="44" t="s">
        <v>2848</v>
      </c>
      <c r="AG8" s="44" t="s">
        <v>2849</v>
      </c>
      <c r="AH8" s="44" t="s">
        <v>2850</v>
      </c>
      <c r="AI8" s="44" t="s">
        <v>2851</v>
      </c>
      <c r="AJ8" s="44" t="s">
        <v>2852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5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ht="13.5" customHeight="1" spans="2:39" x14ac:dyDescent="0.25">
      <c r="B11" s="20"/>
      <c r="C11" s="21"/>
      <c r="D11" s="21" t="s">
        <v>64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3"/>
    </row>
    <row r="13" ht="13.5" customHeight="1" spans="2:39" x14ac:dyDescent="0.25">
      <c r="B13" s="46"/>
      <c r="C13" s="28"/>
      <c r="D13" s="47" t="s">
        <v>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/>
    </row>
    <row r="14" ht="13.5" customHeight="1" spans="2:39" x14ac:dyDescent="0.25">
      <c r="B14" s="48" t="s">
        <v>3</v>
      </c>
      <c r="C14" s="49" t="s">
        <v>2827</v>
      </c>
      <c r="D14" s="50" t="s">
        <v>42</v>
      </c>
      <c r="E14" s="32" t="s">
        <v>3</v>
      </c>
      <c r="F14" s="32" t="s">
        <v>2828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>
        <v>477.4</v>
      </c>
      <c r="X14" s="33">
        <v>485.04</v>
      </c>
      <c r="Y14" s="33">
        <v>501.29</v>
      </c>
      <c r="Z14" s="33">
        <v>447.37</v>
      </c>
      <c r="AA14" s="33">
        <v>548.49</v>
      </c>
      <c r="AB14" s="33">
        <v>573.09</v>
      </c>
      <c r="AC14" s="33">
        <v>620.25</v>
      </c>
      <c r="AD14" s="33">
        <v>769.43</v>
      </c>
      <c r="AE14" s="33">
        <v>408.86</v>
      </c>
      <c r="AF14" s="33">
        <v>345.67</v>
      </c>
      <c r="AG14" s="33">
        <v>264.22</v>
      </c>
      <c r="AH14" s="33">
        <v>230.8</v>
      </c>
      <c r="AI14" s="33">
        <v>601.15</v>
      </c>
      <c r="AJ14" s="33">
        <v>705.52</v>
      </c>
      <c r="AK14" s="32"/>
      <c r="AL14" s="34">
        <f>SUM(G14:AK14)</f>
      </c>
      <c r="AM14" s="35"/>
    </row>
    <row r="15" ht="13.5" customHeight="1" spans="2:39" x14ac:dyDescent="0.25">
      <c r="B15" s="48" t="s">
        <v>3</v>
      </c>
      <c r="C15" s="49" t="s">
        <v>2827</v>
      </c>
      <c r="D15" s="50" t="s">
        <v>42</v>
      </c>
      <c r="E15" s="32" t="s">
        <v>3</v>
      </c>
      <c r="F15" s="32" t="s">
        <v>2829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3">
        <v>1228.42</v>
      </c>
      <c r="X15" s="33">
        <v>1599.64</v>
      </c>
      <c r="Y15" s="33">
        <v>1593.23</v>
      </c>
      <c r="Z15" s="33">
        <v>1625.74</v>
      </c>
      <c r="AA15" s="33">
        <v>1083.75</v>
      </c>
      <c r="AB15" s="33">
        <v>1101.21</v>
      </c>
      <c r="AC15" s="33">
        <v>1229.42</v>
      </c>
      <c r="AD15" s="33">
        <v>1326</v>
      </c>
      <c r="AE15" s="33">
        <v>1099.69</v>
      </c>
      <c r="AF15" s="33">
        <v>1159.33</v>
      </c>
      <c r="AG15" s="33">
        <v>872.18</v>
      </c>
      <c r="AH15" s="33">
        <v>1160.95</v>
      </c>
      <c r="AI15" s="33">
        <v>1508.08</v>
      </c>
      <c r="AJ15" s="33">
        <v>1570.87</v>
      </c>
      <c r="AK15" s="32"/>
      <c r="AL15" s="34">
        <f>SUM(G15:AK15)</f>
      </c>
      <c r="AM15" s="35"/>
    </row>
    <row r="16" ht="13.5" customHeight="1" spans="2:39" x14ac:dyDescent="0.25">
      <c r="B16" s="48" t="s">
        <v>3</v>
      </c>
      <c r="C16" s="49" t="s">
        <v>2827</v>
      </c>
      <c r="D16" s="50" t="s">
        <v>42</v>
      </c>
      <c r="E16" s="32" t="s">
        <v>3</v>
      </c>
      <c r="F16" s="32" t="s">
        <v>2830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v>238.39</v>
      </c>
      <c r="X16" s="33">
        <v>181.91</v>
      </c>
      <c r="Y16" s="33">
        <v>182.24</v>
      </c>
      <c r="Z16" s="33">
        <v>329.56</v>
      </c>
      <c r="AA16" s="33">
        <v>297.53</v>
      </c>
      <c r="AB16" s="33">
        <v>326.42</v>
      </c>
      <c r="AC16" s="33">
        <v>372.59</v>
      </c>
      <c r="AD16" s="33">
        <v>430.06</v>
      </c>
      <c r="AE16" s="33">
        <v>335.2</v>
      </c>
      <c r="AF16" s="33">
        <v>316.76</v>
      </c>
      <c r="AG16" s="33">
        <v>163.46</v>
      </c>
      <c r="AH16" s="33">
        <v>193.71</v>
      </c>
      <c r="AI16" s="33">
        <v>285.26</v>
      </c>
      <c r="AJ16" s="33">
        <v>306.02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2827</v>
      </c>
      <c r="D17" s="50" t="s">
        <v>42</v>
      </c>
      <c r="E17" s="32" t="s">
        <v>3</v>
      </c>
      <c r="F17" s="32" t="s">
        <v>2831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v>200.72</v>
      </c>
      <c r="X17" s="33">
        <v>281.55</v>
      </c>
      <c r="Y17" s="33">
        <v>285.21</v>
      </c>
      <c r="Z17" s="33">
        <v>447.5</v>
      </c>
      <c r="AA17" s="33">
        <v>71.04</v>
      </c>
      <c r="AB17" s="33">
        <v>36.54</v>
      </c>
      <c r="AC17" s="33">
        <v>48.15</v>
      </c>
      <c r="AD17" s="33">
        <v>123.87</v>
      </c>
      <c r="AE17" s="33">
        <v>125.56</v>
      </c>
      <c r="AF17" s="33">
        <v>125.11</v>
      </c>
      <c r="AG17" s="33">
        <v>125.11</v>
      </c>
      <c r="AH17" s="33">
        <v>190.73</v>
      </c>
      <c r="AI17" s="33">
        <v>249.08</v>
      </c>
      <c r="AJ17" s="33">
        <v>198.16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2827</v>
      </c>
      <c r="D18" s="50" t="s">
        <v>42</v>
      </c>
      <c r="E18" s="32" t="s">
        <v>3</v>
      </c>
      <c r="F18" s="32" t="s">
        <v>2832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>
        <v>343.38</v>
      </c>
      <c r="X18" s="33">
        <v>384.55</v>
      </c>
      <c r="Y18" s="33">
        <v>412.79</v>
      </c>
      <c r="Z18" s="33">
        <v>548.49</v>
      </c>
      <c r="AA18" s="33">
        <v>549.8</v>
      </c>
      <c r="AB18" s="33">
        <v>586.52</v>
      </c>
      <c r="AC18" s="33">
        <v>904.28</v>
      </c>
      <c r="AD18" s="33">
        <v>922.21</v>
      </c>
      <c r="AE18" s="33">
        <v>762.85</v>
      </c>
      <c r="AF18" s="33">
        <v>611.21</v>
      </c>
      <c r="AG18" s="33">
        <v>412.02</v>
      </c>
      <c r="AH18" s="33">
        <v>438.12</v>
      </c>
      <c r="AI18" s="33">
        <v>314.58</v>
      </c>
      <c r="AJ18" s="33">
        <v>351.09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2827</v>
      </c>
      <c r="D19" s="50" t="s">
        <v>42</v>
      </c>
      <c r="E19" s="32" t="s">
        <v>3</v>
      </c>
      <c r="F19" s="32" t="s">
        <v>2833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>
        <v>1164.94</v>
      </c>
      <c r="X19" s="33">
        <v>1159.59</v>
      </c>
      <c r="Y19" s="33">
        <v>1119.84</v>
      </c>
      <c r="Z19" s="33">
        <v>1078.04</v>
      </c>
      <c r="AA19" s="33">
        <v>782.51</v>
      </c>
      <c r="AB19" s="33">
        <v>880.76</v>
      </c>
      <c r="AC19" s="33">
        <v>1018.46</v>
      </c>
      <c r="AD19" s="33">
        <v>976.85</v>
      </c>
      <c r="AE19" s="33">
        <v>1036.48</v>
      </c>
      <c r="AF19" s="33">
        <v>860</v>
      </c>
      <c r="AG19" s="33">
        <v>834.65</v>
      </c>
      <c r="AH19" s="33">
        <v>918.39</v>
      </c>
      <c r="AI19" s="33">
        <v>1233.07</v>
      </c>
      <c r="AJ19" s="33">
        <v>1171.63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2827</v>
      </c>
      <c r="D20" s="50" t="s">
        <v>42</v>
      </c>
      <c r="E20" s="32" t="s">
        <v>3</v>
      </c>
      <c r="F20" s="32" t="s">
        <v>2834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>
        <v>2403.7</v>
      </c>
      <c r="X20" s="33">
        <v>2940.83</v>
      </c>
      <c r="Y20" s="33">
        <v>2797.32</v>
      </c>
      <c r="Z20" s="33">
        <v>2822.02</v>
      </c>
      <c r="AA20" s="33">
        <v>2214.39</v>
      </c>
      <c r="AB20" s="33">
        <v>2292.24</v>
      </c>
      <c r="AC20" s="33">
        <v>2535.13</v>
      </c>
      <c r="AD20" s="33">
        <v>2691.86</v>
      </c>
      <c r="AE20" s="33">
        <v>2681.14</v>
      </c>
      <c r="AF20" s="33">
        <v>2490.61</v>
      </c>
      <c r="AG20" s="33">
        <v>2293.21</v>
      </c>
      <c r="AH20" s="33">
        <v>2310.29</v>
      </c>
      <c r="AI20" s="33">
        <v>2874.44</v>
      </c>
      <c r="AJ20" s="33">
        <v>2981.9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2827</v>
      </c>
      <c r="D21" s="50" t="s">
        <v>42</v>
      </c>
      <c r="E21" s="32" t="s">
        <v>3</v>
      </c>
      <c r="F21" s="32" t="s">
        <v>2835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>
        <v>82.98</v>
      </c>
      <c r="X21" s="33">
        <v>96.76</v>
      </c>
      <c r="Y21" s="33">
        <v>105.98</v>
      </c>
      <c r="Z21" s="33">
        <v>150.6</v>
      </c>
      <c r="AA21" s="33">
        <v>208.65</v>
      </c>
      <c r="AB21" s="33">
        <v>240.97</v>
      </c>
      <c r="AC21" s="33">
        <v>266.11</v>
      </c>
      <c r="AD21" s="33">
        <v>282.67</v>
      </c>
      <c r="AE21" s="33">
        <v>244.18</v>
      </c>
      <c r="AF21" s="33">
        <v>212.13</v>
      </c>
      <c r="AG21" s="33">
        <v>150.75</v>
      </c>
      <c r="AH21" s="33">
        <v>123.57</v>
      </c>
      <c r="AI21" s="33">
        <v>140.54</v>
      </c>
      <c r="AJ21" s="33">
        <v>158.4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2827</v>
      </c>
      <c r="D22" s="50" t="s">
        <v>42</v>
      </c>
      <c r="E22" s="32" t="s">
        <v>3</v>
      </c>
      <c r="F22" s="32" t="s">
        <v>2836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>
        <v>61.92</v>
      </c>
      <c r="X22" s="33">
        <v>59.29</v>
      </c>
      <c r="Y22" s="33">
        <v>59.12</v>
      </c>
      <c r="Z22" s="33">
        <v>63.52</v>
      </c>
      <c r="AA22" s="33">
        <v>58.36</v>
      </c>
      <c r="AB22" s="33">
        <v>60.53</v>
      </c>
      <c r="AC22" s="33">
        <v>64.28</v>
      </c>
      <c r="AD22" s="33">
        <v>65.06</v>
      </c>
      <c r="AE22" s="33">
        <v>66.55</v>
      </c>
      <c r="AF22" s="33">
        <v>70.28</v>
      </c>
      <c r="AG22" s="33">
        <v>65.12</v>
      </c>
      <c r="AH22" s="33">
        <v>69.2</v>
      </c>
      <c r="AI22" s="33">
        <v>75.21</v>
      </c>
      <c r="AJ22" s="33">
        <v>72.33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2827</v>
      </c>
      <c r="D23" s="50" t="s">
        <v>42</v>
      </c>
      <c r="E23" s="32" t="s">
        <v>3</v>
      </c>
      <c r="F23" s="32" t="s">
        <v>2837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>
        <v>833.9</v>
      </c>
      <c r="X23" s="33">
        <v>802.23</v>
      </c>
      <c r="Y23" s="33">
        <v>800.36</v>
      </c>
      <c r="Z23" s="33">
        <v>749.46</v>
      </c>
      <c r="AA23" s="33">
        <v>919.81</v>
      </c>
      <c r="AB23" s="33">
        <v>892.78</v>
      </c>
      <c r="AC23" s="33">
        <v>745.26</v>
      </c>
      <c r="AD23" s="33">
        <v>693.11</v>
      </c>
      <c r="AE23" s="33">
        <v>856.46</v>
      </c>
      <c r="AF23" s="33">
        <v>673</v>
      </c>
      <c r="AG23" s="33">
        <v>532.66</v>
      </c>
      <c r="AH23" s="33">
        <v>611.41</v>
      </c>
      <c r="AI23" s="33">
        <v>804</v>
      </c>
      <c r="AJ23" s="33">
        <v>867.92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2827</v>
      </c>
      <c r="D24" s="50" t="s">
        <v>42</v>
      </c>
      <c r="E24" s="32" t="s">
        <v>3</v>
      </c>
      <c r="F24" s="32" t="s">
        <v>2838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>
        <v>743.35</v>
      </c>
      <c r="X24" s="33">
        <v>993.41</v>
      </c>
      <c r="Y24" s="33">
        <v>1038.34</v>
      </c>
      <c r="Z24" s="33">
        <v>1045.79</v>
      </c>
      <c r="AA24" s="33">
        <v>1168.85</v>
      </c>
      <c r="AB24" s="33">
        <v>1023.22</v>
      </c>
      <c r="AC24" s="33">
        <f>931.31+0.00</f>
        <v>931.31</v>
      </c>
      <c r="AD24" s="33">
        <v>1157.33</v>
      </c>
      <c r="AE24" s="33">
        <v>740.95</v>
      </c>
      <c r="AF24" s="33">
        <v>739.97</v>
      </c>
      <c r="AG24" s="33">
        <v>936.64</v>
      </c>
      <c r="AH24" s="33">
        <v>964.93</v>
      </c>
      <c r="AI24" s="33">
        <v>994.07</v>
      </c>
      <c r="AJ24" s="33">
        <v>1030.8</v>
      </c>
      <c r="AK24" s="32"/>
      <c r="AL24" s="34">
        <f>SUM(G24:AK24)</f>
      </c>
      <c r="AM24" s="35"/>
    </row>
    <row r="25" ht="13.5" customHeight="1" spans="2:39" x14ac:dyDescent="0.25">
      <c r="B25" s="51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40"/>
    </row>
    <row r="26" ht="13.5" customHeight="1" spans="2:39" x14ac:dyDescent="0.25">
      <c r="B26" s="20"/>
      <c r="C26" s="21"/>
      <c r="D26" s="21" t="s">
        <v>85</v>
      </c>
      <c r="E26" s="21"/>
      <c r="F26" s="21"/>
      <c r="G26" s="22">
        <f>SUM(G14:G24)</f>
      </c>
      <c r="H26" s="22">
        <f>SUM(H14:H24)</f>
      </c>
      <c r="I26" s="22">
        <f>SUM(I14:I24)</f>
      </c>
      <c r="J26" s="22">
        <f>SUM(J14:J24)</f>
      </c>
      <c r="K26" s="22">
        <f>SUM(K14:K24)</f>
      </c>
      <c r="L26" s="22">
        <f>SUM(L14:L24)</f>
      </c>
      <c r="M26" s="22">
        <f>SUM(M14:M24)</f>
      </c>
      <c r="N26" s="22">
        <f>SUM(N14:N24)</f>
      </c>
      <c r="O26" s="22">
        <f>SUM(O14:O24)</f>
      </c>
      <c r="P26" s="22">
        <f>SUM(P14:P24)</f>
      </c>
      <c r="Q26" s="22">
        <f>SUM(Q14:Q24)</f>
      </c>
      <c r="R26" s="22">
        <f>SUM(R14:R24)</f>
      </c>
      <c r="S26" s="22">
        <f>SUM(S14:S24)</f>
      </c>
      <c r="T26" s="22">
        <f>SUM(T14:T24)</f>
      </c>
      <c r="U26" s="22">
        <f>SUM(U14:U24)</f>
      </c>
      <c r="V26" s="22">
        <f>SUM(V14:V24)</f>
      </c>
      <c r="W26" s="22">
        <f>SUM(W14:W24)</f>
      </c>
      <c r="X26" s="22">
        <f>SUM(X14:X24)</f>
      </c>
      <c r="Y26" s="22">
        <f>SUM(Y14:Y24)</f>
      </c>
      <c r="Z26" s="22">
        <f>SUM(Z14:Z24)</f>
      </c>
      <c r="AA26" s="22">
        <f>SUM(AA14:AA24)</f>
      </c>
      <c r="AB26" s="22">
        <f>SUM(AB14:AB24)</f>
      </c>
      <c r="AC26" s="22">
        <f>SUM(AC14:AC24)</f>
      </c>
      <c r="AD26" s="22">
        <f>SUM(AD14:AD24)</f>
      </c>
      <c r="AE26" s="22">
        <f>SUM(AE14:AE24)</f>
      </c>
      <c r="AF26" s="22">
        <f>SUM(AF14:AF24)</f>
      </c>
      <c r="AG26" s="22">
        <f>SUM(AG14:AG24)</f>
      </c>
      <c r="AH26" s="22">
        <f>SUM(AH14:AH24)</f>
      </c>
      <c r="AI26" s="22">
        <f>SUM(AI14:AI24)</f>
      </c>
      <c r="AJ26" s="22">
        <f>SUM(AJ14:AJ24)</f>
      </c>
      <c r="AK26" s="22">
        <f>SUM(AK14:AK24)</f>
      </c>
      <c r="AL26" s="22">
        <f>SUM(AL14:AL24)</f>
      </c>
      <c r="AM26" s="23"/>
    </row>
    <row r="28" ht="13.5" customHeight="1" spans="2:39" x14ac:dyDescent="0.25">
      <c r="B28" s="46"/>
      <c r="C28" s="28"/>
      <c r="D28" s="47" t="s">
        <v>43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9"/>
    </row>
    <row r="29" ht="13.5" customHeight="1" spans="2:39" x14ac:dyDescent="0.25">
      <c r="B29" s="51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</row>
    <row r="30" ht="13.5" customHeight="1" spans="2:39" x14ac:dyDescent="0.25">
      <c r="B30" s="20"/>
      <c r="C30" s="21"/>
      <c r="D30" s="21" t="s">
        <v>89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3"/>
    </row>
    <row r="32" ht="13.5" customHeight="1" spans="2:39" x14ac:dyDescent="0.25">
      <c r="B32" s="46"/>
      <c r="C32" s="28"/>
      <c r="D32" s="47" t="s">
        <v>44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</row>
    <row r="33" ht="13.5" customHeight="1" spans="2:39" x14ac:dyDescent="0.25">
      <c r="B33" s="51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</row>
    <row r="34" ht="13.5" customHeight="1" spans="2:39" x14ac:dyDescent="0.25">
      <c r="B34" s="20"/>
      <c r="C34" s="21"/>
      <c r="D34" s="21" t="s">
        <v>90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3"/>
    </row>
    <row r="37" ht="12.75" customHeight="1" spans="2:39" x14ac:dyDescent="0.25">
      <c r="B37" s="11" t="s">
        <v>40</v>
      </c>
      <c r="C37" s="12"/>
      <c r="D37" s="12"/>
      <c r="E37" s="12"/>
      <c r="F37" s="12"/>
      <c r="G37" s="52" t="s">
        <v>7</v>
      </c>
      <c r="H37" s="52" t="s">
        <v>8</v>
      </c>
      <c r="I37" s="52" t="s">
        <v>9</v>
      </c>
      <c r="J37" s="52" t="s">
        <v>10</v>
      </c>
      <c r="K37" s="52" t="s">
        <v>11</v>
      </c>
      <c r="L37" s="52" t="s">
        <v>12</v>
      </c>
      <c r="M37" s="52" t="s">
        <v>13</v>
      </c>
      <c r="N37" s="52" t="s">
        <v>14</v>
      </c>
      <c r="O37" s="52" t="s">
        <v>15</v>
      </c>
      <c r="P37" s="52" t="s">
        <v>16</v>
      </c>
      <c r="Q37" s="52" t="s">
        <v>17</v>
      </c>
      <c r="R37" s="52" t="s">
        <v>18</v>
      </c>
      <c r="S37" s="52" t="s">
        <v>19</v>
      </c>
      <c r="T37" s="52" t="s">
        <v>20</v>
      </c>
      <c r="U37" s="52" t="s">
        <v>21</v>
      </c>
      <c r="V37" s="52" t="s">
        <v>22</v>
      </c>
      <c r="W37" s="52" t="s">
        <v>23</v>
      </c>
      <c r="X37" s="52" t="s">
        <v>24</v>
      </c>
      <c r="Y37" s="52" t="s">
        <v>25</v>
      </c>
      <c r="Z37" s="52" t="s">
        <v>26</v>
      </c>
      <c r="AA37" s="52" t="s">
        <v>27</v>
      </c>
      <c r="AB37" s="52" t="s">
        <v>28</v>
      </c>
      <c r="AC37" s="52" t="s">
        <v>29</v>
      </c>
      <c r="AD37" s="52" t="s">
        <v>30</v>
      </c>
      <c r="AE37" s="52" t="s">
        <v>31</v>
      </c>
      <c r="AF37" s="52" t="s">
        <v>32</v>
      </c>
      <c r="AG37" s="52" t="s">
        <v>33</v>
      </c>
      <c r="AH37" s="52" t="s">
        <v>34</v>
      </c>
      <c r="AI37" s="52" t="s">
        <v>35</v>
      </c>
      <c r="AJ37" s="52" t="s">
        <v>36</v>
      </c>
      <c r="AK37" s="52" t="s">
        <v>37</v>
      </c>
      <c r="AL37" s="52" t="s">
        <v>38</v>
      </c>
      <c r="AM37" s="15"/>
    </row>
    <row r="38" ht="12.75" customHeight="1" spans="2:39" x14ac:dyDescent="0.25">
      <c r="B38" s="16"/>
      <c r="C38" s="17"/>
      <c r="D38" s="17" t="s">
        <v>41</v>
      </c>
      <c r="E38" s="17"/>
      <c r="F38" s="17"/>
      <c r="G38" s="18">
        <f>G11</f>
      </c>
      <c r="H38" s="18">
        <f>H11</f>
      </c>
      <c r="I38" s="18">
        <f>I11</f>
      </c>
      <c r="J38" s="18">
        <f>J11</f>
      </c>
      <c r="K38" s="18">
        <f>K11</f>
      </c>
      <c r="L38" s="18">
        <f>L11</f>
      </c>
      <c r="M38" s="18">
        <f>M11</f>
      </c>
      <c r="N38" s="18">
        <f>N11</f>
      </c>
      <c r="O38" s="18">
        <f>O11</f>
      </c>
      <c r="P38" s="18">
        <f>P11</f>
      </c>
      <c r="Q38" s="18">
        <f>Q11</f>
      </c>
      <c r="R38" s="18">
        <f>R11</f>
      </c>
      <c r="S38" s="18">
        <f>S11</f>
      </c>
      <c r="T38" s="18">
        <f>T11</f>
      </c>
      <c r="U38" s="18">
        <f>U11</f>
      </c>
      <c r="V38" s="18">
        <f>V11</f>
      </c>
      <c r="W38" s="18">
        <f>W11</f>
      </c>
      <c r="X38" s="18">
        <f>X11</f>
      </c>
      <c r="Y38" s="18">
        <f>Y11</f>
      </c>
      <c r="Z38" s="18">
        <f>Z11</f>
      </c>
      <c r="AA38" s="18">
        <f>AA11</f>
      </c>
      <c r="AB38" s="18">
        <f>AB11</f>
      </c>
      <c r="AC38" s="18">
        <f>AC11</f>
      </c>
      <c r="AD38" s="18">
        <f>AD11</f>
      </c>
      <c r="AE38" s="18">
        <f>AE11</f>
      </c>
      <c r="AF38" s="18">
        <f>AF11</f>
      </c>
      <c r="AG38" s="18">
        <f>AG11</f>
      </c>
      <c r="AH38" s="18">
        <f>AH11</f>
      </c>
      <c r="AI38" s="18">
        <f>AI11</f>
      </c>
      <c r="AJ38" s="18">
        <f>AJ11</f>
      </c>
      <c r="AK38" s="18">
        <f>AK11</f>
      </c>
      <c r="AL38" s="18">
        <f>AL11</f>
      </c>
      <c r="AM38" s="19"/>
    </row>
    <row r="39" ht="12.75" customHeight="1" spans="2:39" x14ac:dyDescent="0.25">
      <c r="B39" s="16"/>
      <c r="C39" s="17"/>
      <c r="D39" s="17" t="s">
        <v>42</v>
      </c>
      <c r="E39" s="17"/>
      <c r="F39" s="17"/>
      <c r="G39" s="18">
        <f>G26</f>
      </c>
      <c r="H39" s="18">
        <f>H26</f>
      </c>
      <c r="I39" s="18">
        <f>I26</f>
      </c>
      <c r="J39" s="18">
        <f>J26</f>
      </c>
      <c r="K39" s="18">
        <f>K26</f>
      </c>
      <c r="L39" s="18">
        <f>L26</f>
      </c>
      <c r="M39" s="18">
        <f>M26</f>
      </c>
      <c r="N39" s="18">
        <f>N26</f>
      </c>
      <c r="O39" s="18">
        <f>O26</f>
      </c>
      <c r="P39" s="18">
        <f>P26</f>
      </c>
      <c r="Q39" s="18">
        <f>Q26</f>
      </c>
      <c r="R39" s="18">
        <f>R26</f>
      </c>
      <c r="S39" s="18">
        <f>S26</f>
      </c>
      <c r="T39" s="18">
        <f>T26</f>
      </c>
      <c r="U39" s="18">
        <f>U26</f>
      </c>
      <c r="V39" s="18">
        <f>V26</f>
      </c>
      <c r="W39" s="18">
        <f>W26</f>
      </c>
      <c r="X39" s="18">
        <f>X26</f>
      </c>
      <c r="Y39" s="18">
        <f>Y26</f>
      </c>
      <c r="Z39" s="18">
        <f>Z26</f>
      </c>
      <c r="AA39" s="18">
        <f>AA26</f>
      </c>
      <c r="AB39" s="18">
        <f>AB26</f>
      </c>
      <c r="AC39" s="18">
        <f>AC26</f>
      </c>
      <c r="AD39" s="18">
        <f>AD26</f>
      </c>
      <c r="AE39" s="18">
        <f>AE26</f>
      </c>
      <c r="AF39" s="18">
        <f>AF26</f>
      </c>
      <c r="AG39" s="18">
        <f>AG26</f>
      </c>
      <c r="AH39" s="18">
        <f>AH26</f>
      </c>
      <c r="AI39" s="18">
        <f>AI26</f>
      </c>
      <c r="AJ39" s="18">
        <f>AJ26</f>
      </c>
      <c r="AK39" s="18">
        <f>AK26</f>
      </c>
      <c r="AL39" s="18">
        <f>AL26</f>
      </c>
      <c r="AM39" s="19"/>
    </row>
    <row r="40" ht="12.75" customHeight="1" spans="2:39" x14ac:dyDescent="0.25">
      <c r="B40" s="16"/>
      <c r="C40" s="17"/>
      <c r="D40" s="17" t="s">
        <v>43</v>
      </c>
      <c r="E40" s="17"/>
      <c r="F40" s="17"/>
      <c r="G40" s="18">
        <f>G30</f>
      </c>
      <c r="H40" s="18">
        <f>H30</f>
      </c>
      <c r="I40" s="18">
        <f>I30</f>
      </c>
      <c r="J40" s="18">
        <f>J30</f>
      </c>
      <c r="K40" s="18">
        <f>K30</f>
      </c>
      <c r="L40" s="18">
        <f>L30</f>
      </c>
      <c r="M40" s="18">
        <f>M30</f>
      </c>
      <c r="N40" s="18">
        <f>N30</f>
      </c>
      <c r="O40" s="18">
        <f>O30</f>
      </c>
      <c r="P40" s="18">
        <f>P30</f>
      </c>
      <c r="Q40" s="18">
        <f>Q30</f>
      </c>
      <c r="R40" s="18">
        <f>R30</f>
      </c>
      <c r="S40" s="18">
        <f>S30</f>
      </c>
      <c r="T40" s="18">
        <f>T30</f>
      </c>
      <c r="U40" s="18">
        <f>U30</f>
      </c>
      <c r="V40" s="18">
        <f>V30</f>
      </c>
      <c r="W40" s="18">
        <f>W30</f>
      </c>
      <c r="X40" s="18">
        <f>X30</f>
      </c>
      <c r="Y40" s="18">
        <f>Y30</f>
      </c>
      <c r="Z40" s="18">
        <f>Z30</f>
      </c>
      <c r="AA40" s="18">
        <f>AA30</f>
      </c>
      <c r="AB40" s="18">
        <f>AB30</f>
      </c>
      <c r="AC40" s="18">
        <f>AC30</f>
      </c>
      <c r="AD40" s="18">
        <f>AD30</f>
      </c>
      <c r="AE40" s="18">
        <f>AE30</f>
      </c>
      <c r="AF40" s="18">
        <f>AF30</f>
      </c>
      <c r="AG40" s="18">
        <f>AG30</f>
      </c>
      <c r="AH40" s="18">
        <f>AH30</f>
      </c>
      <c r="AI40" s="18">
        <f>AI30</f>
      </c>
      <c r="AJ40" s="18">
        <f>AJ30</f>
      </c>
      <c r="AK40" s="18">
        <f>AK30</f>
      </c>
      <c r="AL40" s="18">
        <f>AL30</f>
      </c>
      <c r="AM40" s="19"/>
    </row>
    <row r="41" ht="12.75" customHeight="1" spans="2:39" x14ac:dyDescent="0.25">
      <c r="B41" s="16"/>
      <c r="C41" s="17"/>
      <c r="D41" s="17" t="s">
        <v>44</v>
      </c>
      <c r="E41" s="17"/>
      <c r="F41" s="17"/>
      <c r="G41" s="18">
        <f>G34</f>
      </c>
      <c r="H41" s="18">
        <f>H34</f>
      </c>
      <c r="I41" s="18">
        <f>I34</f>
      </c>
      <c r="J41" s="18">
        <f>J34</f>
      </c>
      <c r="K41" s="18">
        <f>K34</f>
      </c>
      <c r="L41" s="18">
        <f>L34</f>
      </c>
      <c r="M41" s="18">
        <f>M34</f>
      </c>
      <c r="N41" s="18">
        <f>N34</f>
      </c>
      <c r="O41" s="18">
        <f>O34</f>
      </c>
      <c r="P41" s="18">
        <f>P34</f>
      </c>
      <c r="Q41" s="18">
        <f>Q34</f>
      </c>
      <c r="R41" s="18">
        <f>R34</f>
      </c>
      <c r="S41" s="18">
        <f>S34</f>
      </c>
      <c r="T41" s="18">
        <f>T34</f>
      </c>
      <c r="U41" s="18">
        <f>U34</f>
      </c>
      <c r="V41" s="18">
        <f>V34</f>
      </c>
      <c r="W41" s="18">
        <f>W34</f>
      </c>
      <c r="X41" s="18">
        <f>X34</f>
      </c>
      <c r="Y41" s="18">
        <f>Y34</f>
      </c>
      <c r="Z41" s="18">
        <f>Z34</f>
      </c>
      <c r="AA41" s="18">
        <f>AA34</f>
      </c>
      <c r="AB41" s="18">
        <f>AB34</f>
      </c>
      <c r="AC41" s="18">
        <f>AC34</f>
      </c>
      <c r="AD41" s="18">
        <f>AD34</f>
      </c>
      <c r="AE41" s="18">
        <f>AE34</f>
      </c>
      <c r="AF41" s="18">
        <f>AF34</f>
      </c>
      <c r="AG41" s="18">
        <f>AG34</f>
      </c>
      <c r="AH41" s="18">
        <f>AH34</f>
      </c>
      <c r="AI41" s="18">
        <f>AI34</f>
      </c>
      <c r="AJ41" s="18">
        <f>AJ34</f>
      </c>
      <c r="AK41" s="18">
        <f>AK34</f>
      </c>
      <c r="AL41" s="18">
        <f>AL34</f>
      </c>
      <c r="AM41" s="19"/>
    </row>
    <row r="42" ht="12.75" customHeight="1" spans="2:39" x14ac:dyDescent="0.25">
      <c r="B42" s="20"/>
      <c r="C42" s="21"/>
      <c r="D42" s="21" t="s">
        <v>45</v>
      </c>
      <c r="E42" s="21"/>
      <c r="F42" s="21"/>
      <c r="G42" s="22">
        <f>G38+G39+G40+G41</f>
      </c>
      <c r="H42" s="22">
        <f>H38+H39+H40+H41</f>
      </c>
      <c r="I42" s="22">
        <f>I38+I39+I40+I41</f>
      </c>
      <c r="J42" s="22">
        <f>J38+J39+J40+J41</f>
      </c>
      <c r="K42" s="22">
        <f>K38+K39+K40+K41</f>
      </c>
      <c r="L42" s="22">
        <f>L38+L39+L40+L41</f>
      </c>
      <c r="M42" s="22">
        <f>M38+M39+M40+M41</f>
      </c>
      <c r="N42" s="22">
        <f>N38+N39+N40+N41</f>
      </c>
      <c r="O42" s="22">
        <f>O38+O39+O40+O41</f>
      </c>
      <c r="P42" s="22">
        <f>P38+P39+P40+P41</f>
      </c>
      <c r="Q42" s="22">
        <f>Q38+Q39+Q40+Q41</f>
      </c>
      <c r="R42" s="22">
        <f>R38+R39+R40+R41</f>
      </c>
      <c r="S42" s="22">
        <f>S38+S39+S40+S41</f>
      </c>
      <c r="T42" s="22">
        <f>T38+T39+T40+T41</f>
      </c>
      <c r="U42" s="22">
        <f>U38+U39+U40+U41</f>
      </c>
      <c r="V42" s="22">
        <f>V38+V39+V40+V41</f>
      </c>
      <c r="W42" s="22">
        <f>W38+W39+W40+W41</f>
      </c>
      <c r="X42" s="22">
        <f>X38+X39+X40+X41</f>
      </c>
      <c r="Y42" s="22">
        <f>Y38+Y39+Y40+Y41</f>
      </c>
      <c r="Z42" s="22">
        <f>Z38+Z39+Z40+Z41</f>
      </c>
      <c r="AA42" s="22">
        <f>AA38+AA39+AA40+AA41</f>
      </c>
      <c r="AB42" s="22">
        <f>AB38+AB39+AB40+AB41</f>
      </c>
      <c r="AC42" s="22">
        <f>AC38+AC39+AC40+AC41</f>
      </c>
      <c r="AD42" s="22">
        <f>AD38+AD39+AD40+AD41</f>
      </c>
      <c r="AE42" s="22">
        <f>AE38+AE39+AE40+AE41</f>
      </c>
      <c r="AF42" s="22">
        <f>AF38+AF39+AF40+AF41</f>
      </c>
      <c r="AG42" s="22">
        <f>AG38+AG39+AG40+AG41</f>
      </c>
      <c r="AH42" s="22">
        <f>AH38+AH39+AH40+AH41</f>
      </c>
      <c r="AI42" s="22">
        <f>AI38+AI39+AI40+AI41</f>
      </c>
      <c r="AJ42" s="22">
        <f>AJ38+AJ39+AJ40+AJ41</f>
      </c>
      <c r="AK42" s="22">
        <f>AK38+AK39+AK40+AK41</f>
      </c>
      <c r="AL42" s="22">
        <f>AL38+AL39+AL40+AL41</f>
      </c>
      <c r="AM42" s="23"/>
    </row>
    <row r="44" ht="12.75" customHeight="1" spans="2:39" x14ac:dyDescent="0.25">
      <c r="B44" s="11" t="s">
        <v>46</v>
      </c>
      <c r="C44" s="12"/>
      <c r="D44" s="12"/>
      <c r="E44" s="12"/>
      <c r="F44" s="12"/>
      <c r="G44" s="52" t="s">
        <v>7</v>
      </c>
      <c r="H44" s="52" t="s">
        <v>8</v>
      </c>
      <c r="I44" s="52" t="s">
        <v>9</v>
      </c>
      <c r="J44" s="52" t="s">
        <v>10</v>
      </c>
      <c r="K44" s="52" t="s">
        <v>11</v>
      </c>
      <c r="L44" s="52" t="s">
        <v>12</v>
      </c>
      <c r="M44" s="52" t="s">
        <v>13</v>
      </c>
      <c r="N44" s="52" t="s">
        <v>14</v>
      </c>
      <c r="O44" s="52" t="s">
        <v>15</v>
      </c>
      <c r="P44" s="52" t="s">
        <v>16</v>
      </c>
      <c r="Q44" s="52" t="s">
        <v>17</v>
      </c>
      <c r="R44" s="52" t="s">
        <v>18</v>
      </c>
      <c r="S44" s="52" t="s">
        <v>19</v>
      </c>
      <c r="T44" s="52" t="s">
        <v>20</v>
      </c>
      <c r="U44" s="52" t="s">
        <v>21</v>
      </c>
      <c r="V44" s="52" t="s">
        <v>22</v>
      </c>
      <c r="W44" s="52" t="s">
        <v>23</v>
      </c>
      <c r="X44" s="52" t="s">
        <v>24</v>
      </c>
      <c r="Y44" s="52" t="s">
        <v>25</v>
      </c>
      <c r="Z44" s="52" t="s">
        <v>26</v>
      </c>
      <c r="AA44" s="52" t="s">
        <v>27</v>
      </c>
      <c r="AB44" s="52" t="s">
        <v>28</v>
      </c>
      <c r="AC44" s="52" t="s">
        <v>29</v>
      </c>
      <c r="AD44" s="52" t="s">
        <v>30</v>
      </c>
      <c r="AE44" s="52" t="s">
        <v>31</v>
      </c>
      <c r="AF44" s="52" t="s">
        <v>32</v>
      </c>
      <c r="AG44" s="52" t="s">
        <v>33</v>
      </c>
      <c r="AH44" s="52" t="s">
        <v>34</v>
      </c>
      <c r="AI44" s="52" t="s">
        <v>35</v>
      </c>
      <c r="AJ44" s="52" t="s">
        <v>36</v>
      </c>
      <c r="AK44" s="52" t="s">
        <v>37</v>
      </c>
      <c r="AL44" s="52" t="s">
        <v>38</v>
      </c>
      <c r="AM44" s="15"/>
    </row>
    <row r="45" ht="12.75" customHeight="1" spans="2:39" x14ac:dyDescent="0.25">
      <c r="B45" s="16"/>
      <c r="C45" s="17"/>
      <c r="D45" s="17" t="s">
        <v>41</v>
      </c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9"/>
    </row>
    <row r="46" ht="12.75" customHeight="1" spans="2:39" x14ac:dyDescent="0.25">
      <c r="B46" s="16"/>
      <c r="C46" s="17"/>
      <c r="D46" s="17" t="s">
        <v>42</v>
      </c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9"/>
    </row>
    <row r="47" ht="12.75" customHeight="1" spans="2:39" x14ac:dyDescent="0.25">
      <c r="B47" s="16"/>
      <c r="C47" s="17"/>
      <c r="D47" s="17" t="s">
        <v>43</v>
      </c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ht="12.75" customHeight="1" spans="2:39" x14ac:dyDescent="0.25">
      <c r="B48" s="16"/>
      <c r="C48" s="17"/>
      <c r="D48" s="17" t="s">
        <v>44</v>
      </c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ht="12.75" customHeight="1" spans="2:39" x14ac:dyDescent="0.25">
      <c r="B49" s="20"/>
      <c r="C49" s="21"/>
      <c r="D49" s="21" t="s">
        <v>45</v>
      </c>
      <c r="E49" s="21"/>
      <c r="F49" s="21"/>
      <c r="G49" s="22">
        <f>G45+G46+G47+G48</f>
      </c>
      <c r="H49" s="22">
        <f>H45+H46+H47+H48</f>
      </c>
      <c r="I49" s="22">
        <f>I45+I46+I47+I48</f>
      </c>
      <c r="J49" s="22">
        <f>J45+J46+J47+J48</f>
      </c>
      <c r="K49" s="22">
        <f>K45+K46+K47+K48</f>
      </c>
      <c r="L49" s="22">
        <f>L45+L46+L47+L48</f>
      </c>
      <c r="M49" s="22">
        <f>M45+M46+M47+M48</f>
      </c>
      <c r="N49" s="22">
        <f>N45+N46+N47+N48</f>
      </c>
      <c r="O49" s="22">
        <f>O45+O46+O47+O48</f>
      </c>
      <c r="P49" s="22">
        <f>P45+P46+P47+P48</f>
      </c>
      <c r="Q49" s="22">
        <f>Q45+Q46+Q47+Q48</f>
      </c>
      <c r="R49" s="22">
        <f>R45+R46+R47+R48</f>
      </c>
      <c r="S49" s="22">
        <f>S45+S46+S47+S48</f>
      </c>
      <c r="T49" s="22">
        <f>T45+T46+T47+T48</f>
      </c>
      <c r="U49" s="22">
        <f>U45+U46+U47+U48</f>
      </c>
      <c r="V49" s="22">
        <f>V45+V46+V47+V48</f>
      </c>
      <c r="W49" s="22">
        <f>W45+W46+W47+W48</f>
      </c>
      <c r="X49" s="22">
        <f>X45+X46+X47+X48</f>
      </c>
      <c r="Y49" s="22">
        <f>Y45+Y46+Y47+Y48</f>
      </c>
      <c r="Z49" s="22">
        <f>Z45+Z46+Z47+Z48</f>
      </c>
      <c r="AA49" s="22">
        <f>AA45+AA46+AA47+AA48</f>
      </c>
      <c r="AB49" s="22">
        <f>AB45+AB46+AB47+AB48</f>
      </c>
      <c r="AC49" s="22">
        <f>AC45+AC46+AC47+AC48</f>
      </c>
      <c r="AD49" s="22">
        <f>AD45+AD46+AD47+AD48</f>
      </c>
      <c r="AE49" s="22">
        <f>AE45+AE46+AE47+AE48</f>
      </c>
      <c r="AF49" s="22">
        <f>AF45+AF46+AF47+AF48</f>
      </c>
      <c r="AG49" s="22">
        <f>AG45+AG46+AG47+AG48</f>
      </c>
      <c r="AH49" s="22">
        <f>AH45+AH46+AH47+AH48</f>
      </c>
      <c r="AI49" s="22">
        <f>AI45+AI46+AI47+AI48</f>
      </c>
      <c r="AJ49" s="22">
        <f>AJ45+AJ46+AJ47+AJ48</f>
      </c>
      <c r="AK49" s="22">
        <f>AK45+AK46+AK47+AK48</f>
      </c>
      <c r="AL49" s="22">
        <f>AL45+AL46+AL47+AL48</f>
      </c>
      <c r="AM49" s="23"/>
    </row>
    <row r="51" ht="12.75" customHeight="1" spans="2:39" x14ac:dyDescent="0.25">
      <c r="B51" s="11" t="s">
        <v>47</v>
      </c>
      <c r="C51" s="12"/>
      <c r="D51" s="12"/>
      <c r="E51" s="12"/>
      <c r="F51" s="12"/>
      <c r="G51" s="52" t="s">
        <v>7</v>
      </c>
      <c r="H51" s="52" t="s">
        <v>8</v>
      </c>
      <c r="I51" s="52" t="s">
        <v>9</v>
      </c>
      <c r="J51" s="52" t="s">
        <v>10</v>
      </c>
      <c r="K51" s="52" t="s">
        <v>11</v>
      </c>
      <c r="L51" s="52" t="s">
        <v>12</v>
      </c>
      <c r="M51" s="52" t="s">
        <v>13</v>
      </c>
      <c r="N51" s="52" t="s">
        <v>14</v>
      </c>
      <c r="O51" s="52" t="s">
        <v>15</v>
      </c>
      <c r="P51" s="52" t="s">
        <v>16</v>
      </c>
      <c r="Q51" s="52" t="s">
        <v>17</v>
      </c>
      <c r="R51" s="52" t="s">
        <v>18</v>
      </c>
      <c r="S51" s="52" t="s">
        <v>19</v>
      </c>
      <c r="T51" s="52" t="s">
        <v>20</v>
      </c>
      <c r="U51" s="52" t="s">
        <v>21</v>
      </c>
      <c r="V51" s="52" t="s">
        <v>22</v>
      </c>
      <c r="W51" s="52" t="s">
        <v>23</v>
      </c>
      <c r="X51" s="52" t="s">
        <v>24</v>
      </c>
      <c r="Y51" s="52" t="s">
        <v>25</v>
      </c>
      <c r="Z51" s="52" t="s">
        <v>26</v>
      </c>
      <c r="AA51" s="52" t="s">
        <v>27</v>
      </c>
      <c r="AB51" s="52" t="s">
        <v>28</v>
      </c>
      <c r="AC51" s="52" t="s">
        <v>29</v>
      </c>
      <c r="AD51" s="52" t="s">
        <v>30</v>
      </c>
      <c r="AE51" s="52" t="s">
        <v>31</v>
      </c>
      <c r="AF51" s="52" t="s">
        <v>32</v>
      </c>
      <c r="AG51" s="52" t="s">
        <v>33</v>
      </c>
      <c r="AH51" s="52" t="s">
        <v>34</v>
      </c>
      <c r="AI51" s="52" t="s">
        <v>35</v>
      </c>
      <c r="AJ51" s="52" t="s">
        <v>36</v>
      </c>
      <c r="AK51" s="52" t="s">
        <v>37</v>
      </c>
      <c r="AL51" s="52" t="s">
        <v>38</v>
      </c>
      <c r="AM51" s="15"/>
    </row>
    <row r="52" ht="12.75" customHeight="1" spans="2:39" x14ac:dyDescent="0.25">
      <c r="B52" s="16"/>
      <c r="C52" s="17"/>
      <c r="D52" s="17" t="s">
        <v>41</v>
      </c>
      <c r="E52" s="17"/>
      <c r="F52" s="17"/>
      <c r="G52" s="24">
        <f>G45-G38</f>
      </c>
      <c r="H52" s="24">
        <f>H45-H38</f>
      </c>
      <c r="I52" s="24">
        <f>I45-I38</f>
      </c>
      <c r="J52" s="24">
        <f>J45-J38</f>
      </c>
      <c r="K52" s="24">
        <f>K45-K38</f>
      </c>
      <c r="L52" s="24">
        <f>L45-L38</f>
      </c>
      <c r="M52" s="24">
        <f>M45-M38</f>
      </c>
      <c r="N52" s="24">
        <f>N45-N38</f>
      </c>
      <c r="O52" s="24">
        <f>O45-O38</f>
      </c>
      <c r="P52" s="24">
        <f>P45-P38</f>
      </c>
      <c r="Q52" s="24">
        <f>Q45-Q38</f>
      </c>
      <c r="R52" s="24">
        <f>R45-R38</f>
      </c>
      <c r="S52" s="24">
        <f>S45-S38</f>
      </c>
      <c r="T52" s="24">
        <f>T45-T38</f>
      </c>
      <c r="U52" s="24">
        <f>U45-U38</f>
      </c>
      <c r="V52" s="24">
        <f>V45-V38</f>
      </c>
      <c r="W52" s="24">
        <f>W45-W38</f>
      </c>
      <c r="X52" s="24">
        <f>X45-X38</f>
      </c>
      <c r="Y52" s="24">
        <f>Y45-Y38</f>
      </c>
      <c r="Z52" s="24">
        <f>Z45-Z38</f>
      </c>
      <c r="AA52" s="24">
        <f>AA45-AA38</f>
      </c>
      <c r="AB52" s="24">
        <f>AB45-AB38</f>
      </c>
      <c r="AC52" s="24">
        <f>AC45-AC38</f>
      </c>
      <c r="AD52" s="24">
        <f>AD45-AD38</f>
      </c>
      <c r="AE52" s="24">
        <f>AE45-AE38</f>
      </c>
      <c r="AF52" s="24">
        <f>AF45-AF38</f>
      </c>
      <c r="AG52" s="24">
        <f>AG45-AG38</f>
      </c>
      <c r="AH52" s="24">
        <f>AH45-AH38</f>
      </c>
      <c r="AI52" s="24">
        <f>AI45-AI38</f>
      </c>
      <c r="AJ52" s="24">
        <f>AJ45-AJ38</f>
      </c>
      <c r="AK52" s="24">
        <f>AK45-AK38</f>
      </c>
      <c r="AL52" s="24">
        <f>AL45-AL38</f>
      </c>
      <c r="AM52" s="19"/>
    </row>
    <row r="53" ht="12.75" customHeight="1" spans="2:39" x14ac:dyDescent="0.25">
      <c r="B53" s="16"/>
      <c r="C53" s="17"/>
      <c r="D53" s="17" t="s">
        <v>42</v>
      </c>
      <c r="E53" s="17"/>
      <c r="F53" s="17"/>
      <c r="G53" s="24">
        <f>G46-G39</f>
      </c>
      <c r="H53" s="24">
        <f>H46-H39</f>
      </c>
      <c r="I53" s="24">
        <f>I46-I39</f>
      </c>
      <c r="J53" s="24">
        <f>J46-J39</f>
      </c>
      <c r="K53" s="24">
        <f>K46-K39</f>
      </c>
      <c r="L53" s="24">
        <f>L46-L39</f>
      </c>
      <c r="M53" s="24">
        <f>M46-M39</f>
      </c>
      <c r="N53" s="24">
        <f>N46-N39</f>
      </c>
      <c r="O53" s="24">
        <f>O46-O39</f>
      </c>
      <c r="P53" s="24">
        <f>P46-P39</f>
      </c>
      <c r="Q53" s="24">
        <f>Q46-Q39</f>
      </c>
      <c r="R53" s="24">
        <f>R46-R39</f>
      </c>
      <c r="S53" s="24">
        <f>S46-S39</f>
      </c>
      <c r="T53" s="24">
        <f>T46-T39</f>
      </c>
      <c r="U53" s="24">
        <f>U46-U39</f>
      </c>
      <c r="V53" s="24">
        <f>V46-V39</f>
      </c>
      <c r="W53" s="24">
        <f>W46-W39</f>
      </c>
      <c r="X53" s="24">
        <f>X46-X39</f>
      </c>
      <c r="Y53" s="24">
        <f>Y46-Y39</f>
      </c>
      <c r="Z53" s="24">
        <f>Z46-Z39</f>
      </c>
      <c r="AA53" s="24">
        <f>AA46-AA39</f>
      </c>
      <c r="AB53" s="24">
        <f>AB46-AB39</f>
      </c>
      <c r="AC53" s="24">
        <f>AC46-AC39</f>
      </c>
      <c r="AD53" s="24">
        <f>AD46-AD39</f>
      </c>
      <c r="AE53" s="24">
        <f>AE46-AE39</f>
      </c>
      <c r="AF53" s="24">
        <f>AF46-AF39</f>
      </c>
      <c r="AG53" s="24">
        <f>AG46-AG39</f>
      </c>
      <c r="AH53" s="24">
        <f>AH46-AH39</f>
      </c>
      <c r="AI53" s="24">
        <f>AI46-AI39</f>
      </c>
      <c r="AJ53" s="24">
        <f>AJ46-AJ39</f>
      </c>
      <c r="AK53" s="24">
        <f>AK46-AK39</f>
      </c>
      <c r="AL53" s="24">
        <f>AL46-AL39</f>
      </c>
      <c r="AM53" s="19"/>
    </row>
    <row r="54" ht="12.75" customHeight="1" spans="2:39" x14ac:dyDescent="0.25">
      <c r="B54" s="16"/>
      <c r="C54" s="17"/>
      <c r="D54" s="17" t="s">
        <v>43</v>
      </c>
      <c r="E54" s="17"/>
      <c r="F54" s="17"/>
      <c r="G54" s="24">
        <f>G47-G40</f>
      </c>
      <c r="H54" s="24">
        <f>H47-H40</f>
      </c>
      <c r="I54" s="24">
        <f>I47-I40</f>
      </c>
      <c r="J54" s="24">
        <f>J47-J40</f>
      </c>
      <c r="K54" s="24">
        <f>K47-K40</f>
      </c>
      <c r="L54" s="24">
        <f>L47-L40</f>
      </c>
      <c r="M54" s="24">
        <f>M47-M40</f>
      </c>
      <c r="N54" s="24">
        <f>N47-N40</f>
      </c>
      <c r="O54" s="24">
        <f>O47-O40</f>
      </c>
      <c r="P54" s="24">
        <f>P47-P40</f>
      </c>
      <c r="Q54" s="24">
        <f>Q47-Q40</f>
      </c>
      <c r="R54" s="24">
        <f>R47-R40</f>
      </c>
      <c r="S54" s="24">
        <f>S47-S40</f>
      </c>
      <c r="T54" s="24">
        <f>T47-T40</f>
      </c>
      <c r="U54" s="24">
        <f>U47-U40</f>
      </c>
      <c r="V54" s="24">
        <f>V47-V40</f>
      </c>
      <c r="W54" s="24">
        <f>W47-W40</f>
      </c>
      <c r="X54" s="24">
        <f>X47-X40</f>
      </c>
      <c r="Y54" s="24">
        <f>Y47-Y40</f>
      </c>
      <c r="Z54" s="24">
        <f>Z47-Z40</f>
      </c>
      <c r="AA54" s="24">
        <f>AA47-AA40</f>
      </c>
      <c r="AB54" s="24">
        <f>AB47-AB40</f>
      </c>
      <c r="AC54" s="24">
        <f>AC47-AC40</f>
      </c>
      <c r="AD54" s="24">
        <f>AD47-AD40</f>
      </c>
      <c r="AE54" s="24">
        <f>AE47-AE40</f>
      </c>
      <c r="AF54" s="24">
        <f>AF47-AF40</f>
      </c>
      <c r="AG54" s="24">
        <f>AG47-AG40</f>
      </c>
      <c r="AH54" s="24">
        <f>AH47-AH40</f>
      </c>
      <c r="AI54" s="24">
        <f>AI47-AI40</f>
      </c>
      <c r="AJ54" s="24">
        <f>AJ47-AJ40</f>
      </c>
      <c r="AK54" s="24">
        <f>AK47-AK40</f>
      </c>
      <c r="AL54" s="24">
        <f>AL47-AL40</f>
      </c>
      <c r="AM54" s="19"/>
    </row>
    <row r="55" ht="12.75" customHeight="1" spans="2:39" x14ac:dyDescent="0.25">
      <c r="B55" s="16"/>
      <c r="C55" s="17"/>
      <c r="D55" s="17" t="s">
        <v>44</v>
      </c>
      <c r="E55" s="17"/>
      <c r="F55" s="17"/>
      <c r="G55" s="24">
        <f>G48-G41</f>
      </c>
      <c r="H55" s="24">
        <f>H48-H41</f>
      </c>
      <c r="I55" s="24">
        <f>I48-I41</f>
      </c>
      <c r="J55" s="24">
        <f>J48-J41</f>
      </c>
      <c r="K55" s="24">
        <f>K48-K41</f>
      </c>
      <c r="L55" s="24">
        <f>L48-L41</f>
      </c>
      <c r="M55" s="24">
        <f>M48-M41</f>
      </c>
      <c r="N55" s="24">
        <f>N48-N41</f>
      </c>
      <c r="O55" s="24">
        <f>O48-O41</f>
      </c>
      <c r="P55" s="24">
        <f>P48-P41</f>
      </c>
      <c r="Q55" s="24">
        <f>Q48-Q41</f>
      </c>
      <c r="R55" s="24">
        <f>R48-R41</f>
      </c>
      <c r="S55" s="24">
        <f>S48-S41</f>
      </c>
      <c r="T55" s="24">
        <f>T48-T41</f>
      </c>
      <c r="U55" s="24">
        <f>U48-U41</f>
      </c>
      <c r="V55" s="24">
        <f>V48-V41</f>
      </c>
      <c r="W55" s="24">
        <f>W48-W41</f>
      </c>
      <c r="X55" s="24">
        <f>X48-X41</f>
      </c>
      <c r="Y55" s="24">
        <f>Y48-Y41</f>
      </c>
      <c r="Z55" s="24">
        <f>Z48-Z41</f>
      </c>
      <c r="AA55" s="24">
        <f>AA48-AA41</f>
      </c>
      <c r="AB55" s="24">
        <f>AB48-AB41</f>
      </c>
      <c r="AC55" s="24">
        <f>AC48-AC41</f>
      </c>
      <c r="AD55" s="24">
        <f>AD48-AD41</f>
      </c>
      <c r="AE55" s="24">
        <f>AE48-AE41</f>
      </c>
      <c r="AF55" s="24">
        <f>AF48-AF41</f>
      </c>
      <c r="AG55" s="24">
        <f>AG48-AG41</f>
      </c>
      <c r="AH55" s="24">
        <f>AH48-AH41</f>
      </c>
      <c r="AI55" s="24">
        <f>AI48-AI41</f>
      </c>
      <c r="AJ55" s="24">
        <f>AJ48-AJ41</f>
      </c>
      <c r="AK55" s="24">
        <f>AK48-AK41</f>
      </c>
      <c r="AL55" s="24">
        <f>AL48-AL41</f>
      </c>
      <c r="AM55" s="19"/>
    </row>
    <row r="56" ht="12.75" customHeight="1" spans="2:39" x14ac:dyDescent="0.25">
      <c r="B56" s="20"/>
      <c r="C56" s="21"/>
      <c r="D56" s="21" t="s">
        <v>45</v>
      </c>
      <c r="E56" s="21"/>
      <c r="F56" s="21"/>
      <c r="G56" s="25">
        <f>G52+G53+G54+G55</f>
      </c>
      <c r="H56" s="25">
        <f>H52+H53+H54+H55</f>
      </c>
      <c r="I56" s="25">
        <f>I52+I53+I54+I55</f>
      </c>
      <c r="J56" s="25">
        <f>J52+J53+J54+J55</f>
      </c>
      <c r="K56" s="25">
        <f>K52+K53+K54+K55</f>
      </c>
      <c r="L56" s="25">
        <f>L52+L53+L54+L55</f>
      </c>
      <c r="M56" s="25">
        <f>M52+M53+M54+M55</f>
      </c>
      <c r="N56" s="25">
        <f>N52+N53+N54+N55</f>
      </c>
      <c r="O56" s="25">
        <f>O52+O53+O54+O55</f>
      </c>
      <c r="P56" s="25">
        <f>P52+P53+P54+P55</f>
      </c>
      <c r="Q56" s="25">
        <f>Q52+Q53+Q54+Q55</f>
      </c>
      <c r="R56" s="25">
        <f>R52+R53+R54+R55</f>
      </c>
      <c r="S56" s="25">
        <f>S52+S53+S54+S55</f>
      </c>
      <c r="T56" s="25">
        <f>T52+T53+T54+T55</f>
      </c>
      <c r="U56" s="25">
        <f>U52+U53+U54+U55</f>
      </c>
      <c r="V56" s="25">
        <f>V52+V53+V54+V55</f>
      </c>
      <c r="W56" s="25">
        <f>W52+W53+W54+W55</f>
      </c>
      <c r="X56" s="25">
        <f>X52+X53+X54+X55</f>
      </c>
      <c r="Y56" s="25">
        <f>Y52+Y53+Y54+Y55</f>
      </c>
      <c r="Z56" s="25">
        <f>Z52+Z53+Z54+Z55</f>
      </c>
      <c r="AA56" s="25">
        <f>AA52+AA53+AA54+AA55</f>
      </c>
      <c r="AB56" s="25">
        <f>AB52+AB53+AB54+AB55</f>
      </c>
      <c r="AC56" s="25">
        <f>AC52+AC53+AC54+AC55</f>
      </c>
      <c r="AD56" s="25">
        <f>AD52+AD53+AD54+AD55</f>
      </c>
      <c r="AE56" s="25">
        <f>AE52+AE53+AE54+AE55</f>
      </c>
      <c r="AF56" s="25">
        <f>AF52+AF53+AF54+AF55</f>
      </c>
      <c r="AG56" s="25">
        <f>AG52+AG53+AG54+AG55</f>
      </c>
      <c r="AH56" s="25">
        <f>AH52+AH53+AH54+AH55</f>
      </c>
      <c r="AI56" s="25">
        <f>AI52+AI53+AI54+AI55</f>
      </c>
      <c r="AJ56" s="25">
        <f>AJ52+AJ53+AJ54+AJ55</f>
      </c>
      <c r="AK56" s="25">
        <f>AK52+AK53+AK54+AK55</f>
      </c>
      <c r="AL56" s="25">
        <f>AL52+AL53+AL54+AL55</f>
      </c>
      <c r="AM56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4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2853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26" t="s">
        <v>41</v>
      </c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ht="12.75" customHeight="1" spans="2:37" x14ac:dyDescent="0.25">
      <c r="B9" s="30" t="s">
        <v>41</v>
      </c>
      <c r="C9" s="31" t="s">
        <v>3</v>
      </c>
      <c r="D9" s="32" t="s">
        <v>2854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>
        <v>2466.29</v>
      </c>
      <c r="U9" s="33">
        <v>2769.37</v>
      </c>
      <c r="V9" s="33">
        <v>1955.09</v>
      </c>
      <c r="W9" s="33">
        <v>1667.7</v>
      </c>
      <c r="X9" s="33">
        <v>1162.2</v>
      </c>
      <c r="Y9" s="33">
        <v>850.81</v>
      </c>
      <c r="Z9" s="33">
        <v>368.81</v>
      </c>
      <c r="AA9" s="33">
        <v>289.52</v>
      </c>
      <c r="AB9" s="33">
        <v>245.55</v>
      </c>
      <c r="AC9" s="33">
        <v>407.12</v>
      </c>
      <c r="AD9" s="33">
        <v>1018.94</v>
      </c>
      <c r="AE9" s="33">
        <v>1495.4</v>
      </c>
      <c r="AF9" s="33">
        <v>2229.79</v>
      </c>
      <c r="AG9" s="33">
        <v>2348.26</v>
      </c>
      <c r="AH9" s="33">
        <v>1863.88</v>
      </c>
      <c r="AI9" s="32"/>
      <c r="AJ9" s="34">
        <f>SUM(E9:AI9)</f>
      </c>
      <c r="AK9" s="35"/>
    </row>
    <row r="10" ht="12.75" customHeight="1" spans="2:37" x14ac:dyDescent="0.25">
      <c r="B10" s="30" t="s">
        <v>41</v>
      </c>
      <c r="C10" s="31" t="s">
        <v>3</v>
      </c>
      <c r="D10" s="32" t="s">
        <v>2855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>
        <v>39.07</v>
      </c>
      <c r="U10" s="33">
        <v>52.54</v>
      </c>
      <c r="V10" s="33">
        <v>49.85</v>
      </c>
      <c r="W10" s="33">
        <v>45.4</v>
      </c>
      <c r="X10" s="33">
        <v>37.14</v>
      </c>
      <c r="Y10" s="33">
        <v>37.14</v>
      </c>
      <c r="Z10" s="33">
        <v>37.21</v>
      </c>
      <c r="AA10" s="33">
        <v>39.19</v>
      </c>
      <c r="AB10" s="33">
        <v>37.47</v>
      </c>
      <c r="AC10" s="33">
        <v>39.82</v>
      </c>
      <c r="AD10" s="33">
        <v>37.72</v>
      </c>
      <c r="AE10" s="33">
        <v>37.72</v>
      </c>
      <c r="AF10" s="33">
        <v>41.94</v>
      </c>
      <c r="AG10" s="33">
        <v>44</v>
      </c>
      <c r="AH10" s="33">
        <v>39.54</v>
      </c>
      <c r="AI10" s="32"/>
      <c r="AJ10" s="34">
        <f>SUM(E10:AI10)</f>
      </c>
      <c r="AK10" s="35"/>
    </row>
    <row r="11" ht="12.75" customHeight="1" spans="2:37" x14ac:dyDescent="0.25">
      <c r="B11" s="37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</row>
    <row r="12" ht="12.75" customHeight="1" spans="2:37" x14ac:dyDescent="0.25">
      <c r="B12" s="20" t="s">
        <v>64</v>
      </c>
      <c r="C12" s="21"/>
      <c r="D12" s="21"/>
      <c r="E12" s="22">
        <f>SUM(E9:E10)</f>
      </c>
      <c r="F12" s="22">
        <f>SUM(F9:F10)</f>
      </c>
      <c r="G12" s="22">
        <f>SUM(G9:G10)</f>
      </c>
      <c r="H12" s="22">
        <f>SUM(H9:H10)</f>
      </c>
      <c r="I12" s="22">
        <f>SUM(I9:I10)</f>
      </c>
      <c r="J12" s="22">
        <f>SUM(J9:J10)</f>
      </c>
      <c r="K12" s="22">
        <f>SUM(K9:K10)</f>
      </c>
      <c r="L12" s="22">
        <f>SUM(L9:L10)</f>
      </c>
      <c r="M12" s="22">
        <f>SUM(M9:M10)</f>
      </c>
      <c r="N12" s="22">
        <f>SUM(N9:N10)</f>
      </c>
      <c r="O12" s="22">
        <f>SUM(O9:O10)</f>
      </c>
      <c r="P12" s="22">
        <f>SUM(P9:P10)</f>
      </c>
      <c r="Q12" s="22">
        <f>SUM(Q9:Q10)</f>
      </c>
      <c r="R12" s="22">
        <f>SUM(R9:R10)</f>
      </c>
      <c r="S12" s="22">
        <f>SUM(S9:S10)</f>
      </c>
      <c r="T12" s="22">
        <f>SUM(T9:T10)</f>
      </c>
      <c r="U12" s="22">
        <f>SUM(U9:U10)</f>
      </c>
      <c r="V12" s="22">
        <f>SUM(V9:V10)</f>
      </c>
      <c r="W12" s="22">
        <f>SUM(W9:W10)</f>
      </c>
      <c r="X12" s="22">
        <f>SUM(X9:X10)</f>
      </c>
      <c r="Y12" s="22">
        <f>SUM(Y9:Y10)</f>
      </c>
      <c r="Z12" s="22">
        <f>SUM(Z9:Z10)</f>
      </c>
      <c r="AA12" s="22">
        <f>SUM(AA9:AA10)</f>
      </c>
      <c r="AB12" s="22">
        <f>SUM(AB9:AB10)</f>
      </c>
      <c r="AC12" s="22">
        <f>SUM(AC9:AC10)</f>
      </c>
      <c r="AD12" s="22">
        <f>SUM(AD9:AD10)</f>
      </c>
      <c r="AE12" s="22">
        <f>SUM(AE9:AE10)</f>
      </c>
      <c r="AF12" s="22">
        <f>SUM(AF9:AF10)</f>
      </c>
      <c r="AG12" s="22">
        <f>SUM(AG9:AG10)</f>
      </c>
      <c r="AH12" s="22">
        <f>SUM(AH9:AH10)</f>
      </c>
      <c r="AI12" s="22">
        <f>SUM(AI9:AI10)</f>
      </c>
      <c r="AJ12" s="22">
        <f>SUM(AJ9:AJ10)</f>
      </c>
      <c r="AK12" s="23"/>
    </row>
    <row r="14" ht="12.75" customHeight="1" spans="2:37" x14ac:dyDescent="0.25">
      <c r="B14" s="26" t="s">
        <v>42</v>
      </c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</row>
    <row r="15" ht="12.75" customHeight="1" spans="2:37" x14ac:dyDescent="0.25">
      <c r="B15" s="30" t="s">
        <v>42</v>
      </c>
      <c r="C15" s="31" t="s">
        <v>3</v>
      </c>
      <c r="D15" s="32" t="s">
        <v>2856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>
        <v>35.01</v>
      </c>
      <c r="U15" s="33">
        <v>74.2</v>
      </c>
      <c r="V15" s="33">
        <v>75.48</v>
      </c>
      <c r="W15" s="33">
        <v>63.42</v>
      </c>
      <c r="X15" s="33">
        <v>16.41</v>
      </c>
      <c r="Y15" s="33">
        <v>16.41</v>
      </c>
      <c r="Z15" s="33">
        <v>16.41</v>
      </c>
      <c r="AA15" s="33">
        <v>16.41</v>
      </c>
      <c r="AB15" s="33">
        <v>16.41</v>
      </c>
      <c r="AC15" s="33">
        <v>16.41</v>
      </c>
      <c r="AD15" s="33">
        <v>16.25</v>
      </c>
      <c r="AE15" s="33">
        <v>27.34</v>
      </c>
      <c r="AF15" s="33">
        <v>34.99</v>
      </c>
      <c r="AG15" s="33">
        <v>31.44</v>
      </c>
      <c r="AH15" s="33">
        <v>22.41</v>
      </c>
      <c r="AI15" s="32"/>
      <c r="AJ15" s="34">
        <f>SUM(E15:AI15)</f>
      </c>
      <c r="AK15" s="35"/>
    </row>
    <row r="16" ht="12.75" customHeight="1" spans="2:37" x14ac:dyDescent="0.25">
      <c r="B16" s="30" t="s">
        <v>42</v>
      </c>
      <c r="C16" s="31" t="s">
        <v>3</v>
      </c>
      <c r="D16" s="32" t="s">
        <v>2857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3">
        <v>52.39</v>
      </c>
      <c r="AG16" s="33">
        <v>16.25</v>
      </c>
      <c r="AH16" s="33">
        <v>41.22</v>
      </c>
      <c r="AI16" s="32"/>
      <c r="AJ16" s="34">
        <f>SUM(E16:AI16)</f>
      </c>
      <c r="AK16" s="35"/>
    </row>
    <row r="17" ht="12.75" customHeight="1" spans="2:37" x14ac:dyDescent="0.25">
      <c r="B17" s="30" t="s">
        <v>42</v>
      </c>
      <c r="C17" s="31" t="s">
        <v>3</v>
      </c>
      <c r="D17" s="32" t="s">
        <v>2858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>
        <v>38.34</v>
      </c>
      <c r="U17" s="33">
        <v>39.86</v>
      </c>
      <c r="V17" s="33">
        <v>56.15</v>
      </c>
      <c r="W17" s="33">
        <v>46.99</v>
      </c>
      <c r="X17" s="33">
        <v>16.41</v>
      </c>
      <c r="Y17" s="33">
        <v>27.92</v>
      </c>
      <c r="Z17" s="33">
        <v>16.41</v>
      </c>
      <c r="AA17" s="33">
        <v>16.41</v>
      </c>
      <c r="AB17" s="33">
        <v>16.41</v>
      </c>
      <c r="AC17" s="33">
        <v>16.41</v>
      </c>
      <c r="AD17" s="33">
        <v>16.25</v>
      </c>
      <c r="AE17" s="33">
        <v>28.58</v>
      </c>
      <c r="AF17" s="33">
        <v>31.06</v>
      </c>
      <c r="AG17" s="33">
        <v>48.4</v>
      </c>
      <c r="AH17" s="33">
        <v>47.11</v>
      </c>
      <c r="AI17" s="32"/>
      <c r="AJ17" s="34">
        <f>SUM(E17:AI17)</f>
      </c>
      <c r="AK17" s="35"/>
    </row>
    <row r="18" ht="12.75" customHeight="1" spans="2:37" x14ac:dyDescent="0.25">
      <c r="B18" s="30" t="s">
        <v>42</v>
      </c>
      <c r="C18" s="31" t="s">
        <v>3</v>
      </c>
      <c r="D18" s="32" t="s">
        <v>2859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>
        <v>34.26</v>
      </c>
      <c r="U18" s="33">
        <v>42.34</v>
      </c>
      <c r="V18" s="33">
        <v>33.67</v>
      </c>
      <c r="W18" s="33">
        <v>35.27</v>
      </c>
      <c r="X18" s="33">
        <v>44.84</v>
      </c>
      <c r="Y18" s="33">
        <v>56.83</v>
      </c>
      <c r="Z18" s="33">
        <v>73.28</v>
      </c>
      <c r="AA18" s="33">
        <v>16.41</v>
      </c>
      <c r="AB18" s="33">
        <v>16.41</v>
      </c>
      <c r="AC18" s="33">
        <v>16.41</v>
      </c>
      <c r="AD18" s="33">
        <v>118.36</v>
      </c>
      <c r="AE18" s="33">
        <v>145.97</v>
      </c>
      <c r="AF18" s="33">
        <v>144.52</v>
      </c>
      <c r="AG18" s="33">
        <v>133.95</v>
      </c>
      <c r="AH18" s="33">
        <v>140.84</v>
      </c>
      <c r="AI18" s="32"/>
      <c r="AJ18" s="34">
        <f>SUM(E18:AI18)</f>
      </c>
      <c r="AK18" s="35"/>
    </row>
    <row r="19" ht="12.75" customHeight="1" spans="2:37" x14ac:dyDescent="0.25">
      <c r="B19" s="30" t="s">
        <v>42</v>
      </c>
      <c r="C19" s="31" t="s">
        <v>3</v>
      </c>
      <c r="D19" s="32" t="s">
        <v>2860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>
        <v>19.19</v>
      </c>
      <c r="U19" s="33">
        <v>57.57</v>
      </c>
      <c r="V19" s="33">
        <v>108.57</v>
      </c>
      <c r="W19" s="33">
        <v>85.05</v>
      </c>
      <c r="X19" s="33">
        <v>46.5</v>
      </c>
      <c r="Y19" s="33">
        <v>16.41</v>
      </c>
      <c r="Z19" s="33">
        <v>20.92</v>
      </c>
      <c r="AA19" s="33">
        <v>16.41</v>
      </c>
      <c r="AB19" s="33">
        <v>16.41</v>
      </c>
      <c r="AC19" s="33">
        <v>16.41</v>
      </c>
      <c r="AD19" s="33">
        <v>16.25</v>
      </c>
      <c r="AE19" s="33">
        <v>16.25</v>
      </c>
      <c r="AF19" s="33">
        <v>16.25</v>
      </c>
      <c r="AG19" s="33">
        <v>65.65</v>
      </c>
      <c r="AH19" s="33">
        <v>94.32</v>
      </c>
      <c r="AI19" s="32"/>
      <c r="AJ19" s="34">
        <f>SUM(E19:AI19)</f>
      </c>
      <c r="AK19" s="35"/>
    </row>
    <row r="20" ht="12.75" customHeight="1" spans="2:37" x14ac:dyDescent="0.25">
      <c r="B20" s="30" t="s">
        <v>42</v>
      </c>
      <c r="C20" s="31" t="s">
        <v>3</v>
      </c>
      <c r="D20" s="32" t="s">
        <v>2861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>
        <v>166.79</v>
      </c>
      <c r="U20" s="33">
        <v>165.58</v>
      </c>
      <c r="V20" s="33">
        <v>119.93</v>
      </c>
      <c r="W20" s="33">
        <v>106.98</v>
      </c>
      <c r="X20" s="33">
        <v>43.34</v>
      </c>
      <c r="Y20" s="33">
        <v>16.41</v>
      </c>
      <c r="Z20" s="33">
        <v>16.41</v>
      </c>
      <c r="AA20" s="33">
        <v>16.41</v>
      </c>
      <c r="AB20" s="33">
        <v>16.41</v>
      </c>
      <c r="AC20" s="33">
        <v>16.41</v>
      </c>
      <c r="AD20" s="33">
        <v>16.25</v>
      </c>
      <c r="AE20" s="33">
        <v>45.97</v>
      </c>
      <c r="AF20" s="33">
        <v>64.18</v>
      </c>
      <c r="AG20" s="33">
        <v>85.49</v>
      </c>
      <c r="AH20" s="33">
        <v>71.34</v>
      </c>
      <c r="AI20" s="32"/>
      <c r="AJ20" s="34">
        <f>SUM(E20:AI20)</f>
      </c>
      <c r="AK20" s="35"/>
    </row>
    <row r="21" ht="12.75" customHeight="1" spans="2:37" x14ac:dyDescent="0.25">
      <c r="B21" s="30" t="s">
        <v>42</v>
      </c>
      <c r="C21" s="31" t="s">
        <v>3</v>
      </c>
      <c r="D21" s="32" t="s">
        <v>2862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>
        <v>79.69</v>
      </c>
      <c r="U21" s="33">
        <v>90.55</v>
      </c>
      <c r="V21" s="33">
        <v>86.69</v>
      </c>
      <c r="W21" s="33">
        <v>114.69</v>
      </c>
      <c r="X21" s="33">
        <v>69.72</v>
      </c>
      <c r="Y21" s="33">
        <v>21.15</v>
      </c>
      <c r="Z21" s="33">
        <v>16.41</v>
      </c>
      <c r="AA21" s="33">
        <v>16.41</v>
      </c>
      <c r="AB21" s="33">
        <v>16.41</v>
      </c>
      <c r="AC21" s="33">
        <v>16.41</v>
      </c>
      <c r="AD21" s="33">
        <v>16.25</v>
      </c>
      <c r="AE21" s="33">
        <v>16.25</v>
      </c>
      <c r="AF21" s="33">
        <v>52.53</v>
      </c>
      <c r="AG21" s="33">
        <v>61.37</v>
      </c>
      <c r="AH21" s="33">
        <v>58.73</v>
      </c>
      <c r="AI21" s="32"/>
      <c r="AJ21" s="34">
        <f>SUM(E21:AI21)</f>
      </c>
      <c r="AK21" s="35"/>
    </row>
    <row r="22" ht="12.75" customHeight="1" spans="2:37" x14ac:dyDescent="0.25">
      <c r="B22" s="30" t="s">
        <v>42</v>
      </c>
      <c r="C22" s="31" t="s">
        <v>3</v>
      </c>
      <c r="D22" s="32" t="s">
        <v>2863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>
        <v>16.41</v>
      </c>
      <c r="U22" s="33">
        <v>177.04</v>
      </c>
      <c r="V22" s="33">
        <v>164.74</v>
      </c>
      <c r="W22" s="33">
        <v>108.97</v>
      </c>
      <c r="X22" s="33">
        <v>26.42</v>
      </c>
      <c r="Y22" s="33">
        <v>16.41</v>
      </c>
      <c r="Z22" s="33">
        <v>16.41</v>
      </c>
      <c r="AA22" s="33">
        <v>16.41</v>
      </c>
      <c r="AB22" s="33">
        <v>16.41</v>
      </c>
      <c r="AC22" s="33">
        <v>16.41</v>
      </c>
      <c r="AD22" s="33">
        <v>16.25</v>
      </c>
      <c r="AE22" s="33">
        <v>16.25</v>
      </c>
      <c r="AF22" s="33">
        <v>16.25</v>
      </c>
      <c r="AG22" s="33">
        <v>58</v>
      </c>
      <c r="AH22" s="33">
        <v>62.26</v>
      </c>
      <c r="AI22" s="32"/>
      <c r="AJ22" s="34">
        <f>SUM(E22:AI22)</f>
      </c>
      <c r="AK22" s="35"/>
    </row>
    <row r="23" ht="12.75" customHeight="1" spans="2:37" x14ac:dyDescent="0.25">
      <c r="B23" s="30" t="s">
        <v>42</v>
      </c>
      <c r="C23" s="31" t="s">
        <v>3</v>
      </c>
      <c r="D23" s="32" t="s">
        <v>2864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>
        <v>35.38</v>
      </c>
      <c r="U23" s="33">
        <v>79.14</v>
      </c>
      <c r="V23" s="33">
        <v>72.84</v>
      </c>
      <c r="W23" s="33">
        <v>68.08</v>
      </c>
      <c r="X23" s="33">
        <v>16.41</v>
      </c>
      <c r="Y23" s="33">
        <v>16.41</v>
      </c>
      <c r="Z23" s="33">
        <v>16.41</v>
      </c>
      <c r="AA23" s="33">
        <v>16.41</v>
      </c>
      <c r="AB23" s="33">
        <v>16.41</v>
      </c>
      <c r="AC23" s="33">
        <v>16.41</v>
      </c>
      <c r="AD23" s="33">
        <v>16.25</v>
      </c>
      <c r="AE23" s="33">
        <v>16.25</v>
      </c>
      <c r="AF23" s="33">
        <v>16.25</v>
      </c>
      <c r="AG23" s="33">
        <v>63.99</v>
      </c>
      <c r="AH23" s="33">
        <v>77.1</v>
      </c>
      <c r="AI23" s="32"/>
      <c r="AJ23" s="34">
        <f>SUM(E23:AI23)</f>
      </c>
      <c r="AK23" s="35"/>
    </row>
    <row r="24" ht="12.75" customHeight="1" spans="2:37" x14ac:dyDescent="0.25">
      <c r="B24" s="30" t="s">
        <v>42</v>
      </c>
      <c r="C24" s="31" t="s">
        <v>3</v>
      </c>
      <c r="D24" s="32" t="s">
        <v>2865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>
        <v>20.68</v>
      </c>
      <c r="U24" s="33">
        <v>50.09</v>
      </c>
      <c r="V24" s="33">
        <v>67.89</v>
      </c>
      <c r="W24" s="33">
        <v>70.58</v>
      </c>
      <c r="X24" s="33">
        <v>16.63</v>
      </c>
      <c r="Y24" s="33">
        <v>16.41</v>
      </c>
      <c r="Z24" s="33">
        <v>21.28</v>
      </c>
      <c r="AA24" s="33">
        <v>16.41</v>
      </c>
      <c r="AB24" s="33">
        <v>16.41</v>
      </c>
      <c r="AC24" s="33">
        <v>61.56</v>
      </c>
      <c r="AD24" s="33">
        <v>156.27</v>
      </c>
      <c r="AE24" s="33">
        <v>176.95</v>
      </c>
      <c r="AF24" s="33">
        <v>192.73</v>
      </c>
      <c r="AG24" s="33">
        <v>165.94</v>
      </c>
      <c r="AH24" s="33">
        <v>162.55</v>
      </c>
      <c r="AI24" s="32"/>
      <c r="AJ24" s="34">
        <f>SUM(E24:AI24)</f>
      </c>
      <c r="AK24" s="35"/>
    </row>
    <row r="25" ht="12.75" customHeight="1" spans="2:37" x14ac:dyDescent="0.25">
      <c r="B25" s="30" t="s">
        <v>42</v>
      </c>
      <c r="C25" s="31" t="s">
        <v>3</v>
      </c>
      <c r="D25" s="32" t="s">
        <v>2866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>
        <v>56.41</v>
      </c>
      <c r="U25" s="33">
        <v>88.43</v>
      </c>
      <c r="V25" s="33">
        <v>77.97</v>
      </c>
      <c r="W25" s="33">
        <v>60.7</v>
      </c>
      <c r="X25" s="33">
        <v>16.41</v>
      </c>
      <c r="Y25" s="33">
        <v>16.41</v>
      </c>
      <c r="Z25" s="33">
        <v>16.41</v>
      </c>
      <c r="AA25" s="33">
        <v>16.41</v>
      </c>
      <c r="AB25" s="33">
        <v>186.98</v>
      </c>
      <c r="AC25" s="32"/>
      <c r="AD25" s="32"/>
      <c r="AE25" s="32"/>
      <c r="AF25" s="32"/>
      <c r="AG25" s="32"/>
      <c r="AH25" s="32"/>
      <c r="AI25" s="32"/>
      <c r="AJ25" s="34">
        <f>SUM(E25:AI25)</f>
      </c>
      <c r="AK25" s="35"/>
    </row>
    <row r="26" ht="12.75" customHeight="1" spans="2:37" x14ac:dyDescent="0.25">
      <c r="B26" s="30" t="s">
        <v>42</v>
      </c>
      <c r="C26" s="31" t="s">
        <v>3</v>
      </c>
      <c r="D26" s="32" t="s">
        <v>2867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>
        <v>16.41</v>
      </c>
      <c r="U26" s="33">
        <v>20.22</v>
      </c>
      <c r="V26" s="33">
        <v>60.61</v>
      </c>
      <c r="W26" s="33">
        <v>16.41</v>
      </c>
      <c r="X26" s="33">
        <v>16.41</v>
      </c>
      <c r="Y26" s="33">
        <v>16.41</v>
      </c>
      <c r="Z26" s="33">
        <v>16.41</v>
      </c>
      <c r="AA26" s="33">
        <v>16.41</v>
      </c>
      <c r="AB26" s="33">
        <v>16.41</v>
      </c>
      <c r="AC26" s="33">
        <v>16.41</v>
      </c>
      <c r="AD26" s="33">
        <v>16.25</v>
      </c>
      <c r="AE26" s="33">
        <v>16.25</v>
      </c>
      <c r="AF26" s="33">
        <v>16.25</v>
      </c>
      <c r="AG26" s="33">
        <v>33.55</v>
      </c>
      <c r="AH26" s="33">
        <v>52.55</v>
      </c>
      <c r="AI26" s="32"/>
      <c r="AJ26" s="34">
        <f>SUM(E26:AI26)</f>
      </c>
      <c r="AK26" s="35"/>
    </row>
    <row r="27" ht="12.75" customHeight="1" spans="2:37" x14ac:dyDescent="0.25">
      <c r="B27" s="30" t="s">
        <v>42</v>
      </c>
      <c r="C27" s="31" t="s">
        <v>3</v>
      </c>
      <c r="D27" s="32" t="s">
        <v>2868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3">
        <v>61.55</v>
      </c>
      <c r="AI27" s="32"/>
      <c r="AJ27" s="34">
        <f>SUM(E27:AI27)</f>
      </c>
      <c r="AK27" s="35"/>
    </row>
    <row r="28" ht="12.75" customHeight="1" spans="2:37" x14ac:dyDescent="0.25">
      <c r="B28" s="30" t="s">
        <v>42</v>
      </c>
      <c r="C28" s="31" t="s">
        <v>3</v>
      </c>
      <c r="D28" s="32" t="s">
        <v>2869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>
        <v>130.4</v>
      </c>
      <c r="U28" s="33">
        <v>145.95</v>
      </c>
      <c r="V28" s="33">
        <v>116.17</v>
      </c>
      <c r="W28" s="33">
        <v>100.19</v>
      </c>
      <c r="X28" s="33">
        <v>59.99</v>
      </c>
      <c r="Y28" s="33">
        <v>28.8</v>
      </c>
      <c r="Z28" s="33">
        <v>16.41</v>
      </c>
      <c r="AA28" s="33">
        <v>16.41</v>
      </c>
      <c r="AB28" s="33">
        <v>16.41</v>
      </c>
      <c r="AC28" s="33">
        <v>16.41</v>
      </c>
      <c r="AD28" s="33">
        <v>16.25</v>
      </c>
      <c r="AE28" s="33">
        <v>87.04</v>
      </c>
      <c r="AF28" s="33">
        <v>223.33</v>
      </c>
      <c r="AG28" s="33">
        <v>211.03</v>
      </c>
      <c r="AH28" s="33">
        <v>85.23</v>
      </c>
      <c r="AI28" s="32"/>
      <c r="AJ28" s="34">
        <f>SUM(E28:AI28)</f>
      </c>
      <c r="AK28" s="35"/>
    </row>
    <row r="29" ht="12.75" customHeight="1" spans="2:37" x14ac:dyDescent="0.25">
      <c r="B29" s="30" t="s">
        <v>42</v>
      </c>
      <c r="C29" s="31" t="s">
        <v>3</v>
      </c>
      <c r="D29" s="32" t="s">
        <v>2870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>
        <v>38.04</v>
      </c>
      <c r="U29" s="33">
        <v>34.86</v>
      </c>
      <c r="V29" s="33">
        <v>31.52</v>
      </c>
      <c r="W29" s="33">
        <v>30.09</v>
      </c>
      <c r="X29" s="33">
        <v>31.98</v>
      </c>
      <c r="Y29" s="33">
        <v>16.99</v>
      </c>
      <c r="Z29" s="33">
        <v>25.88</v>
      </c>
      <c r="AA29" s="33">
        <v>16.41</v>
      </c>
      <c r="AB29" s="33">
        <v>16.41</v>
      </c>
      <c r="AC29" s="33">
        <v>17.31</v>
      </c>
      <c r="AD29" s="33">
        <v>16.25</v>
      </c>
      <c r="AE29" s="33">
        <v>17.98</v>
      </c>
      <c r="AF29" s="33">
        <v>26.97</v>
      </c>
      <c r="AG29" s="33">
        <v>16.25</v>
      </c>
      <c r="AH29" s="33">
        <v>42.81</v>
      </c>
      <c r="AI29" s="32"/>
      <c r="AJ29" s="34">
        <f>SUM(E29:AI29)</f>
      </c>
      <c r="AK29" s="35"/>
    </row>
    <row r="30" ht="12.75" customHeight="1" spans="2:37" x14ac:dyDescent="0.25">
      <c r="B30" s="30" t="s">
        <v>42</v>
      </c>
      <c r="C30" s="31" t="s">
        <v>3</v>
      </c>
      <c r="D30" s="32" t="s">
        <v>2871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>
        <v>25.14</v>
      </c>
      <c r="U30" s="33">
        <v>159.74</v>
      </c>
      <c r="V30" s="33">
        <v>153.55</v>
      </c>
      <c r="W30" s="33">
        <v>153.49</v>
      </c>
      <c r="X30" s="33">
        <v>23.05</v>
      </c>
      <c r="Y30" s="33">
        <v>18.25</v>
      </c>
      <c r="Z30" s="33">
        <v>16.41</v>
      </c>
      <c r="AA30" s="33">
        <v>16.41</v>
      </c>
      <c r="AB30" s="33">
        <v>16.41</v>
      </c>
      <c r="AC30" s="33">
        <v>16.41</v>
      </c>
      <c r="AD30" s="33">
        <v>16.28</v>
      </c>
      <c r="AE30" s="33">
        <v>23.04</v>
      </c>
      <c r="AF30" s="33">
        <v>45.53</v>
      </c>
      <c r="AG30" s="33">
        <v>161.19</v>
      </c>
      <c r="AH30" s="33">
        <v>141.95</v>
      </c>
      <c r="AI30" s="32"/>
      <c r="AJ30" s="34">
        <f>SUM(E30:AI30)</f>
      </c>
      <c r="AK30" s="35"/>
    </row>
    <row r="31" ht="12.75" customHeight="1" spans="2:37" x14ac:dyDescent="0.25">
      <c r="B31" s="30" t="s">
        <v>42</v>
      </c>
      <c r="C31" s="31" t="s">
        <v>3</v>
      </c>
      <c r="D31" s="32" t="s">
        <v>2872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>
        <v>30.53</v>
      </c>
      <c r="U31" s="33">
        <v>120.03</v>
      </c>
      <c r="V31" s="33">
        <v>83.23</v>
      </c>
      <c r="W31" s="33">
        <v>153.81</v>
      </c>
      <c r="X31" s="33">
        <v>35.07</v>
      </c>
      <c r="Y31" s="33">
        <v>26.93</v>
      </c>
      <c r="Z31" s="33">
        <v>16.41</v>
      </c>
      <c r="AA31" s="33">
        <v>16.41</v>
      </c>
      <c r="AB31" s="33">
        <v>16.41</v>
      </c>
      <c r="AC31" s="33">
        <v>16.41</v>
      </c>
      <c r="AD31" s="33">
        <v>22.54</v>
      </c>
      <c r="AE31" s="33">
        <v>37.04</v>
      </c>
      <c r="AF31" s="33">
        <v>16.25</v>
      </c>
      <c r="AG31" s="33">
        <v>59.53</v>
      </c>
      <c r="AH31" s="33">
        <v>68.53</v>
      </c>
      <c r="AI31" s="32"/>
      <c r="AJ31" s="34">
        <f>SUM(E31:AI31)</f>
      </c>
      <c r="AK31" s="35"/>
    </row>
    <row r="32" ht="12.75" customHeight="1" spans="2:37" x14ac:dyDescent="0.25">
      <c r="B32" s="30" t="s">
        <v>42</v>
      </c>
      <c r="C32" s="31" t="s">
        <v>3</v>
      </c>
      <c r="D32" s="32" t="s">
        <v>2873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>
        <v>16.41</v>
      </c>
      <c r="U32" s="33">
        <v>37.35</v>
      </c>
      <c r="V32" s="33">
        <v>39.57</v>
      </c>
      <c r="W32" s="33">
        <v>41.02</v>
      </c>
      <c r="X32" s="33">
        <v>18.19</v>
      </c>
      <c r="Y32" s="33">
        <v>16.41</v>
      </c>
      <c r="Z32" s="33">
        <v>16.41</v>
      </c>
      <c r="AA32" s="33">
        <v>16.41</v>
      </c>
      <c r="AB32" s="33">
        <v>16.41</v>
      </c>
      <c r="AC32" s="33">
        <v>16.41</v>
      </c>
      <c r="AD32" s="33">
        <v>16.25</v>
      </c>
      <c r="AE32" s="33">
        <v>16.25</v>
      </c>
      <c r="AF32" s="33">
        <v>25.97</v>
      </c>
      <c r="AG32" s="33">
        <v>59.71</v>
      </c>
      <c r="AH32" s="33">
        <v>36.85</v>
      </c>
      <c r="AI32" s="32"/>
      <c r="AJ32" s="34">
        <f>SUM(E32:AI32)</f>
      </c>
      <c r="AK32" s="35"/>
    </row>
    <row r="33" ht="12.75" customHeight="1" spans="2:37" x14ac:dyDescent="0.25">
      <c r="B33" s="30" t="s">
        <v>42</v>
      </c>
      <c r="C33" s="31" t="s">
        <v>3</v>
      </c>
      <c r="D33" s="32" t="s">
        <v>2874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>
        <v>59.99</v>
      </c>
      <c r="U33" s="33">
        <v>69.38</v>
      </c>
      <c r="V33" s="33">
        <v>62.12</v>
      </c>
      <c r="W33" s="33">
        <v>20.11</v>
      </c>
      <c r="X33" s="33">
        <v>16.41</v>
      </c>
      <c r="Y33" s="33">
        <v>16.41</v>
      </c>
      <c r="Z33" s="33">
        <v>16.41</v>
      </c>
      <c r="AA33" s="33">
        <v>16.41</v>
      </c>
      <c r="AB33" s="33">
        <v>16.41</v>
      </c>
      <c r="AC33" s="33">
        <v>16.41</v>
      </c>
      <c r="AD33" s="33">
        <v>16.25</v>
      </c>
      <c r="AE33" s="33">
        <v>16.25</v>
      </c>
      <c r="AF33" s="33">
        <v>75.82</v>
      </c>
      <c r="AG33" s="33">
        <v>64.6</v>
      </c>
      <c r="AH33" s="33">
        <v>83.28</v>
      </c>
      <c r="AI33" s="32"/>
      <c r="AJ33" s="34">
        <f>SUM(E33:AI33)</f>
      </c>
      <c r="AK33" s="35"/>
    </row>
    <row r="34" ht="12.75" customHeight="1" spans="2:37" x14ac:dyDescent="0.25">
      <c r="B34" s="30" t="s">
        <v>42</v>
      </c>
      <c r="C34" s="31" t="s">
        <v>3</v>
      </c>
      <c r="D34" s="32" t="s">
        <v>2875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>
        <v>160.9</v>
      </c>
      <c r="U34" s="33">
        <v>183.16</v>
      </c>
      <c r="V34" s="33">
        <v>120.5</v>
      </c>
      <c r="W34" s="33">
        <v>119.63</v>
      </c>
      <c r="X34" s="33">
        <v>16.75</v>
      </c>
      <c r="Y34" s="33">
        <v>16.41</v>
      </c>
      <c r="Z34" s="33">
        <v>16.41</v>
      </c>
      <c r="AA34" s="33">
        <v>16.41</v>
      </c>
      <c r="AB34" s="33">
        <v>16.41</v>
      </c>
      <c r="AC34" s="33">
        <v>16.41</v>
      </c>
      <c r="AD34" s="33">
        <v>18.13</v>
      </c>
      <c r="AE34" s="33">
        <v>107.34</v>
      </c>
      <c r="AF34" s="33">
        <v>157.92</v>
      </c>
      <c r="AG34" s="33">
        <v>152.51</v>
      </c>
      <c r="AH34" s="33">
        <v>119.82</v>
      </c>
      <c r="AI34" s="32"/>
      <c r="AJ34" s="34">
        <f>SUM(E34:AI34)</f>
      </c>
      <c r="AK34" s="35"/>
    </row>
    <row r="35" ht="12.75" customHeight="1" spans="2:37" x14ac:dyDescent="0.25">
      <c r="B35" s="30" t="s">
        <v>42</v>
      </c>
      <c r="C35" s="31" t="s">
        <v>3</v>
      </c>
      <c r="D35" s="32" t="s">
        <v>2876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>
        <v>84.97</v>
      </c>
      <c r="U35" s="33">
        <v>75.6</v>
      </c>
      <c r="V35" s="33">
        <v>77.28</v>
      </c>
      <c r="W35" s="33">
        <v>74.5</v>
      </c>
      <c r="X35" s="33">
        <v>82.85</v>
      </c>
      <c r="Y35" s="33">
        <v>29.2</v>
      </c>
      <c r="Z35" s="33">
        <v>16.41</v>
      </c>
      <c r="AA35" s="33">
        <v>16.41</v>
      </c>
      <c r="AB35" s="33">
        <v>16.41</v>
      </c>
      <c r="AC35" s="33">
        <v>16.41</v>
      </c>
      <c r="AD35" s="33">
        <v>16.26</v>
      </c>
      <c r="AE35" s="33">
        <v>87.95</v>
      </c>
      <c r="AF35" s="33">
        <v>171.59</v>
      </c>
      <c r="AG35" s="33">
        <v>171.17</v>
      </c>
      <c r="AH35" s="33">
        <v>142.83</v>
      </c>
      <c r="AI35" s="32"/>
      <c r="AJ35" s="34">
        <f>SUM(E35:AI35)</f>
      </c>
      <c r="AK35" s="35"/>
    </row>
    <row r="36" ht="12.75" customHeight="1" spans="2:37" x14ac:dyDescent="0.25">
      <c r="B36" s="30" t="s">
        <v>42</v>
      </c>
      <c r="C36" s="31" t="s">
        <v>3</v>
      </c>
      <c r="D36" s="32" t="s">
        <v>2877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>
        <v>22.98</v>
      </c>
      <c r="U36" s="33">
        <v>52.83</v>
      </c>
      <c r="V36" s="33">
        <v>53.78</v>
      </c>
      <c r="W36" s="33">
        <v>78.61</v>
      </c>
      <c r="X36" s="33">
        <v>23.44</v>
      </c>
      <c r="Y36" s="33">
        <v>16.41</v>
      </c>
      <c r="Z36" s="33">
        <v>16.41</v>
      </c>
      <c r="AA36" s="33">
        <v>16.41</v>
      </c>
      <c r="AB36" s="33">
        <v>16.41</v>
      </c>
      <c r="AC36" s="33">
        <v>16.41</v>
      </c>
      <c r="AD36" s="33">
        <v>16.25</v>
      </c>
      <c r="AE36" s="33">
        <v>16.25</v>
      </c>
      <c r="AF36" s="33">
        <v>16.25</v>
      </c>
      <c r="AG36" s="33">
        <v>17.22</v>
      </c>
      <c r="AH36" s="33">
        <v>71.55</v>
      </c>
      <c r="AI36" s="32"/>
      <c r="AJ36" s="34">
        <f>SUM(E36:AI36)</f>
      </c>
      <c r="AK36" s="35"/>
    </row>
    <row r="37" ht="12.75" customHeight="1" spans="2:37" x14ac:dyDescent="0.25">
      <c r="B37" s="30" t="s">
        <v>42</v>
      </c>
      <c r="C37" s="31" t="s">
        <v>3</v>
      </c>
      <c r="D37" s="32" t="s">
        <v>2878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>
        <v>16.41</v>
      </c>
      <c r="U37" s="33">
        <v>37.78</v>
      </c>
      <c r="V37" s="33">
        <v>36.23</v>
      </c>
      <c r="W37" s="33">
        <v>23.3</v>
      </c>
      <c r="X37" s="33">
        <v>16.41</v>
      </c>
      <c r="Y37" s="33">
        <v>16.41</v>
      </c>
      <c r="Z37" s="33">
        <v>16.41</v>
      </c>
      <c r="AA37" s="33">
        <v>16.41</v>
      </c>
      <c r="AB37" s="33">
        <v>16.41</v>
      </c>
      <c r="AC37" s="33">
        <v>16.41</v>
      </c>
      <c r="AD37" s="33">
        <v>59.64</v>
      </c>
      <c r="AE37" s="33">
        <v>88.21</v>
      </c>
      <c r="AF37" s="33">
        <v>63.28</v>
      </c>
      <c r="AG37" s="33">
        <v>63.09</v>
      </c>
      <c r="AH37" s="33">
        <v>86.22</v>
      </c>
      <c r="AI37" s="32"/>
      <c r="AJ37" s="34">
        <f>SUM(E37:AI37)</f>
      </c>
      <c r="AK37" s="35"/>
    </row>
    <row r="38" ht="12.75" customHeight="1" spans="2:37" x14ac:dyDescent="0.25">
      <c r="B38" s="30" t="s">
        <v>42</v>
      </c>
      <c r="C38" s="31" t="s">
        <v>3</v>
      </c>
      <c r="D38" s="32" t="s">
        <v>2879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>
        <v>66.13</v>
      </c>
      <c r="U38" s="33">
        <v>38.67</v>
      </c>
      <c r="V38" s="33">
        <v>61.78</v>
      </c>
      <c r="W38" s="33">
        <v>89.55</v>
      </c>
      <c r="X38" s="33">
        <v>25.09</v>
      </c>
      <c r="Y38" s="33">
        <v>17.07</v>
      </c>
      <c r="Z38" s="33">
        <v>16.41</v>
      </c>
      <c r="AA38" s="33">
        <v>16.41</v>
      </c>
      <c r="AB38" s="33">
        <v>16.41</v>
      </c>
      <c r="AC38" s="33">
        <v>16.41</v>
      </c>
      <c r="AD38" s="33">
        <v>16.25</v>
      </c>
      <c r="AE38" s="33">
        <v>61.31</v>
      </c>
      <c r="AF38" s="33">
        <v>170.09</v>
      </c>
      <c r="AG38" s="33">
        <v>152.63</v>
      </c>
      <c r="AH38" s="33">
        <v>161.99</v>
      </c>
      <c r="AI38" s="32"/>
      <c r="AJ38" s="34">
        <f>SUM(E38:AI38)</f>
      </c>
      <c r="AK38" s="35"/>
    </row>
    <row r="39" ht="12.75" customHeight="1" spans="2:37" x14ac:dyDescent="0.25">
      <c r="B39" s="30" t="s">
        <v>42</v>
      </c>
      <c r="C39" s="31" t="s">
        <v>3</v>
      </c>
      <c r="D39" s="32" t="s">
        <v>2880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>
        <v>77.04</v>
      </c>
      <c r="U39" s="33">
        <v>23.42</v>
      </c>
      <c r="V39" s="33">
        <v>57.35</v>
      </c>
      <c r="W39" s="33">
        <v>54.23</v>
      </c>
      <c r="X39" s="33">
        <v>19.03</v>
      </c>
      <c r="Y39" s="33">
        <v>16.41</v>
      </c>
      <c r="Z39" s="33">
        <v>16.41</v>
      </c>
      <c r="AA39" s="33">
        <v>16.41</v>
      </c>
      <c r="AB39" s="33">
        <v>16.41</v>
      </c>
      <c r="AC39" s="33">
        <v>16.41</v>
      </c>
      <c r="AD39" s="33">
        <v>16.25</v>
      </c>
      <c r="AE39" s="33">
        <v>16.25</v>
      </c>
      <c r="AF39" s="33">
        <v>16.25</v>
      </c>
      <c r="AG39" s="33">
        <v>38.59</v>
      </c>
      <c r="AH39" s="33">
        <v>54.42</v>
      </c>
      <c r="AI39" s="32"/>
      <c r="AJ39" s="34">
        <f>SUM(E39:AI39)</f>
      </c>
      <c r="AK39" s="35"/>
    </row>
    <row r="40" ht="12.75" customHeight="1" spans="2:37" x14ac:dyDescent="0.25">
      <c r="B40" s="30" t="s">
        <v>42</v>
      </c>
      <c r="C40" s="31" t="s">
        <v>3</v>
      </c>
      <c r="D40" s="32" t="s">
        <v>2881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>
        <v>65.44</v>
      </c>
      <c r="U40" s="33">
        <v>114.38</v>
      </c>
      <c r="V40" s="33">
        <v>87.98</v>
      </c>
      <c r="W40" s="33">
        <v>83.5</v>
      </c>
      <c r="X40" s="33">
        <v>16.9</v>
      </c>
      <c r="Y40" s="33">
        <v>16.41</v>
      </c>
      <c r="Z40" s="33">
        <v>16.41</v>
      </c>
      <c r="AA40" s="33">
        <v>16.41</v>
      </c>
      <c r="AB40" s="33">
        <v>16.41</v>
      </c>
      <c r="AC40" s="33">
        <v>51.74</v>
      </c>
      <c r="AD40" s="33">
        <v>23.22</v>
      </c>
      <c r="AE40" s="33">
        <v>18.82</v>
      </c>
      <c r="AF40" s="33">
        <v>69.09</v>
      </c>
      <c r="AG40" s="33">
        <v>57.78</v>
      </c>
      <c r="AH40" s="33">
        <v>86.81</v>
      </c>
      <c r="AI40" s="32"/>
      <c r="AJ40" s="34">
        <f>SUM(E40:AI40)</f>
      </c>
      <c r="AK40" s="35"/>
    </row>
    <row r="41" ht="12.75" customHeight="1" spans="2:37" x14ac:dyDescent="0.25">
      <c r="B41" s="30" t="s">
        <v>42</v>
      </c>
      <c r="C41" s="31" t="s">
        <v>3</v>
      </c>
      <c r="D41" s="32" t="s">
        <v>2882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3">
        <v>52.55</v>
      </c>
      <c r="AD41" s="33">
        <v>42.4</v>
      </c>
      <c r="AE41" s="33">
        <v>16.25</v>
      </c>
      <c r="AF41" s="33">
        <v>16.25</v>
      </c>
      <c r="AG41" s="33">
        <v>75.09</v>
      </c>
      <c r="AH41" s="33">
        <v>66.58</v>
      </c>
      <c r="AI41" s="32"/>
      <c r="AJ41" s="34">
        <f>SUM(E41:AI41)</f>
      </c>
      <c r="AK41" s="35"/>
    </row>
    <row r="42" ht="12.75" customHeight="1" spans="2:37" x14ac:dyDescent="0.25">
      <c r="B42" s="30" t="s">
        <v>42</v>
      </c>
      <c r="C42" s="31" t="s">
        <v>3</v>
      </c>
      <c r="D42" s="32" t="s">
        <v>2883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>
        <v>16.41</v>
      </c>
      <c r="U42" s="33">
        <v>97.98</v>
      </c>
      <c r="V42" s="33">
        <v>64.04</v>
      </c>
      <c r="W42" s="33">
        <v>71.48</v>
      </c>
      <c r="X42" s="33">
        <v>25.11</v>
      </c>
      <c r="Y42" s="33">
        <v>16.41</v>
      </c>
      <c r="Z42" s="33">
        <v>16.41</v>
      </c>
      <c r="AA42" s="33">
        <v>16.41</v>
      </c>
      <c r="AB42" s="33">
        <v>16.41</v>
      </c>
      <c r="AC42" s="33">
        <v>16.41</v>
      </c>
      <c r="AD42" s="33">
        <v>16.25</v>
      </c>
      <c r="AE42" s="33">
        <v>16.25</v>
      </c>
      <c r="AF42" s="33">
        <v>42.59</v>
      </c>
      <c r="AG42" s="33">
        <v>61.56</v>
      </c>
      <c r="AH42" s="33">
        <v>54.63</v>
      </c>
      <c r="AI42" s="32"/>
      <c r="AJ42" s="34">
        <f>SUM(E42:AI42)</f>
      </c>
      <c r="AK42" s="35"/>
    </row>
    <row r="43" ht="12.75" customHeight="1" spans="2:37" x14ac:dyDescent="0.25">
      <c r="B43" s="30" t="s">
        <v>42</v>
      </c>
      <c r="C43" s="31" t="s">
        <v>3</v>
      </c>
      <c r="D43" s="32" t="s">
        <v>2884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>
        <v>22.86</v>
      </c>
      <c r="U43" s="33">
        <v>116.13</v>
      </c>
      <c r="V43" s="33">
        <v>118.49</v>
      </c>
      <c r="W43" s="33">
        <v>128.9</v>
      </c>
      <c r="X43" s="33">
        <v>151.19</v>
      </c>
      <c r="Y43" s="33">
        <v>41.62</v>
      </c>
      <c r="Z43" s="33">
        <v>21.86</v>
      </c>
      <c r="AA43" s="33">
        <v>22.44</v>
      </c>
      <c r="AB43" s="33">
        <v>21.92</v>
      </c>
      <c r="AC43" s="33">
        <v>22.05</v>
      </c>
      <c r="AD43" s="33">
        <v>21.51</v>
      </c>
      <c r="AE43" s="33">
        <v>90.97</v>
      </c>
      <c r="AF43" s="33">
        <v>121.32</v>
      </c>
      <c r="AG43" s="33">
        <v>31.9</v>
      </c>
      <c r="AH43" s="33">
        <v>34.77</v>
      </c>
      <c r="AI43" s="32"/>
      <c r="AJ43" s="34">
        <f>SUM(E43:AI43)</f>
      </c>
      <c r="AK43" s="35"/>
    </row>
    <row r="44" ht="12.75" customHeight="1" spans="2:37" x14ac:dyDescent="0.25">
      <c r="B44" s="30" t="s">
        <v>42</v>
      </c>
      <c r="C44" s="31" t="s">
        <v>3</v>
      </c>
      <c r="D44" s="32" t="s">
        <v>2885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>
        <v>39.33</v>
      </c>
      <c r="U44" s="33">
        <v>34.81</v>
      </c>
      <c r="V44" s="33">
        <v>77.54</v>
      </c>
      <c r="W44" s="33">
        <v>41.23</v>
      </c>
      <c r="X44" s="33">
        <v>16.41</v>
      </c>
      <c r="Y44" s="33">
        <v>16.41</v>
      </c>
      <c r="Z44" s="33">
        <v>16.41</v>
      </c>
      <c r="AA44" s="33">
        <v>16.41</v>
      </c>
      <c r="AB44" s="33">
        <v>16.41</v>
      </c>
      <c r="AC44" s="33">
        <v>16.41</v>
      </c>
      <c r="AD44" s="33">
        <v>16.25</v>
      </c>
      <c r="AE44" s="33">
        <v>16.25</v>
      </c>
      <c r="AF44" s="33">
        <v>16.25</v>
      </c>
      <c r="AG44" s="33">
        <v>50.11</v>
      </c>
      <c r="AH44" s="33">
        <v>42.68</v>
      </c>
      <c r="AI44" s="32"/>
      <c r="AJ44" s="34">
        <f>SUM(E44:AI44)</f>
      </c>
      <c r="AK44" s="35"/>
    </row>
    <row r="45" ht="12.75" customHeight="1" spans="2:37" x14ac:dyDescent="0.25">
      <c r="B45" s="30" t="s">
        <v>42</v>
      </c>
      <c r="C45" s="31" t="s">
        <v>3</v>
      </c>
      <c r="D45" s="32" t="s">
        <v>2886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>
        <v>94.74</v>
      </c>
      <c r="U45" s="33">
        <v>93.18</v>
      </c>
      <c r="V45" s="33">
        <v>79.39</v>
      </c>
      <c r="W45" s="33">
        <v>75.56</v>
      </c>
      <c r="X45" s="33">
        <v>19.67</v>
      </c>
      <c r="Y45" s="33">
        <v>16.41</v>
      </c>
      <c r="Z45" s="33">
        <v>16.41</v>
      </c>
      <c r="AA45" s="33">
        <v>16.41</v>
      </c>
      <c r="AB45" s="33">
        <v>16.41</v>
      </c>
      <c r="AC45" s="33">
        <v>16.41</v>
      </c>
      <c r="AD45" s="33">
        <v>16.25</v>
      </c>
      <c r="AE45" s="33">
        <v>22.49</v>
      </c>
      <c r="AF45" s="33">
        <v>103.68</v>
      </c>
      <c r="AG45" s="33">
        <v>80.19</v>
      </c>
      <c r="AH45" s="33">
        <v>84.02</v>
      </c>
      <c r="AI45" s="32"/>
      <c r="AJ45" s="34">
        <f>SUM(E45:AI45)</f>
      </c>
      <c r="AK45" s="35"/>
    </row>
    <row r="46" ht="12.75" customHeight="1" spans="2:37" x14ac:dyDescent="0.25">
      <c r="B46" s="30" t="s">
        <v>42</v>
      </c>
      <c r="C46" s="31" t="s">
        <v>3</v>
      </c>
      <c r="D46" s="32" t="s">
        <v>2887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>
        <v>16.41</v>
      </c>
      <c r="U46" s="33">
        <v>21.04</v>
      </c>
      <c r="V46" s="33">
        <v>49.04</v>
      </c>
      <c r="W46" s="33">
        <v>53.92</v>
      </c>
      <c r="X46" s="33">
        <v>30.96</v>
      </c>
      <c r="Y46" s="33">
        <v>20.92</v>
      </c>
      <c r="Z46" s="33">
        <v>16.41</v>
      </c>
      <c r="AA46" s="33">
        <v>16.41</v>
      </c>
      <c r="AB46" s="33">
        <v>16.41</v>
      </c>
      <c r="AC46" s="33">
        <v>16.41</v>
      </c>
      <c r="AD46" s="33">
        <v>16.25</v>
      </c>
      <c r="AE46" s="33">
        <v>16.25</v>
      </c>
      <c r="AF46" s="33">
        <v>16.25</v>
      </c>
      <c r="AG46" s="33">
        <v>16.25</v>
      </c>
      <c r="AH46" s="33">
        <v>75.12</v>
      </c>
      <c r="AI46" s="32"/>
      <c r="AJ46" s="34">
        <f>SUM(E46:AI46)</f>
      </c>
      <c r="AK46" s="35"/>
    </row>
    <row r="47" ht="12.75" customHeight="1" spans="2:37" x14ac:dyDescent="0.25">
      <c r="B47" s="30" t="s">
        <v>42</v>
      </c>
      <c r="C47" s="31" t="s">
        <v>3</v>
      </c>
      <c r="D47" s="32" t="s">
        <v>2888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>
        <v>25.6</v>
      </c>
      <c r="U47" s="33">
        <v>35.15</v>
      </c>
      <c r="V47" s="33">
        <v>47.68</v>
      </c>
      <c r="W47" s="33">
        <v>56.09</v>
      </c>
      <c r="X47" s="33">
        <v>27.18</v>
      </c>
      <c r="Y47" s="33">
        <v>16.41</v>
      </c>
      <c r="Z47" s="33">
        <v>16.41</v>
      </c>
      <c r="AA47" s="33">
        <v>16.41</v>
      </c>
      <c r="AB47" s="33">
        <v>16.41</v>
      </c>
      <c r="AC47" s="33">
        <v>16.41</v>
      </c>
      <c r="AD47" s="33">
        <v>16.25</v>
      </c>
      <c r="AE47" s="33">
        <v>16.25</v>
      </c>
      <c r="AF47" s="33">
        <v>45.48</v>
      </c>
      <c r="AG47" s="33">
        <v>36.72</v>
      </c>
      <c r="AH47" s="33">
        <v>49.27</v>
      </c>
      <c r="AI47" s="32"/>
      <c r="AJ47" s="34">
        <f>SUM(E47:AI47)</f>
      </c>
      <c r="AK47" s="35"/>
    </row>
    <row r="48" ht="12.75" customHeight="1" spans="2:37" x14ac:dyDescent="0.25">
      <c r="B48" s="30" t="s">
        <v>42</v>
      </c>
      <c r="C48" s="31" t="s">
        <v>3</v>
      </c>
      <c r="D48" s="32" t="s">
        <v>2889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>
        <v>20.36</v>
      </c>
      <c r="U48" s="33">
        <v>166.9</v>
      </c>
      <c r="V48" s="33">
        <v>57.01</v>
      </c>
      <c r="W48" s="33">
        <v>67.24</v>
      </c>
      <c r="X48" s="33">
        <v>102.71</v>
      </c>
      <c r="Y48" s="33">
        <v>125.59</v>
      </c>
      <c r="Z48" s="33">
        <v>188.69</v>
      </c>
      <c r="AA48" s="33">
        <v>225.72</v>
      </c>
      <c r="AB48" s="33">
        <v>16.41</v>
      </c>
      <c r="AC48" s="33">
        <v>33.5</v>
      </c>
      <c r="AD48" s="33">
        <v>31.6</v>
      </c>
      <c r="AE48" s="33">
        <v>16.25</v>
      </c>
      <c r="AF48" s="33">
        <v>46.85</v>
      </c>
      <c r="AG48" s="33">
        <v>34.15</v>
      </c>
      <c r="AH48" s="33">
        <v>51.2</v>
      </c>
      <c r="AI48" s="32"/>
      <c r="AJ48" s="34">
        <f>SUM(E48:AI48)</f>
      </c>
      <c r="AK48" s="35"/>
    </row>
    <row r="49" ht="12.75" customHeight="1" spans="2:37" x14ac:dyDescent="0.25">
      <c r="B49" s="30" t="s">
        <v>42</v>
      </c>
      <c r="C49" s="31" t="s">
        <v>3</v>
      </c>
      <c r="D49" s="32" t="s">
        <v>2890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>
        <v>83.76</v>
      </c>
      <c r="U49" s="33">
        <v>46.85</v>
      </c>
      <c r="V49" s="33">
        <v>130.07</v>
      </c>
      <c r="W49" s="33">
        <v>144.24</v>
      </c>
      <c r="X49" s="33">
        <v>27.51</v>
      </c>
      <c r="Y49" s="33">
        <v>16.43</v>
      </c>
      <c r="Z49" s="33">
        <v>16.41</v>
      </c>
      <c r="AA49" s="33">
        <v>16.47</v>
      </c>
      <c r="AB49" s="33">
        <v>16.41</v>
      </c>
      <c r="AC49" s="33">
        <v>16.41</v>
      </c>
      <c r="AD49" s="33">
        <v>28.25</v>
      </c>
      <c r="AE49" s="33">
        <v>21.49</v>
      </c>
      <c r="AF49" s="33">
        <v>54.11</v>
      </c>
      <c r="AG49" s="33">
        <v>48.99</v>
      </c>
      <c r="AH49" s="33">
        <v>76.31</v>
      </c>
      <c r="AI49" s="32"/>
      <c r="AJ49" s="34">
        <f>SUM(E49:AI49)</f>
      </c>
      <c r="AK49" s="35"/>
    </row>
    <row r="50" ht="12.75" customHeight="1" spans="2:37" x14ac:dyDescent="0.25">
      <c r="B50" s="30" t="s">
        <v>42</v>
      </c>
      <c r="C50" s="31" t="s">
        <v>3</v>
      </c>
      <c r="D50" s="32" t="s">
        <v>2891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>
        <v>54.11</v>
      </c>
      <c r="U50" s="33">
        <v>112.98</v>
      </c>
      <c r="V50" s="33">
        <v>59.94</v>
      </c>
      <c r="W50" s="33">
        <v>62.75</v>
      </c>
      <c r="X50" s="33">
        <v>101.02</v>
      </c>
      <c r="Y50" s="33">
        <v>139.95</v>
      </c>
      <c r="Z50" s="33">
        <v>42.14</v>
      </c>
      <c r="AA50" s="33">
        <v>16.41</v>
      </c>
      <c r="AB50" s="33">
        <v>16.41</v>
      </c>
      <c r="AC50" s="33">
        <v>16.41</v>
      </c>
      <c r="AD50" s="33">
        <v>16.25</v>
      </c>
      <c r="AE50" s="33">
        <v>29.63</v>
      </c>
      <c r="AF50" s="33">
        <v>97.29</v>
      </c>
      <c r="AG50" s="33">
        <v>97.22</v>
      </c>
      <c r="AH50" s="33">
        <v>81.26</v>
      </c>
      <c r="AI50" s="32"/>
      <c r="AJ50" s="34">
        <f>SUM(E50:AI50)</f>
      </c>
      <c r="AK50" s="35"/>
    </row>
    <row r="51" ht="12.75" customHeight="1" spans="2:37" x14ac:dyDescent="0.25">
      <c r="B51" s="30" t="s">
        <v>42</v>
      </c>
      <c r="C51" s="31" t="s">
        <v>3</v>
      </c>
      <c r="D51" s="32" t="s">
        <v>2892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>
        <v>16.41</v>
      </c>
      <c r="U51" s="33">
        <v>103.37</v>
      </c>
      <c r="V51" s="33">
        <v>71.07</v>
      </c>
      <c r="W51" s="33">
        <v>74.35</v>
      </c>
      <c r="X51" s="33">
        <v>25.75</v>
      </c>
      <c r="Y51" s="33">
        <v>16.41</v>
      </c>
      <c r="Z51" s="33">
        <v>16.41</v>
      </c>
      <c r="AA51" s="33">
        <v>16.41</v>
      </c>
      <c r="AB51" s="33">
        <v>16.41</v>
      </c>
      <c r="AC51" s="33">
        <v>16.41</v>
      </c>
      <c r="AD51" s="33">
        <v>16.25</v>
      </c>
      <c r="AE51" s="33">
        <v>16.25</v>
      </c>
      <c r="AF51" s="33">
        <v>23.63</v>
      </c>
      <c r="AG51" s="33">
        <v>61.03</v>
      </c>
      <c r="AH51" s="33">
        <v>88.36</v>
      </c>
      <c r="AI51" s="32"/>
      <c r="AJ51" s="34">
        <f>SUM(E51:AI51)</f>
      </c>
      <c r="AK51" s="35"/>
    </row>
    <row r="52" ht="12.75" customHeight="1" spans="2:37" x14ac:dyDescent="0.25">
      <c r="B52" s="30" t="s">
        <v>42</v>
      </c>
      <c r="C52" s="31" t="s">
        <v>3</v>
      </c>
      <c r="D52" s="32" t="s">
        <v>2893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>
        <v>169.56</v>
      </c>
      <c r="U52" s="33">
        <v>134.52</v>
      </c>
      <c r="V52" s="33">
        <v>123.02</v>
      </c>
      <c r="W52" s="33">
        <v>131.61</v>
      </c>
      <c r="X52" s="33">
        <v>16.41</v>
      </c>
      <c r="Y52" s="33">
        <v>16.41</v>
      </c>
      <c r="Z52" s="33">
        <v>16.41</v>
      </c>
      <c r="AA52" s="33">
        <v>16.41</v>
      </c>
      <c r="AB52" s="33">
        <v>16.41</v>
      </c>
      <c r="AC52" s="33">
        <v>16.41</v>
      </c>
      <c r="AD52" s="33">
        <v>16.25</v>
      </c>
      <c r="AE52" s="33">
        <v>16.25</v>
      </c>
      <c r="AF52" s="33">
        <v>16.25</v>
      </c>
      <c r="AG52" s="33">
        <v>49.86</v>
      </c>
      <c r="AH52" s="33">
        <v>63.57</v>
      </c>
      <c r="AI52" s="32"/>
      <c r="AJ52" s="34">
        <f>SUM(E52:AI52)</f>
      </c>
      <c r="AK52" s="35"/>
    </row>
    <row r="53" ht="12.75" customHeight="1" spans="2:37" x14ac:dyDescent="0.25">
      <c r="B53" s="30" t="s">
        <v>42</v>
      </c>
      <c r="C53" s="31" t="s">
        <v>3</v>
      </c>
      <c r="D53" s="32" t="s">
        <v>2894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>
        <v>168.44</v>
      </c>
      <c r="U53" s="33">
        <v>126.93</v>
      </c>
      <c r="V53" s="33">
        <v>147.84</v>
      </c>
      <c r="W53" s="33">
        <v>35.26</v>
      </c>
      <c r="X53" s="33">
        <v>16.41</v>
      </c>
      <c r="Y53" s="33">
        <v>16.41</v>
      </c>
      <c r="Z53" s="33">
        <v>16.41</v>
      </c>
      <c r="AA53" s="33">
        <v>16.41</v>
      </c>
      <c r="AB53" s="33">
        <v>16.41</v>
      </c>
      <c r="AC53" s="33">
        <v>16.41</v>
      </c>
      <c r="AD53" s="33">
        <v>16.25</v>
      </c>
      <c r="AE53" s="33">
        <v>16.25</v>
      </c>
      <c r="AF53" s="33">
        <v>16.25</v>
      </c>
      <c r="AG53" s="33">
        <v>86.65</v>
      </c>
      <c r="AH53" s="33">
        <v>84.55</v>
      </c>
      <c r="AI53" s="32"/>
      <c r="AJ53" s="34">
        <f>SUM(E53:AI53)</f>
      </c>
      <c r="AK53" s="35"/>
    </row>
    <row r="54" ht="12.75" customHeight="1" spans="2:37" x14ac:dyDescent="0.25">
      <c r="B54" s="30" t="s">
        <v>42</v>
      </c>
      <c r="C54" s="31" t="s">
        <v>3</v>
      </c>
      <c r="D54" s="32" t="s">
        <v>2895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>
        <v>65.23</v>
      </c>
      <c r="U54" s="33">
        <v>68.57</v>
      </c>
      <c r="V54" s="33">
        <v>42.48</v>
      </c>
      <c r="W54" s="33">
        <v>52.54</v>
      </c>
      <c r="X54" s="33">
        <v>24.64</v>
      </c>
      <c r="Y54" s="33">
        <v>16.41</v>
      </c>
      <c r="Z54" s="33">
        <v>16.41</v>
      </c>
      <c r="AA54" s="33">
        <v>16.41</v>
      </c>
      <c r="AB54" s="33">
        <v>16.41</v>
      </c>
      <c r="AC54" s="33">
        <v>16.41</v>
      </c>
      <c r="AD54" s="33">
        <v>16.25</v>
      </c>
      <c r="AE54" s="33">
        <v>34.75</v>
      </c>
      <c r="AF54" s="33">
        <v>36.26</v>
      </c>
      <c r="AG54" s="33">
        <v>22.9</v>
      </c>
      <c r="AH54" s="33">
        <v>38.62</v>
      </c>
      <c r="AI54" s="32"/>
      <c r="AJ54" s="34">
        <f>SUM(E54:AI54)</f>
      </c>
      <c r="AK54" s="35"/>
    </row>
    <row r="55" ht="12.75" customHeight="1" spans="2:37" x14ac:dyDescent="0.25">
      <c r="B55" s="30" t="s">
        <v>42</v>
      </c>
      <c r="C55" s="31" t="s">
        <v>3</v>
      </c>
      <c r="D55" s="32" t="s">
        <v>2896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>
        <v>64.98</v>
      </c>
      <c r="U55" s="33">
        <v>57.31</v>
      </c>
      <c r="V55" s="33">
        <v>57.55</v>
      </c>
      <c r="W55" s="33">
        <v>65.9</v>
      </c>
      <c r="X55" s="33">
        <v>28.42</v>
      </c>
      <c r="Y55" s="33">
        <v>16.41</v>
      </c>
      <c r="Z55" s="33">
        <v>16.41</v>
      </c>
      <c r="AA55" s="33">
        <v>16.41</v>
      </c>
      <c r="AB55" s="33">
        <v>16.41</v>
      </c>
      <c r="AC55" s="33">
        <v>127.85</v>
      </c>
      <c r="AD55" s="33">
        <v>103.5</v>
      </c>
      <c r="AE55" s="33">
        <v>85.47</v>
      </c>
      <c r="AF55" s="33">
        <v>71.86</v>
      </c>
      <c r="AG55" s="33">
        <v>78.69</v>
      </c>
      <c r="AH55" s="33">
        <v>129.06</v>
      </c>
      <c r="AI55" s="32"/>
      <c r="AJ55" s="34">
        <f>SUM(E55:AI55)</f>
      </c>
      <c r="AK55" s="35"/>
    </row>
    <row r="56" ht="12.75" customHeight="1" spans="2:37" x14ac:dyDescent="0.25">
      <c r="B56" s="30" t="s">
        <v>42</v>
      </c>
      <c r="C56" s="31" t="s">
        <v>3</v>
      </c>
      <c r="D56" s="32" t="s">
        <v>2897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>
        <v>57.06</v>
      </c>
      <c r="U56" s="33">
        <v>92.3</v>
      </c>
      <c r="V56" s="33">
        <v>140.18</v>
      </c>
      <c r="W56" s="33">
        <v>159.08</v>
      </c>
      <c r="X56" s="33">
        <v>85.14</v>
      </c>
      <c r="Y56" s="33">
        <v>85.44</v>
      </c>
      <c r="Z56" s="33">
        <v>61.45</v>
      </c>
      <c r="AA56" s="33">
        <v>16.41</v>
      </c>
      <c r="AB56" s="33">
        <v>16.41</v>
      </c>
      <c r="AC56" s="33">
        <v>45.23</v>
      </c>
      <c r="AD56" s="33">
        <v>79.29</v>
      </c>
      <c r="AE56" s="33">
        <v>17.29</v>
      </c>
      <c r="AF56" s="33">
        <v>20.44</v>
      </c>
      <c r="AG56" s="33">
        <v>206.62</v>
      </c>
      <c r="AH56" s="33">
        <v>209.52</v>
      </c>
      <c r="AI56" s="32"/>
      <c r="AJ56" s="34">
        <f>SUM(E56:AI56)</f>
      </c>
      <c r="AK56" s="35"/>
    </row>
    <row r="57" ht="12.75" customHeight="1" spans="2:37" x14ac:dyDescent="0.25">
      <c r="B57" s="30" t="s">
        <v>42</v>
      </c>
      <c r="C57" s="31" t="s">
        <v>3</v>
      </c>
      <c r="D57" s="32" t="s">
        <v>2898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>
        <v>86.37</v>
      </c>
      <c r="U57" s="33">
        <v>141.11</v>
      </c>
      <c r="V57" s="33">
        <v>110.18</v>
      </c>
      <c r="W57" s="33">
        <v>62.31</v>
      </c>
      <c r="X57" s="33">
        <v>16.41</v>
      </c>
      <c r="Y57" s="33">
        <v>16.41</v>
      </c>
      <c r="Z57" s="33">
        <v>16.41</v>
      </c>
      <c r="AA57" s="33">
        <v>16.41</v>
      </c>
      <c r="AB57" s="33">
        <v>16.41</v>
      </c>
      <c r="AC57" s="33">
        <v>16.41</v>
      </c>
      <c r="AD57" s="33">
        <v>43.97</v>
      </c>
      <c r="AE57" s="33">
        <v>92.06</v>
      </c>
      <c r="AF57" s="33">
        <v>94.57</v>
      </c>
      <c r="AG57" s="33">
        <v>80.11</v>
      </c>
      <c r="AH57" s="33">
        <v>104.52</v>
      </c>
      <c r="AI57" s="32"/>
      <c r="AJ57" s="34">
        <f>SUM(E57:AI57)</f>
      </c>
      <c r="AK57" s="35"/>
    </row>
    <row r="58" ht="12.75" customHeight="1" spans="2:37" x14ac:dyDescent="0.25">
      <c r="B58" s="30" t="s">
        <v>42</v>
      </c>
      <c r="C58" s="31" t="s">
        <v>3</v>
      </c>
      <c r="D58" s="32" t="s">
        <v>2899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>
        <v>151.42</v>
      </c>
      <c r="U58" s="33">
        <v>104.11</v>
      </c>
      <c r="V58" s="33">
        <v>80.78</v>
      </c>
      <c r="W58" s="33">
        <v>59.52</v>
      </c>
      <c r="X58" s="33">
        <v>26.86</v>
      </c>
      <c r="Y58" s="33">
        <v>22.01</v>
      </c>
      <c r="Z58" s="33">
        <v>32.05</v>
      </c>
      <c r="AA58" s="33">
        <v>81.53</v>
      </c>
      <c r="AB58" s="33">
        <v>21.96</v>
      </c>
      <c r="AC58" s="33">
        <v>52.48</v>
      </c>
      <c r="AD58" s="33">
        <v>21.53</v>
      </c>
      <c r="AE58" s="33">
        <v>36.86</v>
      </c>
      <c r="AF58" s="33">
        <v>33.97</v>
      </c>
      <c r="AG58" s="33">
        <v>61.99</v>
      </c>
      <c r="AH58" s="33">
        <v>64.34</v>
      </c>
      <c r="AI58" s="32"/>
      <c r="AJ58" s="34">
        <f>SUM(E58:AI58)</f>
      </c>
      <c r="AK58" s="35"/>
    </row>
    <row r="59" ht="12.75" customHeight="1" spans="2:37" x14ac:dyDescent="0.25">
      <c r="B59" s="30" t="s">
        <v>42</v>
      </c>
      <c r="C59" s="31" t="s">
        <v>3</v>
      </c>
      <c r="D59" s="32" t="s">
        <v>2900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>
        <v>16.41</v>
      </c>
      <c r="U59" s="33">
        <v>16.79</v>
      </c>
      <c r="V59" s="33">
        <v>45.14</v>
      </c>
      <c r="W59" s="33">
        <v>68.69</v>
      </c>
      <c r="X59" s="33">
        <v>18.82</v>
      </c>
      <c r="Y59" s="33">
        <v>17.92</v>
      </c>
      <c r="Z59" s="33">
        <v>16.41</v>
      </c>
      <c r="AA59" s="33">
        <v>16.41</v>
      </c>
      <c r="AB59" s="33">
        <v>16.41</v>
      </c>
      <c r="AC59" s="33">
        <v>16.41</v>
      </c>
      <c r="AD59" s="33">
        <v>16.25</v>
      </c>
      <c r="AE59" s="33">
        <v>16.25</v>
      </c>
      <c r="AF59" s="33">
        <v>16.25</v>
      </c>
      <c r="AG59" s="33">
        <v>17.73</v>
      </c>
      <c r="AH59" s="33">
        <v>112.01</v>
      </c>
      <c r="AI59" s="32"/>
      <c r="AJ59" s="34">
        <f>SUM(E59:AI59)</f>
      </c>
      <c r="AK59" s="35"/>
    </row>
    <row r="60" ht="12.75" customHeight="1" spans="2:37" x14ac:dyDescent="0.25">
      <c r="B60" s="30" t="s">
        <v>42</v>
      </c>
      <c r="C60" s="31" t="s">
        <v>3</v>
      </c>
      <c r="D60" s="32" t="s">
        <v>2901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>
        <v>16.41</v>
      </c>
      <c r="U60" s="33">
        <v>29.08</v>
      </c>
      <c r="V60" s="33">
        <v>66.15</v>
      </c>
      <c r="W60" s="33">
        <v>84.66</v>
      </c>
      <c r="X60" s="33">
        <v>24.44</v>
      </c>
      <c r="Y60" s="33">
        <v>16.41</v>
      </c>
      <c r="Z60" s="33">
        <v>16.41</v>
      </c>
      <c r="AA60" s="33">
        <v>16.41</v>
      </c>
      <c r="AB60" s="33">
        <v>16.41</v>
      </c>
      <c r="AC60" s="33">
        <v>16.41</v>
      </c>
      <c r="AD60" s="33">
        <v>16.25</v>
      </c>
      <c r="AE60" s="33">
        <v>30.62</v>
      </c>
      <c r="AF60" s="33">
        <v>86.06</v>
      </c>
      <c r="AG60" s="33">
        <v>71.3</v>
      </c>
      <c r="AH60" s="33">
        <v>76.91</v>
      </c>
      <c r="AI60" s="32"/>
      <c r="AJ60" s="34">
        <f>SUM(E60:AI60)</f>
      </c>
      <c r="AK60" s="35"/>
    </row>
    <row r="61" ht="12.75" customHeight="1" spans="2:37" x14ac:dyDescent="0.25">
      <c r="B61" s="30" t="s">
        <v>42</v>
      </c>
      <c r="C61" s="31" t="s">
        <v>3</v>
      </c>
      <c r="D61" s="32" t="s">
        <v>2902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>
        <v>16.41</v>
      </c>
      <c r="U61" s="33">
        <v>29.3</v>
      </c>
      <c r="V61" s="33">
        <v>85.48</v>
      </c>
      <c r="W61" s="33">
        <v>129.59</v>
      </c>
      <c r="X61" s="33">
        <v>44.19</v>
      </c>
      <c r="Y61" s="33">
        <v>16.41</v>
      </c>
      <c r="Z61" s="33">
        <v>16.41</v>
      </c>
      <c r="AA61" s="33">
        <v>16.41</v>
      </c>
      <c r="AB61" s="33">
        <v>16.41</v>
      </c>
      <c r="AC61" s="33">
        <v>16.41</v>
      </c>
      <c r="AD61" s="33">
        <v>16.25</v>
      </c>
      <c r="AE61" s="33">
        <v>35.47</v>
      </c>
      <c r="AF61" s="33">
        <v>41.52</v>
      </c>
      <c r="AG61" s="33">
        <v>147.44</v>
      </c>
      <c r="AH61" s="33">
        <v>122.45</v>
      </c>
      <c r="AI61" s="32"/>
      <c r="AJ61" s="34">
        <f>SUM(E61:AI61)</f>
      </c>
      <c r="AK61" s="35"/>
    </row>
    <row r="62" ht="12.75" customHeight="1" spans="2:37" x14ac:dyDescent="0.25">
      <c r="B62" s="30" t="s">
        <v>42</v>
      </c>
      <c r="C62" s="31" t="s">
        <v>3</v>
      </c>
      <c r="D62" s="32" t="s">
        <v>2903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>
        <v>31.25</v>
      </c>
      <c r="U62" s="33">
        <v>100.33</v>
      </c>
      <c r="V62" s="33">
        <v>84.01</v>
      </c>
      <c r="W62" s="33">
        <v>134.76</v>
      </c>
      <c r="X62" s="33">
        <v>16.41</v>
      </c>
      <c r="Y62" s="33">
        <v>16.41</v>
      </c>
      <c r="Z62" s="33">
        <v>16.41</v>
      </c>
      <c r="AA62" s="33">
        <v>16.41</v>
      </c>
      <c r="AB62" s="33">
        <v>16.41</v>
      </c>
      <c r="AC62" s="33">
        <v>36.85</v>
      </c>
      <c r="AD62" s="33">
        <v>16.25</v>
      </c>
      <c r="AE62" s="33">
        <v>16.25</v>
      </c>
      <c r="AF62" s="33">
        <v>16.25</v>
      </c>
      <c r="AG62" s="33">
        <v>67.99</v>
      </c>
      <c r="AH62" s="33">
        <v>110.57</v>
      </c>
      <c r="AI62" s="32"/>
      <c r="AJ62" s="34">
        <f>SUM(E62:AI62)</f>
      </c>
      <c r="AK62" s="35"/>
    </row>
    <row r="63" ht="12.75" customHeight="1" spans="2:37" x14ac:dyDescent="0.25">
      <c r="B63" s="30" t="s">
        <v>42</v>
      </c>
      <c r="C63" s="31" t="s">
        <v>3</v>
      </c>
      <c r="D63" s="32" t="s">
        <v>2904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>
        <v>22.63</v>
      </c>
      <c r="U63" s="33">
        <v>83.7</v>
      </c>
      <c r="V63" s="33">
        <v>86.11</v>
      </c>
      <c r="W63" s="33">
        <v>63.25</v>
      </c>
      <c r="X63" s="33">
        <v>24.61</v>
      </c>
      <c r="Y63" s="33">
        <v>21.99</v>
      </c>
      <c r="Z63" s="33">
        <v>21.88</v>
      </c>
      <c r="AA63" s="33">
        <v>22.51</v>
      </c>
      <c r="AB63" s="33">
        <v>21.96</v>
      </c>
      <c r="AC63" s="33">
        <v>22.11</v>
      </c>
      <c r="AD63" s="33">
        <v>21.58</v>
      </c>
      <c r="AE63" s="33">
        <v>27.6</v>
      </c>
      <c r="AF63" s="33">
        <v>22.68</v>
      </c>
      <c r="AG63" s="33">
        <v>121.67</v>
      </c>
      <c r="AH63" s="33">
        <v>133.69</v>
      </c>
      <c r="AI63" s="32"/>
      <c r="AJ63" s="34">
        <f>SUM(E63:AI63)</f>
      </c>
      <c r="AK63" s="35"/>
    </row>
    <row r="64" ht="12.75" customHeight="1" spans="2:37" x14ac:dyDescent="0.25">
      <c r="B64" s="30" t="s">
        <v>42</v>
      </c>
      <c r="C64" s="31" t="s">
        <v>3</v>
      </c>
      <c r="D64" s="32" t="s">
        <v>2905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>
        <v>69.58</v>
      </c>
      <c r="U64" s="33">
        <v>77.38</v>
      </c>
      <c r="V64" s="33">
        <v>74.68</v>
      </c>
      <c r="W64" s="33">
        <v>83.26</v>
      </c>
      <c r="X64" s="33">
        <v>22.14</v>
      </c>
      <c r="Y64" s="33">
        <v>16.41</v>
      </c>
      <c r="Z64" s="33">
        <v>16.41</v>
      </c>
      <c r="AA64" s="33">
        <v>16.41</v>
      </c>
      <c r="AB64" s="33">
        <v>16.41</v>
      </c>
      <c r="AC64" s="33">
        <v>16.41</v>
      </c>
      <c r="AD64" s="33">
        <v>16.25</v>
      </c>
      <c r="AE64" s="33">
        <v>16.25</v>
      </c>
      <c r="AF64" s="33">
        <v>16.93</v>
      </c>
      <c r="AG64" s="33">
        <v>39.19</v>
      </c>
      <c r="AH64" s="33">
        <v>50.85</v>
      </c>
      <c r="AI64" s="32"/>
      <c r="AJ64" s="34">
        <f>SUM(E64:AI64)</f>
      </c>
      <c r="AK64" s="35"/>
    </row>
    <row r="65" ht="12.75" customHeight="1" spans="2:37" x14ac:dyDescent="0.25">
      <c r="B65" s="30" t="s">
        <v>42</v>
      </c>
      <c r="C65" s="31" t="s">
        <v>3</v>
      </c>
      <c r="D65" s="32" t="s">
        <v>2906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>
        <v>129.1</v>
      </c>
      <c r="U65" s="33">
        <v>147.24</v>
      </c>
      <c r="V65" s="33">
        <v>124.77</v>
      </c>
      <c r="W65" s="33">
        <v>115.9</v>
      </c>
      <c r="X65" s="33">
        <v>26.71</v>
      </c>
      <c r="Y65" s="33">
        <v>71.83</v>
      </c>
      <c r="Z65" s="33">
        <v>167.13</v>
      </c>
      <c r="AA65" s="33">
        <v>166.82</v>
      </c>
      <c r="AB65" s="33">
        <v>208.43</v>
      </c>
      <c r="AC65" s="33">
        <v>70.48</v>
      </c>
      <c r="AD65" s="33">
        <v>16.25</v>
      </c>
      <c r="AE65" s="33">
        <v>91.02</v>
      </c>
      <c r="AF65" s="33">
        <v>119.78</v>
      </c>
      <c r="AG65" s="33">
        <v>108.4</v>
      </c>
      <c r="AH65" s="33">
        <v>85.53</v>
      </c>
      <c r="AI65" s="32"/>
      <c r="AJ65" s="34">
        <f>SUM(E65:AI65)</f>
      </c>
      <c r="AK65" s="35"/>
    </row>
    <row r="66" ht="12.75" customHeight="1" spans="2:37" x14ac:dyDescent="0.25">
      <c r="B66" s="30" t="s">
        <v>42</v>
      </c>
      <c r="C66" s="31" t="s">
        <v>3</v>
      </c>
      <c r="D66" s="32" t="s">
        <v>2907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>
        <v>33.53</v>
      </c>
      <c r="U66" s="33">
        <v>140.74</v>
      </c>
      <c r="V66" s="33">
        <v>165.46</v>
      </c>
      <c r="W66" s="33">
        <v>174.75</v>
      </c>
      <c r="X66" s="33">
        <v>130.62</v>
      </c>
      <c r="Y66" s="33">
        <v>55.26</v>
      </c>
      <c r="Z66" s="33">
        <v>66.14</v>
      </c>
      <c r="AA66" s="33">
        <v>38.18</v>
      </c>
      <c r="AB66" s="33">
        <v>21.88</v>
      </c>
      <c r="AC66" s="33">
        <v>97.37</v>
      </c>
      <c r="AD66" s="33">
        <v>51.51</v>
      </c>
      <c r="AE66" s="33">
        <v>49.14</v>
      </c>
      <c r="AF66" s="33">
        <v>57.41</v>
      </c>
      <c r="AG66" s="33">
        <v>94.21</v>
      </c>
      <c r="AH66" s="33">
        <v>171.76</v>
      </c>
      <c r="AI66" s="32"/>
      <c r="AJ66" s="34">
        <f>SUM(E66:AI66)</f>
      </c>
      <c r="AK66" s="35"/>
    </row>
    <row r="67" ht="12.75" customHeight="1" spans="2:37" x14ac:dyDescent="0.25">
      <c r="B67" s="30" t="s">
        <v>42</v>
      </c>
      <c r="C67" s="31" t="s">
        <v>3</v>
      </c>
      <c r="D67" s="32" t="s">
        <v>2908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>
        <v>16.41</v>
      </c>
      <c r="U67" s="33">
        <v>20.47</v>
      </c>
      <c r="V67" s="33">
        <v>97.4</v>
      </c>
      <c r="W67" s="33">
        <v>110.97</v>
      </c>
      <c r="X67" s="33">
        <v>22.19</v>
      </c>
      <c r="Y67" s="33">
        <v>16.41</v>
      </c>
      <c r="Z67" s="33">
        <v>16.41</v>
      </c>
      <c r="AA67" s="33">
        <v>16.41</v>
      </c>
      <c r="AB67" s="33">
        <v>16.41</v>
      </c>
      <c r="AC67" s="33">
        <v>16.41</v>
      </c>
      <c r="AD67" s="33">
        <v>16.25</v>
      </c>
      <c r="AE67" s="33">
        <v>16.25</v>
      </c>
      <c r="AF67" s="33">
        <v>16.25</v>
      </c>
      <c r="AG67" s="33">
        <v>34.63</v>
      </c>
      <c r="AH67" s="33">
        <v>36.58</v>
      </c>
      <c r="AI67" s="32"/>
      <c r="AJ67" s="34">
        <f>SUM(E67:AI67)</f>
      </c>
      <c r="AK67" s="35"/>
    </row>
    <row r="68" ht="12.75" customHeight="1" spans="2:37" x14ac:dyDescent="0.25">
      <c r="B68" s="30" t="s">
        <v>42</v>
      </c>
      <c r="C68" s="31" t="s">
        <v>3</v>
      </c>
      <c r="D68" s="32" t="s">
        <v>2909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>
        <v>72.89</v>
      </c>
      <c r="U68" s="33">
        <v>66.84</v>
      </c>
      <c r="V68" s="33">
        <v>91.16</v>
      </c>
      <c r="W68" s="33">
        <v>93.61</v>
      </c>
      <c r="X68" s="33">
        <v>122.63</v>
      </c>
      <c r="Y68" s="33">
        <v>27.77</v>
      </c>
      <c r="Z68" s="33">
        <v>16.41</v>
      </c>
      <c r="AA68" s="33">
        <v>31.43</v>
      </c>
      <c r="AB68" s="33">
        <v>53.43</v>
      </c>
      <c r="AC68" s="33">
        <v>126.95</v>
      </c>
      <c r="AD68" s="33">
        <v>67.22</v>
      </c>
      <c r="AE68" s="33">
        <v>53.95</v>
      </c>
      <c r="AF68" s="33">
        <v>40.51</v>
      </c>
      <c r="AG68" s="33">
        <v>114.81</v>
      </c>
      <c r="AH68" s="33">
        <v>137.56</v>
      </c>
      <c r="AI68" s="32"/>
      <c r="AJ68" s="34">
        <f>SUM(E68:AI68)</f>
      </c>
      <c r="AK68" s="35"/>
    </row>
    <row r="69" ht="12.75" customHeight="1" spans="2:37" x14ac:dyDescent="0.25">
      <c r="B69" s="30" t="s">
        <v>42</v>
      </c>
      <c r="C69" s="31" t="s">
        <v>3</v>
      </c>
      <c r="D69" s="32" t="s">
        <v>2910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>
        <v>16.41</v>
      </c>
      <c r="U69" s="33">
        <v>61.2</v>
      </c>
      <c r="V69" s="33">
        <v>85.43</v>
      </c>
      <c r="W69" s="33">
        <v>29.26</v>
      </c>
      <c r="X69" s="33">
        <v>16.41</v>
      </c>
      <c r="Y69" s="33">
        <v>16.41</v>
      </c>
      <c r="Z69" s="33">
        <v>16.41</v>
      </c>
      <c r="AA69" s="33">
        <v>16.41</v>
      </c>
      <c r="AB69" s="33">
        <v>16.41</v>
      </c>
      <c r="AC69" s="33">
        <v>16.41</v>
      </c>
      <c r="AD69" s="33">
        <v>16.25</v>
      </c>
      <c r="AE69" s="33">
        <v>16.25</v>
      </c>
      <c r="AF69" s="33">
        <v>16.25</v>
      </c>
      <c r="AG69" s="33">
        <v>122.79</v>
      </c>
      <c r="AH69" s="33">
        <v>104.51</v>
      </c>
      <c r="AI69" s="32"/>
      <c r="AJ69" s="34">
        <f>SUM(E69:AI69)</f>
      </c>
      <c r="AK69" s="35"/>
    </row>
    <row r="70" ht="12.75" customHeight="1" spans="2:37" x14ac:dyDescent="0.25">
      <c r="B70" s="30" t="s">
        <v>42</v>
      </c>
      <c r="C70" s="31" t="s">
        <v>3</v>
      </c>
      <c r="D70" s="32" t="s">
        <v>2911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3">
        <v>52.56</v>
      </c>
      <c r="Y70" s="33">
        <v>16.41</v>
      </c>
      <c r="Z70" s="33">
        <v>16.41</v>
      </c>
      <c r="AA70" s="33">
        <v>16.41</v>
      </c>
      <c r="AB70" s="33">
        <v>16.41</v>
      </c>
      <c r="AC70" s="33">
        <v>16.41</v>
      </c>
      <c r="AD70" s="33">
        <v>16.25</v>
      </c>
      <c r="AE70" s="33">
        <v>16.25</v>
      </c>
      <c r="AF70" s="33">
        <v>16.25</v>
      </c>
      <c r="AG70" s="33">
        <v>65.72</v>
      </c>
      <c r="AH70" s="33">
        <v>53.64</v>
      </c>
      <c r="AI70" s="32"/>
      <c r="AJ70" s="34">
        <f>SUM(E70:AI70)</f>
      </c>
      <c r="AK70" s="35"/>
    </row>
    <row r="71" ht="12.75" customHeight="1" spans="2:37" x14ac:dyDescent="0.25">
      <c r="B71" s="30" t="s">
        <v>42</v>
      </c>
      <c r="C71" s="31" t="s">
        <v>3</v>
      </c>
      <c r="D71" s="32" t="s">
        <v>2912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>
        <v>16.41</v>
      </c>
      <c r="U71" s="33">
        <v>80.32</v>
      </c>
      <c r="V71" s="33">
        <v>130.09</v>
      </c>
      <c r="W71" s="33">
        <v>138.74</v>
      </c>
      <c r="X71" s="33">
        <v>36.08</v>
      </c>
      <c r="Y71" s="33">
        <v>16.41</v>
      </c>
      <c r="Z71" s="33">
        <v>16.41</v>
      </c>
      <c r="AA71" s="33">
        <v>16.41</v>
      </c>
      <c r="AB71" s="33">
        <v>16.41</v>
      </c>
      <c r="AC71" s="33">
        <v>16.41</v>
      </c>
      <c r="AD71" s="33">
        <v>16.25</v>
      </c>
      <c r="AE71" s="33">
        <v>108.86</v>
      </c>
      <c r="AF71" s="33">
        <v>69.31</v>
      </c>
      <c r="AG71" s="33">
        <v>88.36</v>
      </c>
      <c r="AH71" s="33">
        <v>38.5</v>
      </c>
      <c r="AI71" s="32"/>
      <c r="AJ71" s="34">
        <f>SUM(E71:AI71)</f>
      </c>
      <c r="AK71" s="35"/>
    </row>
    <row r="72" ht="12.75" customHeight="1" spans="2:37" x14ac:dyDescent="0.25">
      <c r="B72" s="30" t="s">
        <v>42</v>
      </c>
      <c r="C72" s="31" t="s">
        <v>3</v>
      </c>
      <c r="D72" s="32" t="s">
        <v>2913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>
        <v>100.97</v>
      </c>
      <c r="U72" s="33">
        <v>57.73</v>
      </c>
      <c r="V72" s="33">
        <v>66.45</v>
      </c>
      <c r="W72" s="33">
        <v>70.55</v>
      </c>
      <c r="X72" s="33">
        <v>23.91</v>
      </c>
      <c r="Y72" s="33">
        <v>16.41</v>
      </c>
      <c r="Z72" s="33">
        <v>16.41</v>
      </c>
      <c r="AA72" s="33">
        <v>16.41</v>
      </c>
      <c r="AB72" s="33">
        <v>16.41</v>
      </c>
      <c r="AC72" s="33">
        <v>16.41</v>
      </c>
      <c r="AD72" s="33">
        <v>16.25</v>
      </c>
      <c r="AE72" s="33">
        <v>18.02</v>
      </c>
      <c r="AF72" s="33">
        <v>164.38</v>
      </c>
      <c r="AG72" s="33">
        <v>109.92</v>
      </c>
      <c r="AH72" s="33">
        <v>114.68</v>
      </c>
      <c r="AI72" s="32"/>
      <c r="AJ72" s="34">
        <f>SUM(E72:AI72)</f>
      </c>
      <c r="AK72" s="35"/>
    </row>
    <row r="73" ht="12.75" customHeight="1" spans="2:37" x14ac:dyDescent="0.25">
      <c r="B73" s="30" t="s">
        <v>42</v>
      </c>
      <c r="C73" s="31" t="s">
        <v>3</v>
      </c>
      <c r="D73" s="32" t="s">
        <v>2914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>
        <v>29.75</v>
      </c>
      <c r="U73" s="33">
        <v>52</v>
      </c>
      <c r="V73" s="33">
        <v>43.48</v>
      </c>
      <c r="W73" s="33">
        <v>25.89</v>
      </c>
      <c r="X73" s="33">
        <v>16.41</v>
      </c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4">
        <f>SUM(E73:AI73)</f>
      </c>
      <c r="AK73" s="35"/>
    </row>
    <row r="74" ht="12.75" customHeight="1" spans="2:37" x14ac:dyDescent="0.25">
      <c r="B74" s="30" t="s">
        <v>42</v>
      </c>
      <c r="C74" s="31" t="s">
        <v>3</v>
      </c>
      <c r="D74" s="32" t="s">
        <v>2915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>
        <v>116.22</v>
      </c>
      <c r="U74" s="33">
        <v>102.64</v>
      </c>
      <c r="V74" s="33">
        <v>106.57</v>
      </c>
      <c r="W74" s="33">
        <v>102.04</v>
      </c>
      <c r="X74" s="33">
        <v>22.27</v>
      </c>
      <c r="Y74" s="33">
        <v>16.41</v>
      </c>
      <c r="Z74" s="33">
        <v>16.41</v>
      </c>
      <c r="AA74" s="33">
        <v>16.41</v>
      </c>
      <c r="AB74" s="33">
        <v>16.41</v>
      </c>
      <c r="AC74" s="33">
        <v>16.41</v>
      </c>
      <c r="AD74" s="33">
        <v>16.25</v>
      </c>
      <c r="AE74" s="33">
        <v>16.25</v>
      </c>
      <c r="AF74" s="33">
        <v>16.25</v>
      </c>
      <c r="AG74" s="33">
        <v>65.09</v>
      </c>
      <c r="AH74" s="33">
        <v>54.72</v>
      </c>
      <c r="AI74" s="32"/>
      <c r="AJ74" s="34">
        <f>SUM(E74:AI74)</f>
      </c>
      <c r="AK74" s="35"/>
    </row>
    <row r="75" ht="12.75" customHeight="1" spans="2:37" x14ac:dyDescent="0.25">
      <c r="B75" s="30" t="s">
        <v>42</v>
      </c>
      <c r="C75" s="31" t="s">
        <v>3</v>
      </c>
      <c r="D75" s="32" t="s">
        <v>2916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>
        <v>47.7</v>
      </c>
      <c r="U75" s="33">
        <v>59.47</v>
      </c>
      <c r="V75" s="33">
        <v>97.11</v>
      </c>
      <c r="W75" s="33">
        <v>43.19</v>
      </c>
      <c r="X75" s="33">
        <v>16.41</v>
      </c>
      <c r="Y75" s="33">
        <v>16.41</v>
      </c>
      <c r="Z75" s="33">
        <v>16.41</v>
      </c>
      <c r="AA75" s="33">
        <v>16.41</v>
      </c>
      <c r="AB75" s="33">
        <v>16.41</v>
      </c>
      <c r="AC75" s="33">
        <v>16.41</v>
      </c>
      <c r="AD75" s="33">
        <v>16.25</v>
      </c>
      <c r="AE75" s="33">
        <v>43.56</v>
      </c>
      <c r="AF75" s="33">
        <v>59.83</v>
      </c>
      <c r="AG75" s="33">
        <v>62.22</v>
      </c>
      <c r="AH75" s="33">
        <v>67.95</v>
      </c>
      <c r="AI75" s="32"/>
      <c r="AJ75" s="34">
        <f>SUM(E75:AI75)</f>
      </c>
      <c r="AK75" s="35"/>
    </row>
    <row r="76" ht="12.75" customHeight="1" spans="2:37" x14ac:dyDescent="0.25">
      <c r="B76" s="30" t="s">
        <v>42</v>
      </c>
      <c r="C76" s="31" t="s">
        <v>3</v>
      </c>
      <c r="D76" s="32" t="s">
        <v>2917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>
        <v>168.85</v>
      </c>
      <c r="U76" s="33">
        <v>237.26</v>
      </c>
      <c r="V76" s="33">
        <v>144.79</v>
      </c>
      <c r="W76" s="33">
        <v>99.41</v>
      </c>
      <c r="X76" s="33">
        <v>65.49</v>
      </c>
      <c r="Y76" s="33">
        <v>35.48</v>
      </c>
      <c r="Z76" s="33">
        <v>16.41</v>
      </c>
      <c r="AA76" s="33">
        <v>16.41</v>
      </c>
      <c r="AB76" s="33">
        <v>16.41</v>
      </c>
      <c r="AC76" s="33">
        <v>16.41</v>
      </c>
      <c r="AD76" s="33">
        <v>16.25</v>
      </c>
      <c r="AE76" s="33">
        <v>137.92</v>
      </c>
      <c r="AF76" s="33">
        <v>105.52</v>
      </c>
      <c r="AG76" s="33">
        <v>192.9</v>
      </c>
      <c r="AH76" s="33">
        <v>72.08</v>
      </c>
      <c r="AI76" s="32"/>
      <c r="AJ76" s="34">
        <f>SUM(E76:AI76)</f>
      </c>
      <c r="AK76" s="35"/>
    </row>
    <row r="77" ht="12.75" customHeight="1" spans="2:37" x14ac:dyDescent="0.25">
      <c r="B77" s="30" t="s">
        <v>42</v>
      </c>
      <c r="C77" s="31" t="s">
        <v>3</v>
      </c>
      <c r="D77" s="32" t="s">
        <v>2918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>
        <v>39.11</v>
      </c>
      <c r="U77" s="33">
        <v>73.65</v>
      </c>
      <c r="V77" s="33">
        <v>62.33</v>
      </c>
      <c r="W77" s="33">
        <v>54.36</v>
      </c>
      <c r="X77" s="33">
        <v>16.41</v>
      </c>
      <c r="Y77" s="33">
        <v>37.17</v>
      </c>
      <c r="Z77" s="33">
        <v>21.86</v>
      </c>
      <c r="AA77" s="33">
        <v>16.41</v>
      </c>
      <c r="AB77" s="33">
        <v>16.41</v>
      </c>
      <c r="AC77" s="33">
        <v>16.41</v>
      </c>
      <c r="AD77" s="33">
        <v>31.74</v>
      </c>
      <c r="AE77" s="33">
        <v>22.26</v>
      </c>
      <c r="AF77" s="33">
        <v>38.59</v>
      </c>
      <c r="AG77" s="33">
        <v>103.23</v>
      </c>
      <c r="AH77" s="33">
        <v>73.41</v>
      </c>
      <c r="AI77" s="32"/>
      <c r="AJ77" s="34">
        <f>SUM(E77:AI77)</f>
      </c>
      <c r="AK77" s="35"/>
    </row>
    <row r="78" ht="12.75" customHeight="1" spans="2:37" x14ac:dyDescent="0.25">
      <c r="B78" s="30" t="s">
        <v>42</v>
      </c>
      <c r="C78" s="31" t="s">
        <v>3</v>
      </c>
      <c r="D78" s="32" t="s">
        <v>2919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>
        <v>16.41</v>
      </c>
      <c r="U78" s="33">
        <v>88.92</v>
      </c>
      <c r="V78" s="33">
        <v>72.84</v>
      </c>
      <c r="W78" s="33">
        <v>68.72</v>
      </c>
      <c r="X78" s="33">
        <v>25.51</v>
      </c>
      <c r="Y78" s="33">
        <v>16.41</v>
      </c>
      <c r="Z78" s="33">
        <v>16.41</v>
      </c>
      <c r="AA78" s="33">
        <v>16.41</v>
      </c>
      <c r="AB78" s="33">
        <v>16.41</v>
      </c>
      <c r="AC78" s="33">
        <v>16.41</v>
      </c>
      <c r="AD78" s="33">
        <v>16.25</v>
      </c>
      <c r="AE78" s="33">
        <v>16.25</v>
      </c>
      <c r="AF78" s="33">
        <v>17.45</v>
      </c>
      <c r="AG78" s="32"/>
      <c r="AH78" s="32"/>
      <c r="AI78" s="32"/>
      <c r="AJ78" s="34">
        <f>SUM(E78:AI78)</f>
      </c>
      <c r="AK78" s="35"/>
    </row>
    <row r="79" ht="12.75" customHeight="1" spans="2:37" x14ac:dyDescent="0.25">
      <c r="B79" s="30" t="s">
        <v>42</v>
      </c>
      <c r="C79" s="31" t="s">
        <v>3</v>
      </c>
      <c r="D79" s="32" t="s">
        <v>2920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>
        <v>96.7</v>
      </c>
      <c r="U79" s="33">
        <v>131.98</v>
      </c>
      <c r="V79" s="33">
        <v>92.65</v>
      </c>
      <c r="W79" s="33">
        <v>117.7</v>
      </c>
      <c r="X79" s="33">
        <v>59.99</v>
      </c>
      <c r="Y79" s="33">
        <v>59.04</v>
      </c>
      <c r="Z79" s="33">
        <v>56.19</v>
      </c>
      <c r="AA79" s="33">
        <v>26.94</v>
      </c>
      <c r="AB79" s="33">
        <v>16.41</v>
      </c>
      <c r="AC79" s="33">
        <v>54.94</v>
      </c>
      <c r="AD79" s="33">
        <v>54.68</v>
      </c>
      <c r="AE79" s="33">
        <v>63.73</v>
      </c>
      <c r="AF79" s="33">
        <v>27.52</v>
      </c>
      <c r="AG79" s="33">
        <v>89.69</v>
      </c>
      <c r="AH79" s="33">
        <v>110.87</v>
      </c>
      <c r="AI79" s="32"/>
      <c r="AJ79" s="34">
        <f>SUM(E79:AI79)</f>
      </c>
      <c r="AK79" s="35"/>
    </row>
    <row r="80" ht="12.75" customHeight="1" spans="2:37" x14ac:dyDescent="0.25">
      <c r="B80" s="30" t="s">
        <v>42</v>
      </c>
      <c r="C80" s="31" t="s">
        <v>3</v>
      </c>
      <c r="D80" s="32" t="s">
        <v>2921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>
        <v>61.2</v>
      </c>
      <c r="U80" s="33">
        <v>60.92</v>
      </c>
      <c r="V80" s="33">
        <v>49.88</v>
      </c>
      <c r="W80" s="33">
        <v>44.02</v>
      </c>
      <c r="X80" s="33">
        <v>39.2</v>
      </c>
      <c r="Y80" s="33">
        <v>28.82</v>
      </c>
      <c r="Z80" s="33">
        <v>22.03</v>
      </c>
      <c r="AA80" s="33">
        <v>22.62</v>
      </c>
      <c r="AB80" s="33">
        <v>22</v>
      </c>
      <c r="AC80" s="33">
        <v>62.33</v>
      </c>
      <c r="AD80" s="33">
        <v>22.76</v>
      </c>
      <c r="AE80" s="33">
        <v>22.04</v>
      </c>
      <c r="AF80" s="33">
        <v>22.58</v>
      </c>
      <c r="AG80" s="33">
        <v>42.87</v>
      </c>
      <c r="AH80" s="33">
        <v>31.9</v>
      </c>
      <c r="AI80" s="32"/>
      <c r="AJ80" s="34">
        <f>SUM(E80:AI80)</f>
      </c>
      <c r="AK80" s="35"/>
    </row>
    <row r="81" ht="12.75" customHeight="1" spans="2:37" x14ac:dyDescent="0.25">
      <c r="B81" s="30" t="s">
        <v>42</v>
      </c>
      <c r="C81" s="31" t="s">
        <v>3</v>
      </c>
      <c r="D81" s="32" t="s">
        <v>2922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>
        <v>107.85</v>
      </c>
      <c r="U81" s="33">
        <v>105.75</v>
      </c>
      <c r="V81" s="33">
        <v>88.4</v>
      </c>
      <c r="W81" s="33">
        <v>97.14</v>
      </c>
      <c r="X81" s="33">
        <v>18.27</v>
      </c>
      <c r="Y81" s="33">
        <v>16.41</v>
      </c>
      <c r="Z81" s="33">
        <v>16.41</v>
      </c>
      <c r="AA81" s="33">
        <v>16.41</v>
      </c>
      <c r="AB81" s="33">
        <v>16.41</v>
      </c>
      <c r="AC81" s="33">
        <v>16.41</v>
      </c>
      <c r="AD81" s="33">
        <v>16.25</v>
      </c>
      <c r="AE81" s="33">
        <v>99.85</v>
      </c>
      <c r="AF81" s="33">
        <v>111.35</v>
      </c>
      <c r="AG81" s="33">
        <v>91.55</v>
      </c>
      <c r="AH81" s="33">
        <v>100.03</v>
      </c>
      <c r="AI81" s="32"/>
      <c r="AJ81" s="34">
        <f>SUM(E81:AI81)</f>
      </c>
      <c r="AK81" s="35"/>
    </row>
    <row r="82" ht="12.75" customHeight="1" spans="2:37" x14ac:dyDescent="0.25">
      <c r="B82" s="30" t="s">
        <v>42</v>
      </c>
      <c r="C82" s="31" t="s">
        <v>3</v>
      </c>
      <c r="D82" s="32" t="s">
        <v>2923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>
        <v>36.37</v>
      </c>
      <c r="U82" s="33">
        <v>147.8</v>
      </c>
      <c r="V82" s="33">
        <v>126.96</v>
      </c>
      <c r="W82" s="33">
        <v>96.28</v>
      </c>
      <c r="X82" s="33">
        <v>17.11</v>
      </c>
      <c r="Y82" s="33">
        <v>17.88</v>
      </c>
      <c r="Z82" s="33">
        <v>45.35</v>
      </c>
      <c r="AA82" s="33">
        <v>16.41</v>
      </c>
      <c r="AB82" s="33">
        <v>16.41</v>
      </c>
      <c r="AC82" s="33">
        <v>137.36</v>
      </c>
      <c r="AD82" s="33">
        <v>23.24</v>
      </c>
      <c r="AE82" s="33">
        <v>31.08</v>
      </c>
      <c r="AF82" s="33">
        <v>131.86</v>
      </c>
      <c r="AG82" s="33">
        <v>40.61</v>
      </c>
      <c r="AH82" s="33">
        <v>34.14</v>
      </c>
      <c r="AI82" s="32"/>
      <c r="AJ82" s="34">
        <f>SUM(E82:AI82)</f>
      </c>
      <c r="AK82" s="35"/>
    </row>
    <row r="83" ht="12.75" customHeight="1" spans="2:37" x14ac:dyDescent="0.25">
      <c r="B83" s="30" t="s">
        <v>42</v>
      </c>
      <c r="C83" s="31" t="s">
        <v>3</v>
      </c>
      <c r="D83" s="32" t="s">
        <v>2924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>
        <v>192.89</v>
      </c>
      <c r="U83" s="33">
        <v>169</v>
      </c>
      <c r="V83" s="33">
        <v>189.06</v>
      </c>
      <c r="W83" s="33">
        <v>187.35</v>
      </c>
      <c r="X83" s="33">
        <v>206.54</v>
      </c>
      <c r="Y83" s="33">
        <v>258.11</v>
      </c>
      <c r="Z83" s="33">
        <v>384.99</v>
      </c>
      <c r="AA83" s="33">
        <v>413.65</v>
      </c>
      <c r="AB83" s="33">
        <v>398.57</v>
      </c>
      <c r="AC83" s="33">
        <v>340.91</v>
      </c>
      <c r="AD83" s="33">
        <v>219.34</v>
      </c>
      <c r="AE83" s="33">
        <v>197.74</v>
      </c>
      <c r="AF83" s="33">
        <v>199.48</v>
      </c>
      <c r="AG83" s="33">
        <v>167.79</v>
      </c>
      <c r="AH83" s="33">
        <v>195.89</v>
      </c>
      <c r="AI83" s="32"/>
      <c r="AJ83" s="34">
        <f>SUM(E83:AI83)</f>
      </c>
      <c r="AK83" s="35"/>
    </row>
    <row r="84" ht="12.75" customHeight="1" spans="2:37" x14ac:dyDescent="0.25">
      <c r="B84" s="30" t="s">
        <v>42</v>
      </c>
      <c r="C84" s="31" t="s">
        <v>3</v>
      </c>
      <c r="D84" s="32" t="s">
        <v>2925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3">
        <v>52.56</v>
      </c>
      <c r="Z84" s="33">
        <v>16.41</v>
      </c>
      <c r="AA84" s="33">
        <v>16.41</v>
      </c>
      <c r="AB84" s="33">
        <v>16.41</v>
      </c>
      <c r="AC84" s="33">
        <v>16.41</v>
      </c>
      <c r="AD84" s="33">
        <v>16.25</v>
      </c>
      <c r="AE84" s="33">
        <v>83.05</v>
      </c>
      <c r="AF84" s="33">
        <v>111.45</v>
      </c>
      <c r="AG84" s="33">
        <v>88.34</v>
      </c>
      <c r="AH84" s="33">
        <v>118.04</v>
      </c>
      <c r="AI84" s="32"/>
      <c r="AJ84" s="34">
        <f>SUM(E84:AI84)</f>
      </c>
      <c r="AK84" s="35"/>
    </row>
    <row r="85" ht="12.75" customHeight="1" spans="2:37" x14ac:dyDescent="0.25">
      <c r="B85" s="30" t="s">
        <v>42</v>
      </c>
      <c r="C85" s="31" t="s">
        <v>3</v>
      </c>
      <c r="D85" s="32" t="s">
        <v>2926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>
        <v>16.41</v>
      </c>
      <c r="U85" s="33">
        <v>66.51</v>
      </c>
      <c r="V85" s="33">
        <v>89.96</v>
      </c>
      <c r="W85" s="33">
        <v>73.6</v>
      </c>
      <c r="X85" s="33">
        <v>71.96</v>
      </c>
      <c r="Y85" s="33">
        <v>16.41</v>
      </c>
      <c r="Z85" s="33">
        <v>16.41</v>
      </c>
      <c r="AA85" s="33">
        <v>16.41</v>
      </c>
      <c r="AB85" s="33">
        <v>16.41</v>
      </c>
      <c r="AC85" s="33">
        <v>16.41</v>
      </c>
      <c r="AD85" s="33">
        <v>16.25</v>
      </c>
      <c r="AE85" s="33">
        <v>16.25</v>
      </c>
      <c r="AF85" s="33">
        <v>42.66</v>
      </c>
      <c r="AG85" s="33">
        <v>122.47</v>
      </c>
      <c r="AH85" s="33">
        <v>55.6</v>
      </c>
      <c r="AI85" s="32"/>
      <c r="AJ85" s="34">
        <f>SUM(E85:AI85)</f>
      </c>
      <c r="AK85" s="35"/>
    </row>
    <row r="86" ht="12.75" customHeight="1" spans="2:37" x14ac:dyDescent="0.25">
      <c r="B86" s="30" t="s">
        <v>42</v>
      </c>
      <c r="C86" s="31" t="s">
        <v>3</v>
      </c>
      <c r="D86" s="32" t="s">
        <v>2927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>
        <v>22.75</v>
      </c>
      <c r="U86" s="33">
        <v>78.47</v>
      </c>
      <c r="V86" s="33">
        <v>100.84</v>
      </c>
      <c r="W86" s="33">
        <v>81.07</v>
      </c>
      <c r="X86" s="33">
        <v>21.86</v>
      </c>
      <c r="Y86" s="33">
        <v>21.99</v>
      </c>
      <c r="Z86" s="33">
        <v>21.88</v>
      </c>
      <c r="AA86" s="33">
        <v>22.47</v>
      </c>
      <c r="AB86" s="33">
        <v>21.92</v>
      </c>
      <c r="AC86" s="33">
        <v>22.05</v>
      </c>
      <c r="AD86" s="33">
        <v>21.48</v>
      </c>
      <c r="AE86" s="33">
        <v>21.91</v>
      </c>
      <c r="AF86" s="33">
        <v>47.63</v>
      </c>
      <c r="AG86" s="33">
        <v>121.47</v>
      </c>
      <c r="AH86" s="33">
        <v>132.96</v>
      </c>
      <c r="AI86" s="32"/>
      <c r="AJ86" s="34">
        <f>SUM(E86:AI86)</f>
      </c>
      <c r="AK86" s="35"/>
    </row>
    <row r="87" ht="12.75" customHeight="1" spans="2:37" x14ac:dyDescent="0.25">
      <c r="B87" s="30" t="s">
        <v>42</v>
      </c>
      <c r="C87" s="31" t="s">
        <v>3</v>
      </c>
      <c r="D87" s="32" t="s">
        <v>2928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>
        <v>74.14</v>
      </c>
      <c r="U87" s="33">
        <v>51.1</v>
      </c>
      <c r="V87" s="33">
        <v>86.12</v>
      </c>
      <c r="W87" s="33">
        <v>119.42</v>
      </c>
      <c r="X87" s="33">
        <v>16.41</v>
      </c>
      <c r="Y87" s="33">
        <v>16.41</v>
      </c>
      <c r="Z87" s="33">
        <v>16.41</v>
      </c>
      <c r="AA87" s="33">
        <v>16.41</v>
      </c>
      <c r="AB87" s="33">
        <v>16.41</v>
      </c>
      <c r="AC87" s="33">
        <v>42.71</v>
      </c>
      <c r="AD87" s="33">
        <v>16.25</v>
      </c>
      <c r="AE87" s="33">
        <v>18.56</v>
      </c>
      <c r="AF87" s="33">
        <v>16.25</v>
      </c>
      <c r="AG87" s="33">
        <v>62.03</v>
      </c>
      <c r="AH87" s="33">
        <v>42.44</v>
      </c>
      <c r="AI87" s="32"/>
      <c r="AJ87" s="34">
        <f>SUM(E87:AI87)</f>
      </c>
      <c r="AK87" s="35"/>
    </row>
    <row r="88" ht="12.75" customHeight="1" spans="2:37" x14ac:dyDescent="0.25">
      <c r="B88" s="30" t="s">
        <v>42</v>
      </c>
      <c r="C88" s="31" t="s">
        <v>3</v>
      </c>
      <c r="D88" s="32" t="s">
        <v>2929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>
        <v>62.71</v>
      </c>
      <c r="U88" s="33">
        <v>60.57</v>
      </c>
      <c r="V88" s="33">
        <v>38.25</v>
      </c>
      <c r="W88" s="33">
        <v>82.41</v>
      </c>
      <c r="X88" s="33">
        <v>91.3</v>
      </c>
      <c r="Y88" s="33">
        <v>29.01</v>
      </c>
      <c r="Z88" s="33">
        <v>21.78</v>
      </c>
      <c r="AA88" s="33">
        <v>22.31</v>
      </c>
      <c r="AB88" s="33">
        <v>21.78</v>
      </c>
      <c r="AC88" s="33">
        <v>21.92</v>
      </c>
      <c r="AD88" s="33">
        <v>21.37</v>
      </c>
      <c r="AE88" s="33">
        <v>21.84</v>
      </c>
      <c r="AF88" s="33">
        <v>65.01</v>
      </c>
      <c r="AG88" s="33">
        <v>47.46</v>
      </c>
      <c r="AH88" s="33">
        <v>64.19</v>
      </c>
      <c r="AI88" s="32"/>
      <c r="AJ88" s="34">
        <f>SUM(E88:AI88)</f>
      </c>
      <c r="AK88" s="35"/>
    </row>
    <row r="89" ht="12.75" customHeight="1" spans="2:37" x14ac:dyDescent="0.25">
      <c r="B89" s="30" t="s">
        <v>42</v>
      </c>
      <c r="C89" s="31" t="s">
        <v>3</v>
      </c>
      <c r="D89" s="32" t="s">
        <v>2930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>
        <v>38.41</v>
      </c>
      <c r="U89" s="33">
        <v>42.96</v>
      </c>
      <c r="V89" s="33">
        <v>45.82</v>
      </c>
      <c r="W89" s="33">
        <v>50.42</v>
      </c>
      <c r="X89" s="33">
        <v>20.77</v>
      </c>
      <c r="Y89" s="33">
        <v>16.41</v>
      </c>
      <c r="Z89" s="33">
        <v>16.41</v>
      </c>
      <c r="AA89" s="33">
        <v>16.41</v>
      </c>
      <c r="AB89" s="33">
        <v>16.41</v>
      </c>
      <c r="AC89" s="33">
        <v>16.41</v>
      </c>
      <c r="AD89" s="33">
        <v>16.25</v>
      </c>
      <c r="AE89" s="33">
        <v>16.25</v>
      </c>
      <c r="AF89" s="33">
        <v>16.98</v>
      </c>
      <c r="AG89" s="33">
        <v>93.73</v>
      </c>
      <c r="AH89" s="33">
        <v>58.55</v>
      </c>
      <c r="AI89" s="32"/>
      <c r="AJ89" s="34">
        <f>SUM(E89:AI89)</f>
      </c>
      <c r="AK89" s="35"/>
    </row>
    <row r="90" ht="12.75" customHeight="1" spans="2:37" x14ac:dyDescent="0.25">
      <c r="B90" s="30" t="s">
        <v>42</v>
      </c>
      <c r="C90" s="31" t="s">
        <v>3</v>
      </c>
      <c r="D90" s="32" t="s">
        <v>2931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>
        <v>117.3</v>
      </c>
      <c r="U90" s="33">
        <v>104.16</v>
      </c>
      <c r="V90" s="33">
        <v>146.06</v>
      </c>
      <c r="W90" s="33">
        <v>151.5</v>
      </c>
      <c r="X90" s="33">
        <v>119.87</v>
      </c>
      <c r="Y90" s="33">
        <v>16.41</v>
      </c>
      <c r="Z90" s="33">
        <v>16.41</v>
      </c>
      <c r="AA90" s="33">
        <v>16.41</v>
      </c>
      <c r="AB90" s="33">
        <v>16.41</v>
      </c>
      <c r="AC90" s="33">
        <v>16.41</v>
      </c>
      <c r="AD90" s="33">
        <v>16.25</v>
      </c>
      <c r="AE90" s="33">
        <v>16.25</v>
      </c>
      <c r="AF90" s="33">
        <v>42.77</v>
      </c>
      <c r="AG90" s="33">
        <v>35.23</v>
      </c>
      <c r="AH90" s="33">
        <v>59.98</v>
      </c>
      <c r="AI90" s="32"/>
      <c r="AJ90" s="34">
        <f>SUM(E90:AI90)</f>
      </c>
      <c r="AK90" s="35"/>
    </row>
    <row r="91" ht="12.75" customHeight="1" spans="2:37" x14ac:dyDescent="0.25">
      <c r="B91" s="30" t="s">
        <v>42</v>
      </c>
      <c r="C91" s="31" t="s">
        <v>3</v>
      </c>
      <c r="D91" s="32" t="s">
        <v>2932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>
        <v>182.89</v>
      </c>
      <c r="U91" s="33">
        <v>170.96</v>
      </c>
      <c r="V91" s="33">
        <v>154.22</v>
      </c>
      <c r="W91" s="33">
        <v>164.36</v>
      </c>
      <c r="X91" s="33">
        <v>58.16</v>
      </c>
      <c r="Y91" s="33">
        <v>92.01</v>
      </c>
      <c r="Z91" s="33">
        <v>86.19</v>
      </c>
      <c r="AA91" s="33">
        <v>16.41</v>
      </c>
      <c r="AB91" s="33">
        <v>16.41</v>
      </c>
      <c r="AC91" s="33">
        <v>49.19</v>
      </c>
      <c r="AD91" s="33">
        <v>85.71</v>
      </c>
      <c r="AE91" s="33">
        <v>60.14</v>
      </c>
      <c r="AF91" s="33">
        <v>87.28</v>
      </c>
      <c r="AG91" s="33">
        <v>68.76</v>
      </c>
      <c r="AH91" s="33">
        <v>60.32</v>
      </c>
      <c r="AI91" s="32"/>
      <c r="AJ91" s="34">
        <f>SUM(E91:AI91)</f>
      </c>
      <c r="AK91" s="35"/>
    </row>
    <row r="92" ht="12.75" customHeight="1" spans="2:37" x14ac:dyDescent="0.25">
      <c r="B92" s="30" t="s">
        <v>42</v>
      </c>
      <c r="C92" s="31" t="s">
        <v>3</v>
      </c>
      <c r="D92" s="32" t="s">
        <v>2933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3">
        <v>36.14</v>
      </c>
      <c r="AH92" s="33">
        <v>95</v>
      </c>
      <c r="AI92" s="32"/>
      <c r="AJ92" s="34">
        <f>SUM(E92:AI92)</f>
      </c>
      <c r="AK92" s="35"/>
    </row>
    <row r="93" ht="12.75" customHeight="1" spans="2:37" x14ac:dyDescent="0.25">
      <c r="B93" s="30" t="s">
        <v>42</v>
      </c>
      <c r="C93" s="31" t="s">
        <v>3</v>
      </c>
      <c r="D93" s="32" t="s">
        <v>2934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>
        <v>62.01</v>
      </c>
      <c r="U93" s="33">
        <v>50.14</v>
      </c>
      <c r="V93" s="33">
        <v>61.39</v>
      </c>
      <c r="W93" s="33">
        <v>30.14</v>
      </c>
      <c r="X93" s="33">
        <v>16.41</v>
      </c>
      <c r="Y93" s="33">
        <v>16.41</v>
      </c>
      <c r="Z93" s="33">
        <v>16.41</v>
      </c>
      <c r="AA93" s="33">
        <v>16.41</v>
      </c>
      <c r="AB93" s="33">
        <v>16.41</v>
      </c>
      <c r="AC93" s="33">
        <v>19.22</v>
      </c>
      <c r="AD93" s="33">
        <v>20.5</v>
      </c>
      <c r="AE93" s="33">
        <v>16.25</v>
      </c>
      <c r="AF93" s="33">
        <v>16.25</v>
      </c>
      <c r="AG93" s="33">
        <v>36.85</v>
      </c>
      <c r="AH93" s="33">
        <v>55.95</v>
      </c>
      <c r="AI93" s="32"/>
      <c r="AJ93" s="34">
        <f>SUM(E93:AI93)</f>
      </c>
      <c r="AK93" s="35"/>
    </row>
    <row r="94" ht="12.75" customHeight="1" spans="2:37" x14ac:dyDescent="0.25">
      <c r="B94" s="30" t="s">
        <v>42</v>
      </c>
      <c r="C94" s="31" t="s">
        <v>3</v>
      </c>
      <c r="D94" s="32" t="s">
        <v>2935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>
        <v>18.61</v>
      </c>
      <c r="U94" s="33">
        <v>105.45</v>
      </c>
      <c r="V94" s="33">
        <v>80.79</v>
      </c>
      <c r="W94" s="33">
        <v>77.29</v>
      </c>
      <c r="X94" s="33">
        <v>29.83</v>
      </c>
      <c r="Y94" s="33">
        <v>16.41</v>
      </c>
      <c r="Z94" s="33">
        <v>16.41</v>
      </c>
      <c r="AA94" s="33">
        <v>16.41</v>
      </c>
      <c r="AB94" s="33">
        <v>16.41</v>
      </c>
      <c r="AC94" s="33">
        <v>16.41</v>
      </c>
      <c r="AD94" s="33">
        <v>16.25</v>
      </c>
      <c r="AE94" s="33">
        <v>49.59</v>
      </c>
      <c r="AF94" s="33">
        <v>18.74</v>
      </c>
      <c r="AG94" s="33">
        <v>56.76</v>
      </c>
      <c r="AH94" s="33">
        <v>56.69</v>
      </c>
      <c r="AI94" s="32"/>
      <c r="AJ94" s="34">
        <f>SUM(E94:AI94)</f>
      </c>
      <c r="AK94" s="35"/>
    </row>
    <row r="95" ht="12.75" customHeight="1" spans="2:37" x14ac:dyDescent="0.25">
      <c r="B95" s="30" t="s">
        <v>42</v>
      </c>
      <c r="C95" s="31" t="s">
        <v>3</v>
      </c>
      <c r="D95" s="32" t="s">
        <v>2936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>
        <v>22.68</v>
      </c>
      <c r="U95" s="33">
        <v>88.27</v>
      </c>
      <c r="V95" s="33">
        <v>122.01</v>
      </c>
      <c r="W95" s="33">
        <v>131.01</v>
      </c>
      <c r="X95" s="33">
        <v>51.34</v>
      </c>
      <c r="Y95" s="33">
        <v>22</v>
      </c>
      <c r="Z95" s="33">
        <v>21.89</v>
      </c>
      <c r="AA95" s="33">
        <v>22.47</v>
      </c>
      <c r="AB95" s="33">
        <v>21.95</v>
      </c>
      <c r="AC95" s="33">
        <v>22.06</v>
      </c>
      <c r="AD95" s="33">
        <v>31.84</v>
      </c>
      <c r="AE95" s="33">
        <v>77.89</v>
      </c>
      <c r="AF95" s="33">
        <v>116.32</v>
      </c>
      <c r="AG95" s="33">
        <v>92.61</v>
      </c>
      <c r="AH95" s="33">
        <v>101.28</v>
      </c>
      <c r="AI95" s="32"/>
      <c r="AJ95" s="34">
        <f>SUM(E95:AI95)</f>
      </c>
      <c r="AK95" s="35"/>
    </row>
    <row r="96" ht="12.75" customHeight="1" spans="2:37" x14ac:dyDescent="0.25">
      <c r="B96" s="30" t="s">
        <v>42</v>
      </c>
      <c r="C96" s="31" t="s">
        <v>3</v>
      </c>
      <c r="D96" s="32" t="s">
        <v>2937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>
        <v>18.99</v>
      </c>
      <c r="U96" s="33">
        <v>82.89</v>
      </c>
      <c r="V96" s="33">
        <v>67.79</v>
      </c>
      <c r="W96" s="33">
        <v>79.29</v>
      </c>
      <c r="X96" s="33">
        <v>120.24</v>
      </c>
      <c r="Y96" s="33">
        <v>38.3</v>
      </c>
      <c r="Z96" s="33">
        <v>16.41</v>
      </c>
      <c r="AA96" s="33">
        <v>16.41</v>
      </c>
      <c r="AB96" s="33">
        <v>16.41</v>
      </c>
      <c r="AC96" s="33">
        <v>16.41</v>
      </c>
      <c r="AD96" s="33">
        <v>49.97</v>
      </c>
      <c r="AE96" s="33">
        <v>41.58</v>
      </c>
      <c r="AF96" s="33">
        <v>35.3</v>
      </c>
      <c r="AG96" s="33">
        <v>32.15</v>
      </c>
      <c r="AH96" s="33">
        <v>33.98</v>
      </c>
      <c r="AI96" s="32"/>
      <c r="AJ96" s="34">
        <f>SUM(E96:AI96)</f>
      </c>
      <c r="AK96" s="35"/>
    </row>
    <row r="97" ht="12.75" customHeight="1" spans="2:37" x14ac:dyDescent="0.25">
      <c r="B97" s="30" t="s">
        <v>42</v>
      </c>
      <c r="C97" s="31" t="s">
        <v>3</v>
      </c>
      <c r="D97" s="32" t="s">
        <v>2938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>
        <v>16.41</v>
      </c>
      <c r="U97" s="33">
        <v>44.94</v>
      </c>
      <c r="V97" s="33">
        <v>60.49</v>
      </c>
      <c r="W97" s="33">
        <v>52.77</v>
      </c>
      <c r="X97" s="33">
        <v>16.41</v>
      </c>
      <c r="Y97" s="33">
        <v>16.41</v>
      </c>
      <c r="Z97" s="33">
        <v>16.41</v>
      </c>
      <c r="AA97" s="33">
        <v>16.41</v>
      </c>
      <c r="AB97" s="33">
        <v>16.41</v>
      </c>
      <c r="AC97" s="33">
        <v>16.41</v>
      </c>
      <c r="AD97" s="33">
        <v>16.25</v>
      </c>
      <c r="AE97" s="33">
        <v>16.25</v>
      </c>
      <c r="AF97" s="33">
        <v>56.9</v>
      </c>
      <c r="AG97" s="33">
        <v>107.57</v>
      </c>
      <c r="AH97" s="33">
        <v>102.23</v>
      </c>
      <c r="AI97" s="32"/>
      <c r="AJ97" s="34">
        <f>SUM(E97:AI97)</f>
      </c>
      <c r="AK97" s="35"/>
    </row>
    <row r="98" ht="12.75" customHeight="1" spans="2:37" x14ac:dyDescent="0.25">
      <c r="B98" s="30" t="s">
        <v>42</v>
      </c>
      <c r="C98" s="31" t="s">
        <v>3</v>
      </c>
      <c r="D98" s="32" t="s">
        <v>2939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>
        <v>41.81</v>
      </c>
      <c r="U98" s="33">
        <v>91.98</v>
      </c>
      <c r="V98" s="33">
        <v>85.34</v>
      </c>
      <c r="W98" s="33">
        <v>76.61</v>
      </c>
      <c r="X98" s="33">
        <v>92.08</v>
      </c>
      <c r="Y98" s="33">
        <v>20.28</v>
      </c>
      <c r="Z98" s="33">
        <v>16.41</v>
      </c>
      <c r="AA98" s="33">
        <v>16.41</v>
      </c>
      <c r="AB98" s="33">
        <v>16.41</v>
      </c>
      <c r="AC98" s="33">
        <v>16.41</v>
      </c>
      <c r="AD98" s="33">
        <v>18.91</v>
      </c>
      <c r="AE98" s="33">
        <v>21.1</v>
      </c>
      <c r="AF98" s="33">
        <v>20.64</v>
      </c>
      <c r="AG98" s="33">
        <v>23.94</v>
      </c>
      <c r="AH98" s="33">
        <v>66.22</v>
      </c>
      <c r="AI98" s="32"/>
      <c r="AJ98" s="34">
        <f>SUM(E98:AI98)</f>
      </c>
      <c r="AK98" s="35"/>
    </row>
    <row r="99" ht="12.75" customHeight="1" spans="2:37" x14ac:dyDescent="0.25">
      <c r="B99" s="30" t="s">
        <v>42</v>
      </c>
      <c r="C99" s="31" t="s">
        <v>3</v>
      </c>
      <c r="D99" s="32" t="s">
        <v>2940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>
        <v>50.42</v>
      </c>
      <c r="U99" s="33">
        <v>51.14</v>
      </c>
      <c r="V99" s="33">
        <v>67.53</v>
      </c>
      <c r="W99" s="33">
        <v>52.76</v>
      </c>
      <c r="X99" s="33">
        <v>21.52</v>
      </c>
      <c r="Y99" s="33">
        <v>16.41</v>
      </c>
      <c r="Z99" s="33">
        <v>16.41</v>
      </c>
      <c r="AA99" s="33">
        <v>16.41</v>
      </c>
      <c r="AB99" s="33">
        <v>16.41</v>
      </c>
      <c r="AC99" s="33">
        <v>16.41</v>
      </c>
      <c r="AD99" s="33">
        <v>16.25</v>
      </c>
      <c r="AE99" s="33">
        <v>57.13</v>
      </c>
      <c r="AF99" s="33">
        <v>114.24</v>
      </c>
      <c r="AG99" s="33">
        <v>109.58</v>
      </c>
      <c r="AH99" s="33">
        <v>101.15</v>
      </c>
      <c r="AI99" s="32"/>
      <c r="AJ99" s="34">
        <f>SUM(E99:AI99)</f>
      </c>
      <c r="AK99" s="35"/>
    </row>
    <row r="100" ht="12.75" customHeight="1" spans="2:37" x14ac:dyDescent="0.25">
      <c r="B100" s="30" t="s">
        <v>42</v>
      </c>
      <c r="C100" s="31" t="s">
        <v>3</v>
      </c>
      <c r="D100" s="32" t="s">
        <v>2941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>
        <v>50.84</v>
      </c>
      <c r="U100" s="33">
        <v>51.83</v>
      </c>
      <c r="V100" s="33">
        <v>33.6</v>
      </c>
      <c r="W100" s="33">
        <v>21</v>
      </c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4">
        <f>SUM(E100:AI100)</f>
      </c>
      <c r="AK100" s="35"/>
    </row>
    <row r="101" ht="12.75" customHeight="1" spans="2:37" x14ac:dyDescent="0.25">
      <c r="B101" s="30" t="s">
        <v>42</v>
      </c>
      <c r="C101" s="31" t="s">
        <v>3</v>
      </c>
      <c r="D101" s="32" t="s">
        <v>2942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>
        <v>62.39</v>
      </c>
      <c r="U101" s="33">
        <v>16.46</v>
      </c>
      <c r="V101" s="33">
        <v>16.41</v>
      </c>
      <c r="W101" s="33">
        <v>23.38</v>
      </c>
      <c r="X101" s="33">
        <v>57.26</v>
      </c>
      <c r="Y101" s="33">
        <v>17.98</v>
      </c>
      <c r="Z101" s="33">
        <v>16.41</v>
      </c>
      <c r="AA101" s="33">
        <v>16.41</v>
      </c>
      <c r="AB101" s="33">
        <v>16.41</v>
      </c>
      <c r="AC101" s="33">
        <v>16.41</v>
      </c>
      <c r="AD101" s="33">
        <v>16.25</v>
      </c>
      <c r="AE101" s="33">
        <v>23.41</v>
      </c>
      <c r="AF101" s="33">
        <v>16.25</v>
      </c>
      <c r="AG101" s="33">
        <v>99.9</v>
      </c>
      <c r="AH101" s="33">
        <v>70.66</v>
      </c>
      <c r="AI101" s="32"/>
      <c r="AJ101" s="34">
        <f>SUM(E101:AI101)</f>
      </c>
      <c r="AK101" s="35"/>
    </row>
    <row r="102" ht="12.75" customHeight="1" spans="2:37" x14ac:dyDescent="0.25">
      <c r="B102" s="30" t="s">
        <v>42</v>
      </c>
      <c r="C102" s="31" t="s">
        <v>3</v>
      </c>
      <c r="D102" s="32" t="s">
        <v>2943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>
        <v>16.41</v>
      </c>
      <c r="U102" s="33">
        <v>106.36</v>
      </c>
      <c r="V102" s="33">
        <v>62.57</v>
      </c>
      <c r="W102" s="36">
        <f>56.62+21.93</f>
        <v>78.55</v>
      </c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4">
        <f>SUM(E102:AI102)</f>
      </c>
      <c r="AK102" s="35"/>
    </row>
    <row r="103" ht="12.75" customHeight="1" spans="2:37" x14ac:dyDescent="0.25">
      <c r="B103" s="30" t="s">
        <v>42</v>
      </c>
      <c r="C103" s="31" t="s">
        <v>3</v>
      </c>
      <c r="D103" s="32" t="s">
        <v>2944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>
        <v>16.41</v>
      </c>
      <c r="U103" s="33">
        <v>50.45</v>
      </c>
      <c r="V103" s="33">
        <v>65.98</v>
      </c>
      <c r="W103" s="33">
        <v>99.16</v>
      </c>
      <c r="X103" s="33">
        <v>16.41</v>
      </c>
      <c r="Y103" s="33">
        <v>16.41</v>
      </c>
      <c r="Z103" s="33">
        <v>16.41</v>
      </c>
      <c r="AA103" s="33">
        <v>29.89</v>
      </c>
      <c r="AB103" s="33">
        <v>16.41</v>
      </c>
      <c r="AC103" s="33">
        <v>16.41</v>
      </c>
      <c r="AD103" s="33">
        <v>16.25</v>
      </c>
      <c r="AE103" s="33">
        <v>100.87</v>
      </c>
      <c r="AF103" s="33">
        <v>115.71</v>
      </c>
      <c r="AG103" s="33">
        <v>91.36</v>
      </c>
      <c r="AH103" s="33">
        <v>110.54</v>
      </c>
      <c r="AI103" s="32"/>
      <c r="AJ103" s="34">
        <f>SUM(E103:AI103)</f>
      </c>
      <c r="AK103" s="35"/>
    </row>
    <row r="104" ht="12.75" customHeight="1" spans="2:37" x14ac:dyDescent="0.25">
      <c r="B104" s="30" t="s">
        <v>42</v>
      </c>
      <c r="C104" s="31" t="s">
        <v>3</v>
      </c>
      <c r="D104" s="32" t="s">
        <v>2945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>
        <v>22.55</v>
      </c>
      <c r="U104" s="33">
        <v>69.8</v>
      </c>
      <c r="V104" s="33">
        <v>63.03</v>
      </c>
      <c r="W104" s="33">
        <v>46.13</v>
      </c>
      <c r="X104" s="33">
        <v>27.5</v>
      </c>
      <c r="Y104" s="33">
        <v>21.93</v>
      </c>
      <c r="Z104" s="33">
        <v>28.15</v>
      </c>
      <c r="AA104" s="33">
        <v>22.43</v>
      </c>
      <c r="AB104" s="33">
        <v>21.85</v>
      </c>
      <c r="AC104" s="33">
        <v>22</v>
      </c>
      <c r="AD104" s="33">
        <v>21.42</v>
      </c>
      <c r="AE104" s="33">
        <v>21.88</v>
      </c>
      <c r="AF104" s="33">
        <v>25.47</v>
      </c>
      <c r="AG104" s="33">
        <v>68.72</v>
      </c>
      <c r="AH104" s="33">
        <v>46.56</v>
      </c>
      <c r="AI104" s="32"/>
      <c r="AJ104" s="34">
        <f>SUM(E104:AI104)</f>
      </c>
      <c r="AK104" s="35"/>
    </row>
    <row r="105" ht="12.75" customHeight="1" spans="2:37" x14ac:dyDescent="0.25">
      <c r="B105" s="30" t="s">
        <v>42</v>
      </c>
      <c r="C105" s="31" t="s">
        <v>3</v>
      </c>
      <c r="D105" s="32" t="s">
        <v>2946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>
        <v>57.96</v>
      </c>
      <c r="V105" s="33">
        <v>53.43</v>
      </c>
      <c r="W105" s="33">
        <v>51.26</v>
      </c>
      <c r="X105" s="33">
        <v>47.63</v>
      </c>
      <c r="Y105" s="33">
        <v>53.04</v>
      </c>
      <c r="Z105" s="33">
        <v>47.68</v>
      </c>
      <c r="AA105" s="33">
        <v>46</v>
      </c>
      <c r="AB105" s="33">
        <v>54.4</v>
      </c>
      <c r="AC105" s="33">
        <v>62.85</v>
      </c>
      <c r="AD105" s="33">
        <v>40.04</v>
      </c>
      <c r="AE105" s="33">
        <v>36.72</v>
      </c>
      <c r="AF105" s="33">
        <v>38.72</v>
      </c>
      <c r="AG105" s="33">
        <v>38.16</v>
      </c>
      <c r="AH105" s="33">
        <v>35.69</v>
      </c>
      <c r="AI105" s="32"/>
      <c r="AJ105" s="34">
        <f>SUM(E105:AI105)</f>
      </c>
      <c r="AK105" s="35"/>
    </row>
    <row r="106" ht="12.75" customHeight="1" spans="2:37" x14ac:dyDescent="0.25">
      <c r="B106" s="30" t="s">
        <v>42</v>
      </c>
      <c r="C106" s="31" t="s">
        <v>3</v>
      </c>
      <c r="D106" s="32" t="s">
        <v>2947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>
        <v>353.34</v>
      </c>
      <c r="V106" s="33">
        <v>353.09</v>
      </c>
      <c r="W106" s="33">
        <v>352.7</v>
      </c>
      <c r="X106" s="33">
        <v>351.48</v>
      </c>
      <c r="Y106" s="33">
        <v>351.19</v>
      </c>
      <c r="Z106" s="33">
        <v>351.11</v>
      </c>
      <c r="AA106" s="33">
        <v>351.24</v>
      </c>
      <c r="AB106" s="33">
        <v>351.2</v>
      </c>
      <c r="AC106" s="33">
        <v>351.52</v>
      </c>
      <c r="AD106" s="33">
        <v>351.6</v>
      </c>
      <c r="AE106" s="33">
        <v>351.95</v>
      </c>
      <c r="AF106" s="33">
        <v>352.31</v>
      </c>
      <c r="AG106" s="33">
        <v>352.39</v>
      </c>
      <c r="AH106" s="33">
        <v>352</v>
      </c>
      <c r="AI106" s="32"/>
      <c r="AJ106" s="34">
        <f>SUM(E106:AI106)</f>
      </c>
      <c r="AK106" s="35"/>
    </row>
    <row r="107" ht="12.75" customHeight="1" spans="2:37" x14ac:dyDescent="0.25">
      <c r="B107" s="30" t="s">
        <v>42</v>
      </c>
      <c r="C107" s="31" t="s">
        <v>3</v>
      </c>
      <c r="D107" s="32" t="s">
        <v>2948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3">
        <v>0</v>
      </c>
      <c r="AH107" s="32"/>
      <c r="AI107" s="32"/>
      <c r="AJ107" s="34">
        <f>SUM(E107:AI107)</f>
      </c>
      <c r="AK107" s="35"/>
    </row>
    <row r="108" ht="12.75" customHeight="1" spans="2:37" x14ac:dyDescent="0.25">
      <c r="B108" s="30" t="s">
        <v>42</v>
      </c>
      <c r="C108" s="31" t="s">
        <v>3</v>
      </c>
      <c r="D108" s="32" t="s">
        <v>2949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>
        <v>108.08</v>
      </c>
      <c r="V108" s="33">
        <v>144.82</v>
      </c>
      <c r="W108" s="33">
        <v>133.88</v>
      </c>
      <c r="X108" s="33">
        <v>123.33</v>
      </c>
      <c r="Y108" s="33">
        <v>144.26</v>
      </c>
      <c r="Z108" s="33">
        <v>197.5</v>
      </c>
      <c r="AA108" s="33">
        <v>247.88</v>
      </c>
      <c r="AB108" s="33">
        <v>352.22</v>
      </c>
      <c r="AC108" s="33">
        <v>301.16</v>
      </c>
      <c r="AD108" s="33">
        <v>117.97</v>
      </c>
      <c r="AE108" s="33">
        <v>85.45</v>
      </c>
      <c r="AF108" s="33">
        <v>74.38</v>
      </c>
      <c r="AG108" s="33">
        <v>111.77</v>
      </c>
      <c r="AH108" s="33">
        <v>108.02</v>
      </c>
      <c r="AI108" s="32"/>
      <c r="AJ108" s="34">
        <f>SUM(E108:AI108)</f>
      </c>
      <c r="AK108" s="35"/>
    </row>
    <row r="109" ht="12.75" customHeight="1" spans="2:37" x14ac:dyDescent="0.25">
      <c r="B109" s="30" t="s">
        <v>42</v>
      </c>
      <c r="C109" s="31" t="s">
        <v>3</v>
      </c>
      <c r="D109" s="32" t="s">
        <v>2950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>
        <v>129.89</v>
      </c>
      <c r="V109" s="33">
        <v>95.1</v>
      </c>
      <c r="W109" s="33">
        <v>92.86</v>
      </c>
      <c r="X109" s="33">
        <v>91.02</v>
      </c>
      <c r="Y109" s="33">
        <v>115.54</v>
      </c>
      <c r="Z109" s="33">
        <v>156.35</v>
      </c>
      <c r="AA109" s="33">
        <v>186.32</v>
      </c>
      <c r="AB109" s="33">
        <v>191.61</v>
      </c>
      <c r="AC109" s="33">
        <v>190.88</v>
      </c>
      <c r="AD109" s="33">
        <v>118.4</v>
      </c>
      <c r="AE109" s="33">
        <v>87.5</v>
      </c>
      <c r="AF109" s="33">
        <v>106.29</v>
      </c>
      <c r="AG109" s="33">
        <v>98.32</v>
      </c>
      <c r="AH109" s="33">
        <v>82.32</v>
      </c>
      <c r="AI109" s="32"/>
      <c r="AJ109" s="34">
        <f>SUM(E109:AI109)</f>
      </c>
      <c r="AK109" s="35"/>
    </row>
    <row r="110" ht="12.75" customHeight="1" spans="2:37" x14ac:dyDescent="0.25">
      <c r="B110" s="30" t="s">
        <v>42</v>
      </c>
      <c r="C110" s="31" t="s">
        <v>3</v>
      </c>
      <c r="D110" s="32" t="s">
        <v>2951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>
        <v>1016.58</v>
      </c>
      <c r="V110" s="33">
        <v>946.83</v>
      </c>
      <c r="W110" s="33">
        <v>948.06</v>
      </c>
      <c r="X110" s="33">
        <v>876.76</v>
      </c>
      <c r="Y110" s="33">
        <v>1151.89</v>
      </c>
      <c r="Z110" s="33">
        <v>1499.89</v>
      </c>
      <c r="AA110" s="33">
        <v>1783.05</v>
      </c>
      <c r="AB110" s="33">
        <v>1803.56</v>
      </c>
      <c r="AC110" s="33">
        <v>1476.48</v>
      </c>
      <c r="AD110" s="33">
        <v>1024.16</v>
      </c>
      <c r="AE110" s="33">
        <v>841.39</v>
      </c>
      <c r="AF110" s="33">
        <v>958.57</v>
      </c>
      <c r="AG110" s="33">
        <v>932.05</v>
      </c>
      <c r="AH110" s="33">
        <v>940.82</v>
      </c>
      <c r="AI110" s="32"/>
      <c r="AJ110" s="34">
        <f>SUM(E110:AI110)</f>
      </c>
      <c r="AK110" s="35"/>
    </row>
    <row r="111" ht="12.75" customHeight="1" spans="2:37" x14ac:dyDescent="0.25">
      <c r="B111" s="30" t="s">
        <v>42</v>
      </c>
      <c r="C111" s="31" t="s">
        <v>3</v>
      </c>
      <c r="D111" s="32" t="s">
        <v>2952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>
        <v>38.66</v>
      </c>
      <c r="V111" s="33">
        <v>45.22</v>
      </c>
      <c r="W111" s="33">
        <v>98.97</v>
      </c>
      <c r="X111" s="33">
        <v>38.7</v>
      </c>
      <c r="Y111" s="33">
        <v>28.1</v>
      </c>
      <c r="Z111" s="33">
        <v>37.97</v>
      </c>
      <c r="AA111" s="33">
        <v>28.1</v>
      </c>
      <c r="AB111" s="33">
        <v>28.71</v>
      </c>
      <c r="AC111" s="33">
        <v>28.09</v>
      </c>
      <c r="AD111" s="33">
        <v>32.35</v>
      </c>
      <c r="AE111" s="33">
        <v>27.83</v>
      </c>
      <c r="AF111" s="33">
        <v>27.83</v>
      </c>
      <c r="AG111" s="33">
        <v>80.23</v>
      </c>
      <c r="AH111" s="33">
        <v>92.11</v>
      </c>
      <c r="AI111" s="32"/>
      <c r="AJ111" s="34">
        <f>SUM(E111:AI111)</f>
      </c>
      <c r="AK111" s="35"/>
    </row>
    <row r="112" ht="12.75" customHeight="1" spans="2:37" x14ac:dyDescent="0.25">
      <c r="B112" s="37"/>
      <c r="C112" s="38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40"/>
    </row>
    <row r="113" ht="12.75" customHeight="1" spans="2:37" x14ac:dyDescent="0.25">
      <c r="B113" s="20" t="s">
        <v>85</v>
      </c>
      <c r="C113" s="21"/>
      <c r="D113" s="21"/>
      <c r="E113" s="22">
        <f>SUM(E15:E111)</f>
      </c>
      <c r="F113" s="22">
        <f>SUM(F15:F111)</f>
      </c>
      <c r="G113" s="22">
        <f>SUM(G15:G111)</f>
      </c>
      <c r="H113" s="22">
        <f>SUM(H15:H111)</f>
      </c>
      <c r="I113" s="22">
        <f>SUM(I15:I111)</f>
      </c>
      <c r="J113" s="22">
        <f>SUM(J15:J111)</f>
      </c>
      <c r="K113" s="22">
        <f>SUM(K15:K111)</f>
      </c>
      <c r="L113" s="22">
        <f>SUM(L15:L111)</f>
      </c>
      <c r="M113" s="22">
        <f>SUM(M15:M111)</f>
      </c>
      <c r="N113" s="22">
        <f>SUM(N15:N111)</f>
      </c>
      <c r="O113" s="22">
        <f>SUM(O15:O111)</f>
      </c>
      <c r="P113" s="22">
        <f>SUM(P15:P111)</f>
      </c>
      <c r="Q113" s="22">
        <f>SUM(Q15:Q111)</f>
      </c>
      <c r="R113" s="22">
        <f>SUM(R15:R111)</f>
      </c>
      <c r="S113" s="22">
        <f>SUM(S15:S111)</f>
      </c>
      <c r="T113" s="22">
        <f>SUM(T15:T111)</f>
      </c>
      <c r="U113" s="22">
        <f>SUM(U15:U111)</f>
      </c>
      <c r="V113" s="22">
        <f>SUM(V15:V111)</f>
      </c>
      <c r="W113" s="22">
        <f>SUM(W15:W111)</f>
      </c>
      <c r="X113" s="22">
        <f>SUM(X15:X111)</f>
      </c>
      <c r="Y113" s="22">
        <f>SUM(Y15:Y111)</f>
      </c>
      <c r="Z113" s="22">
        <f>SUM(Z15:Z111)</f>
      </c>
      <c r="AA113" s="22">
        <f>SUM(AA15:AA111)</f>
      </c>
      <c r="AB113" s="22">
        <f>SUM(AB15:AB111)</f>
      </c>
      <c r="AC113" s="22">
        <f>SUM(AC15:AC111)</f>
      </c>
      <c r="AD113" s="22">
        <f>SUM(AD15:AD111)</f>
      </c>
      <c r="AE113" s="22">
        <f>SUM(AE15:AE111)</f>
      </c>
      <c r="AF113" s="22">
        <f>SUM(AF15:AF111)</f>
      </c>
      <c r="AG113" s="22">
        <f>SUM(AG15:AG111)</f>
      </c>
      <c r="AH113" s="22">
        <f>SUM(AH15:AH111)</f>
      </c>
      <c r="AI113" s="22">
        <f>SUM(AI15:AI111)</f>
      </c>
      <c r="AJ113" s="22">
        <f>SUM(AJ15:AJ111)</f>
      </c>
      <c r="AK113" s="23"/>
    </row>
    <row r="115" ht="12.75" customHeight="1" spans="2:37" x14ac:dyDescent="0.25">
      <c r="B115" s="26" t="s">
        <v>43</v>
      </c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9"/>
    </row>
    <row r="116" ht="12.75" customHeight="1" spans="2:37" x14ac:dyDescent="0.25">
      <c r="B116" s="30" t="s">
        <v>43</v>
      </c>
      <c r="C116" s="31" t="s">
        <v>3</v>
      </c>
      <c r="D116" s="32" t="s">
        <v>2953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6">
        <f>1321.87+5.59+2288.59</f>
        <v>3616.05</v>
      </c>
      <c r="V116" s="36">
        <f>1200.04+5.57+1722.12</f>
        <v>2927.7299999999996</v>
      </c>
      <c r="W116" s="36">
        <f>1097.35+5.57+1597.16</f>
        <v>2700.08</v>
      </c>
      <c r="X116" s="36">
        <f>1089.72+5.57+1586.47</f>
        <v>2681.76</v>
      </c>
      <c r="Y116" s="36">
        <f>1116.41+5.57+1623.91</f>
        <v>2745.8900000000003</v>
      </c>
      <c r="Z116" s="36">
        <f>1078.28+5.57+1570.42</f>
        <v>2654.27</v>
      </c>
      <c r="AA116" s="36">
        <f>1272.76+5.57+1843.19</f>
        <v>3121.52</v>
      </c>
      <c r="AB116" s="36">
        <f>1374.89+5.58+2140.23</f>
        <v>3520.7</v>
      </c>
      <c r="AC116" s="36">
        <f>1286.26+5.58+2078.21</f>
        <v>3370.05</v>
      </c>
      <c r="AD116" s="36">
        <f>1475.20+5.58+2372.89</f>
        <v>3853.67</v>
      </c>
      <c r="AE116" s="36">
        <f>1400.41+5.59+2256.24</f>
        <v>3662.24</v>
      </c>
      <c r="AF116" s="36">
        <f>1502.75+5.58+2415.86</f>
        <v>3924.19</v>
      </c>
      <c r="AG116" s="36">
        <f>1577.54+5.58+2532.50</f>
        <v>4115.62</v>
      </c>
      <c r="AH116" s="36">
        <f>1590.77+5.58+2563.40</f>
        <v>4159.75</v>
      </c>
      <c r="AI116" s="32"/>
      <c r="AJ116" s="34">
        <f>SUM(E116:AI116)</f>
      </c>
      <c r="AK116" s="35"/>
    </row>
    <row r="117" ht="12.75" customHeight="1" spans="2:37" x14ac:dyDescent="0.25">
      <c r="B117" s="30" t="s">
        <v>43</v>
      </c>
      <c r="C117" s="31" t="s">
        <v>3</v>
      </c>
      <c r="D117" s="32" t="s">
        <v>2954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6">
        <f>1998.26+5.60+3567.40</f>
        <v>5571.26</v>
      </c>
      <c r="V117" s="36">
        <f>1998.99+5.60+3637.86</f>
        <v>5642.45</v>
      </c>
      <c r="W117" s="36">
        <f>1990.19+5.57+2886.92</f>
        <v>4882.68</v>
      </c>
      <c r="X117" s="36">
        <f>1783.75+5.57+2559.89</f>
        <v>4349.21</v>
      </c>
      <c r="Y117" s="36">
        <f>1791.37+5.57+2570.59</f>
        <v>4367.53</v>
      </c>
      <c r="Z117" s="36">
        <f>1631.22+5.57+2345.95</f>
        <v>3982.74</v>
      </c>
      <c r="AA117" s="36">
        <f>2199.40+5.57+3142.88</f>
        <v>5347.85</v>
      </c>
      <c r="AB117" s="36">
        <f>2183.94+5.58+3359.75</f>
        <v>5549.27</v>
      </c>
      <c r="AC117" s="36">
        <f>1916.04+5.59+3060.45</f>
        <v>4982.08</v>
      </c>
      <c r="AD117" s="36">
        <f>1998.71+5.58+3189.37</f>
        <v>5193.66</v>
      </c>
      <c r="AE117" s="36">
        <f>2553.71+5.58+4054.98</f>
        <v>6614.27</v>
      </c>
      <c r="AF117" s="36">
        <f>2301.80+5.58+3662.08</f>
        <v>5969.46</v>
      </c>
      <c r="AG117" s="36">
        <f>2467.11+5.58+3919.92</f>
        <v>6392.610000000001</v>
      </c>
      <c r="AH117" s="36">
        <f>2557.65+5.58+4061.11</f>
        <v>6624.34</v>
      </c>
      <c r="AI117" s="32"/>
      <c r="AJ117" s="34">
        <f>SUM(E117:AI117)</f>
      </c>
      <c r="AK117" s="35"/>
    </row>
    <row r="118" ht="12.75" customHeight="1" spans="2:37" x14ac:dyDescent="0.25">
      <c r="B118" s="30" t="s">
        <v>43</v>
      </c>
      <c r="C118" s="31" t="s">
        <v>3</v>
      </c>
      <c r="D118" s="32" t="s">
        <v>2955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6">
        <f>636.41+5.61+1359.27</f>
        <v>2001.29</v>
      </c>
      <c r="V118" s="36">
        <f>498.52+5.58+749.51</f>
        <v>1253.61</v>
      </c>
      <c r="W118" s="36">
        <f>452.88+5.58+693.28</f>
        <v>1151.74</v>
      </c>
      <c r="X118" s="36">
        <f>460.49+5.58+703.98</f>
        <v>1170.05</v>
      </c>
      <c r="Y118" s="36">
        <f>414.74+5.58+639.79</f>
        <v>1060.11</v>
      </c>
      <c r="Z118" s="36">
        <f>399.48+5.58+618.41</f>
        <v>1023.47</v>
      </c>
      <c r="AA118" s="36">
        <f>563.47+5.58+848.38</f>
        <v>1417.43</v>
      </c>
      <c r="AB118" s="36">
        <f>581.46+5.58+944.24</f>
        <v>1531.2800000000002</v>
      </c>
      <c r="AC118" s="36">
        <f>542.30+5.59+917.94</f>
        <v>1465.83</v>
      </c>
      <c r="AD118" s="36">
        <f>849.34+5.59+1396.78</f>
        <v>2251.71</v>
      </c>
      <c r="AE118" s="36">
        <f>869.77+5.62+1910.92</f>
        <v>2786.31</v>
      </c>
      <c r="AF118" s="36">
        <f>849.34+5.59+1396.78</f>
        <v>2251.71</v>
      </c>
      <c r="AG118" s="36">
        <f>865.51+5.59+1458.93</f>
        <v>2330.03</v>
      </c>
      <c r="AH118" s="36">
        <f>865.58+5.59+1465.19</f>
        <v>2336.36</v>
      </c>
      <c r="AI118" s="32"/>
      <c r="AJ118" s="34">
        <f>SUM(E118:AI118)</f>
      </c>
      <c r="AK118" s="35"/>
    </row>
    <row r="119" ht="12.75" customHeight="1" spans="2:37" x14ac:dyDescent="0.25">
      <c r="B119" s="30" t="s">
        <v>43</v>
      </c>
      <c r="C119" s="31" t="s">
        <v>3</v>
      </c>
      <c r="D119" s="32" t="s">
        <v>2956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6">
        <f>1890.71+5.57+2723.07</f>
        <v>4619.35</v>
      </c>
      <c r="V119" s="36">
        <f>1892.96+5.58+2894.79</f>
        <v>4793.33</v>
      </c>
      <c r="W119" s="36">
        <f>1741.80+5.57+2501.06</f>
        <v>4248.43</v>
      </c>
      <c r="X119" s="36">
        <f>1673.17+5.57+2404.78</f>
        <v>4083.5200000000004</v>
      </c>
      <c r="Y119" s="36">
        <f>1787.57+5.57+2565.24</f>
        <v>4358.379999999999</v>
      </c>
      <c r="Z119" s="36">
        <f>1444.37+5.57+2083.87</f>
        <v>3533.8099999999995</v>
      </c>
      <c r="AA119" s="36">
        <f>1856.21+5.57+2661.51</f>
        <v>4523.29</v>
      </c>
      <c r="AB119" s="36">
        <f>1894.71+5.58+2923.79</f>
        <v>4824.08</v>
      </c>
      <c r="AC119" s="36">
        <f>1699.56+5.58+2722.81</f>
        <v>4427.95</v>
      </c>
      <c r="AD119" s="36">
        <f>1805.84+5.58+2888.56</f>
        <v>4699.98</v>
      </c>
      <c r="AE119" s="36">
        <f>1975.09+5.58+3152.54</f>
        <v>5133.21</v>
      </c>
      <c r="AF119" s="36">
        <f>1955.41+5.58+3121.84</f>
        <v>5082.83</v>
      </c>
      <c r="AG119" s="36">
        <f>1951.48+5.58+3115.71</f>
        <v>5072.77</v>
      </c>
      <c r="AH119" s="36">
        <f>1971.16+5.59+3146.40</f>
        <v>5123.15</v>
      </c>
      <c r="AI119" s="32"/>
      <c r="AJ119" s="34">
        <f>SUM(E119:AI119)</f>
      </c>
      <c r="AK119" s="35"/>
    </row>
    <row r="120" ht="12.75" customHeight="1" spans="2:37" x14ac:dyDescent="0.25">
      <c r="B120" s="37"/>
      <c r="C120" s="3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40"/>
    </row>
    <row r="121" ht="12.75" customHeight="1" spans="2:37" x14ac:dyDescent="0.25">
      <c r="B121" s="20" t="s">
        <v>89</v>
      </c>
      <c r="C121" s="21"/>
      <c r="D121" s="21"/>
      <c r="E121" s="22">
        <f>SUM(E116:E119)</f>
      </c>
      <c r="F121" s="22">
        <f>SUM(F116:F119)</f>
      </c>
      <c r="G121" s="22">
        <f>SUM(G116:G119)</f>
      </c>
      <c r="H121" s="22">
        <f>SUM(H116:H119)</f>
      </c>
      <c r="I121" s="22">
        <f>SUM(I116:I119)</f>
      </c>
      <c r="J121" s="22">
        <f>SUM(J116:J119)</f>
      </c>
      <c r="K121" s="22">
        <f>SUM(K116:K119)</f>
      </c>
      <c r="L121" s="22">
        <f>SUM(L116:L119)</f>
      </c>
      <c r="M121" s="22">
        <f>SUM(M116:M119)</f>
      </c>
      <c r="N121" s="22">
        <f>SUM(N116:N119)</f>
      </c>
      <c r="O121" s="22">
        <f>SUM(O116:O119)</f>
      </c>
      <c r="P121" s="22">
        <f>SUM(P116:P119)</f>
      </c>
      <c r="Q121" s="22">
        <f>SUM(Q116:Q119)</f>
      </c>
      <c r="R121" s="22">
        <f>SUM(R116:R119)</f>
      </c>
      <c r="S121" s="22">
        <f>SUM(S116:S119)</f>
      </c>
      <c r="T121" s="22">
        <f>SUM(T116:T119)</f>
      </c>
      <c r="U121" s="22">
        <f>SUM(U116:U119)</f>
      </c>
      <c r="V121" s="22">
        <f>SUM(V116:V119)</f>
      </c>
      <c r="W121" s="22">
        <f>SUM(W116:W119)</f>
      </c>
      <c r="X121" s="22">
        <f>SUM(X116:X119)</f>
      </c>
      <c r="Y121" s="22">
        <f>SUM(Y116:Y119)</f>
      </c>
      <c r="Z121" s="22">
        <f>SUM(Z116:Z119)</f>
      </c>
      <c r="AA121" s="22">
        <f>SUM(AA116:AA119)</f>
      </c>
      <c r="AB121" s="22">
        <f>SUM(AB116:AB119)</f>
      </c>
      <c r="AC121" s="22">
        <f>SUM(AC116:AC119)</f>
      </c>
      <c r="AD121" s="22">
        <f>SUM(AD116:AD119)</f>
      </c>
      <c r="AE121" s="22">
        <f>SUM(AE116:AE119)</f>
      </c>
      <c r="AF121" s="22">
        <f>SUM(AF116:AF119)</f>
      </c>
      <c r="AG121" s="22">
        <f>SUM(AG116:AG119)</f>
      </c>
      <c r="AH121" s="22">
        <f>SUM(AH116:AH119)</f>
      </c>
      <c r="AI121" s="22">
        <f>SUM(AI116:AI119)</f>
      </c>
      <c r="AJ121" s="22">
        <f>SUM(AJ116:AJ119)</f>
      </c>
      <c r="AK121" s="23"/>
    </row>
    <row r="123" ht="12.75" customHeight="1" spans="2:37" x14ac:dyDescent="0.25">
      <c r="B123" s="26" t="s">
        <v>44</v>
      </c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9"/>
    </row>
    <row r="124" ht="12.75" customHeight="1" spans="2:37" x14ac:dyDescent="0.25">
      <c r="B124" s="37"/>
      <c r="C124" s="3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40"/>
    </row>
    <row r="125" ht="12.75" customHeight="1" spans="2:37" x14ac:dyDescent="0.25">
      <c r="B125" s="20" t="s">
        <v>90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3"/>
    </row>
    <row r="128" ht="12.75" customHeight="1" spans="2:37" x14ac:dyDescent="0.25">
      <c r="B128" s="11" t="s">
        <v>40</v>
      </c>
      <c r="C128" s="12"/>
      <c r="D128" s="13"/>
      <c r="E128" s="14" t="s">
        <v>7</v>
      </c>
      <c r="F128" s="14" t="s">
        <v>8</v>
      </c>
      <c r="G128" s="14" t="s">
        <v>9</v>
      </c>
      <c r="H128" s="14" t="s">
        <v>10</v>
      </c>
      <c r="I128" s="14" t="s">
        <v>11</v>
      </c>
      <c r="J128" s="14" t="s">
        <v>12</v>
      </c>
      <c r="K128" s="14" t="s">
        <v>13</v>
      </c>
      <c r="L128" s="14" t="s">
        <v>14</v>
      </c>
      <c r="M128" s="14" t="s">
        <v>15</v>
      </c>
      <c r="N128" s="14" t="s">
        <v>16</v>
      </c>
      <c r="O128" s="14" t="s">
        <v>17</v>
      </c>
      <c r="P128" s="14" t="s">
        <v>18</v>
      </c>
      <c r="Q128" s="14" t="s">
        <v>19</v>
      </c>
      <c r="R128" s="14" t="s">
        <v>20</v>
      </c>
      <c r="S128" s="14" t="s">
        <v>21</v>
      </c>
      <c r="T128" s="14" t="s">
        <v>22</v>
      </c>
      <c r="U128" s="14" t="s">
        <v>23</v>
      </c>
      <c r="V128" s="14" t="s">
        <v>24</v>
      </c>
      <c r="W128" s="14" t="s">
        <v>25</v>
      </c>
      <c r="X128" s="14" t="s">
        <v>26</v>
      </c>
      <c r="Y128" s="14" t="s">
        <v>27</v>
      </c>
      <c r="Z128" s="14" t="s">
        <v>28</v>
      </c>
      <c r="AA128" s="14" t="s">
        <v>29</v>
      </c>
      <c r="AB128" s="14" t="s">
        <v>30</v>
      </c>
      <c r="AC128" s="14" t="s">
        <v>31</v>
      </c>
      <c r="AD128" s="14" t="s">
        <v>32</v>
      </c>
      <c r="AE128" s="14" t="s">
        <v>33</v>
      </c>
      <c r="AF128" s="14" t="s">
        <v>34</v>
      </c>
      <c r="AG128" s="14" t="s">
        <v>35</v>
      </c>
      <c r="AH128" s="14" t="s">
        <v>36</v>
      </c>
      <c r="AI128" s="14" t="s">
        <v>37</v>
      </c>
      <c r="AJ128" s="14" t="s">
        <v>38</v>
      </c>
      <c r="AK128" s="15"/>
    </row>
    <row r="129" ht="12.75" customHeight="1" spans="2:37" x14ac:dyDescent="0.25">
      <c r="B129" s="16" t="s">
        <v>41</v>
      </c>
      <c r="C129" s="17"/>
      <c r="D129" s="17"/>
      <c r="E129" s="18">
        <f>E12</f>
      </c>
      <c r="F129" s="18">
        <f>F12</f>
      </c>
      <c r="G129" s="18">
        <f>G12</f>
      </c>
      <c r="H129" s="18">
        <f>H12</f>
      </c>
      <c r="I129" s="18">
        <f>I12</f>
      </c>
      <c r="J129" s="18">
        <f>J12</f>
      </c>
      <c r="K129" s="18">
        <f>K12</f>
      </c>
      <c r="L129" s="18">
        <f>L12</f>
      </c>
      <c r="M129" s="18">
        <f>M12</f>
      </c>
      <c r="N129" s="18">
        <f>N12</f>
      </c>
      <c r="O129" s="18">
        <f>O12</f>
      </c>
      <c r="P129" s="18">
        <f>P12</f>
      </c>
      <c r="Q129" s="18">
        <f>Q12</f>
      </c>
      <c r="R129" s="18">
        <f>R12</f>
      </c>
      <c r="S129" s="18">
        <f>S12</f>
      </c>
      <c r="T129" s="18">
        <f>T12</f>
      </c>
      <c r="U129" s="18">
        <f>U12</f>
      </c>
      <c r="V129" s="18">
        <f>V12</f>
      </c>
      <c r="W129" s="18">
        <f>W12</f>
      </c>
      <c r="X129" s="18">
        <f>X12</f>
      </c>
      <c r="Y129" s="18">
        <f>Y12</f>
      </c>
      <c r="Z129" s="18">
        <f>Z12</f>
      </c>
      <c r="AA129" s="18">
        <f>AA12</f>
      </c>
      <c r="AB129" s="18">
        <f>AB12</f>
      </c>
      <c r="AC129" s="18">
        <f>AC12</f>
      </c>
      <c r="AD129" s="18">
        <f>AD12</f>
      </c>
      <c r="AE129" s="18">
        <f>AE12</f>
      </c>
      <c r="AF129" s="18">
        <f>AF12</f>
      </c>
      <c r="AG129" s="18">
        <f>AG12</f>
      </c>
      <c r="AH129" s="18">
        <f>AH12</f>
      </c>
      <c r="AI129" s="18">
        <f>AI12</f>
      </c>
      <c r="AJ129" s="18">
        <f>AJ12</f>
      </c>
      <c r="AK129" s="19"/>
    </row>
    <row r="130" ht="12.75" customHeight="1" spans="2:37" x14ac:dyDescent="0.25">
      <c r="B130" s="16" t="s">
        <v>42</v>
      </c>
      <c r="C130" s="17"/>
      <c r="D130" s="17"/>
      <c r="E130" s="18">
        <f>E113</f>
      </c>
      <c r="F130" s="18">
        <f>F113</f>
      </c>
      <c r="G130" s="18">
        <f>G113</f>
      </c>
      <c r="H130" s="18">
        <f>H113</f>
      </c>
      <c r="I130" s="18">
        <f>I113</f>
      </c>
      <c r="J130" s="18">
        <f>J113</f>
      </c>
      <c r="K130" s="18">
        <f>K113</f>
      </c>
      <c r="L130" s="18">
        <f>L113</f>
      </c>
      <c r="M130" s="18">
        <f>M113</f>
      </c>
      <c r="N130" s="18">
        <f>N113</f>
      </c>
      <c r="O130" s="18">
        <f>O113</f>
      </c>
      <c r="P130" s="18">
        <f>P113</f>
      </c>
      <c r="Q130" s="18">
        <f>Q113</f>
      </c>
      <c r="R130" s="18">
        <f>R113</f>
      </c>
      <c r="S130" s="18">
        <f>S113</f>
      </c>
      <c r="T130" s="18">
        <f>T113</f>
      </c>
      <c r="U130" s="18">
        <f>U113</f>
      </c>
      <c r="V130" s="18">
        <f>V113</f>
      </c>
      <c r="W130" s="18">
        <f>W113</f>
      </c>
      <c r="X130" s="18">
        <f>X113</f>
      </c>
      <c r="Y130" s="18">
        <f>Y113</f>
      </c>
      <c r="Z130" s="18">
        <f>Z113</f>
      </c>
      <c r="AA130" s="18">
        <f>AA113</f>
      </c>
      <c r="AB130" s="18">
        <f>AB113</f>
      </c>
      <c r="AC130" s="18">
        <f>AC113</f>
      </c>
      <c r="AD130" s="18">
        <f>AD113</f>
      </c>
      <c r="AE130" s="18">
        <f>AE113</f>
      </c>
      <c r="AF130" s="18">
        <f>AF113</f>
      </c>
      <c r="AG130" s="18">
        <f>AG113</f>
      </c>
      <c r="AH130" s="18">
        <f>AH113</f>
      </c>
      <c r="AI130" s="18">
        <f>AI113</f>
      </c>
      <c r="AJ130" s="18">
        <f>AJ113</f>
      </c>
      <c r="AK130" s="19"/>
    </row>
    <row r="131" ht="12.75" customHeight="1" spans="2:37" x14ac:dyDescent="0.25">
      <c r="B131" s="16" t="s">
        <v>43</v>
      </c>
      <c r="C131" s="17"/>
      <c r="D131" s="17"/>
      <c r="E131" s="18">
        <f>E121</f>
      </c>
      <c r="F131" s="18">
        <f>F121</f>
      </c>
      <c r="G131" s="18">
        <f>G121</f>
      </c>
      <c r="H131" s="18">
        <f>H121</f>
      </c>
      <c r="I131" s="18">
        <f>I121</f>
      </c>
      <c r="J131" s="18">
        <f>J121</f>
      </c>
      <c r="K131" s="18">
        <f>K121</f>
      </c>
      <c r="L131" s="18">
        <f>L121</f>
      </c>
      <c r="M131" s="18">
        <f>M121</f>
      </c>
      <c r="N131" s="18">
        <f>N121</f>
      </c>
      <c r="O131" s="18">
        <f>O121</f>
      </c>
      <c r="P131" s="18">
        <f>P121</f>
      </c>
      <c r="Q131" s="18">
        <f>Q121</f>
      </c>
      <c r="R131" s="18">
        <f>R121</f>
      </c>
      <c r="S131" s="18">
        <f>S121</f>
      </c>
      <c r="T131" s="18">
        <f>T121</f>
      </c>
      <c r="U131" s="18">
        <f>U121</f>
      </c>
      <c r="V131" s="18">
        <f>V121</f>
      </c>
      <c r="W131" s="18">
        <f>W121</f>
      </c>
      <c r="X131" s="18">
        <f>X121</f>
      </c>
      <c r="Y131" s="18">
        <f>Y121</f>
      </c>
      <c r="Z131" s="18">
        <f>Z121</f>
      </c>
      <c r="AA131" s="18">
        <f>AA121</f>
      </c>
      <c r="AB131" s="18">
        <f>AB121</f>
      </c>
      <c r="AC131" s="18">
        <f>AC121</f>
      </c>
      <c r="AD131" s="18">
        <f>AD121</f>
      </c>
      <c r="AE131" s="18">
        <f>AE121</f>
      </c>
      <c r="AF131" s="18">
        <f>AF121</f>
      </c>
      <c r="AG131" s="18">
        <f>AG121</f>
      </c>
      <c r="AH131" s="18">
        <f>AH121</f>
      </c>
      <c r="AI131" s="18">
        <f>AI121</f>
      </c>
      <c r="AJ131" s="18">
        <f>AJ121</f>
      </c>
      <c r="AK131" s="19"/>
    </row>
    <row r="132" ht="12.75" customHeight="1" spans="2:37" x14ac:dyDescent="0.25">
      <c r="B132" s="16" t="s">
        <v>44</v>
      </c>
      <c r="C132" s="17"/>
      <c r="D132" s="17"/>
      <c r="E132" s="18">
        <f>E125</f>
      </c>
      <c r="F132" s="18">
        <f>F125</f>
      </c>
      <c r="G132" s="18">
        <f>G125</f>
      </c>
      <c r="H132" s="18">
        <f>H125</f>
      </c>
      <c r="I132" s="18">
        <f>I125</f>
      </c>
      <c r="J132" s="18">
        <f>J125</f>
      </c>
      <c r="K132" s="18">
        <f>K125</f>
      </c>
      <c r="L132" s="18">
        <f>L125</f>
      </c>
      <c r="M132" s="18">
        <f>M125</f>
      </c>
      <c r="N132" s="18">
        <f>N125</f>
      </c>
      <c r="O132" s="18">
        <f>O125</f>
      </c>
      <c r="P132" s="18">
        <f>P125</f>
      </c>
      <c r="Q132" s="18">
        <f>Q125</f>
      </c>
      <c r="R132" s="18">
        <f>R125</f>
      </c>
      <c r="S132" s="18">
        <f>S125</f>
      </c>
      <c r="T132" s="18">
        <f>T125</f>
      </c>
      <c r="U132" s="18">
        <f>U125</f>
      </c>
      <c r="V132" s="18">
        <f>V125</f>
      </c>
      <c r="W132" s="18">
        <f>W125</f>
      </c>
      <c r="X132" s="18">
        <f>X125</f>
      </c>
      <c r="Y132" s="18">
        <f>Y125</f>
      </c>
      <c r="Z132" s="18">
        <f>Z125</f>
      </c>
      <c r="AA132" s="18">
        <f>AA125</f>
      </c>
      <c r="AB132" s="18">
        <f>AB125</f>
      </c>
      <c r="AC132" s="18">
        <f>AC125</f>
      </c>
      <c r="AD132" s="18">
        <f>AD125</f>
      </c>
      <c r="AE132" s="18">
        <f>AE125</f>
      </c>
      <c r="AF132" s="18">
        <f>AF125</f>
      </c>
      <c r="AG132" s="18">
        <f>AG125</f>
      </c>
      <c r="AH132" s="18">
        <f>AH125</f>
      </c>
      <c r="AI132" s="18">
        <f>AI125</f>
      </c>
      <c r="AJ132" s="18">
        <f>AJ125</f>
      </c>
      <c r="AK132" s="19"/>
    </row>
    <row r="133" ht="12.75" customHeight="1" spans="2:37" x14ac:dyDescent="0.25">
      <c r="B133" s="20" t="s">
        <v>45</v>
      </c>
      <c r="C133" s="21"/>
      <c r="D133" s="21"/>
      <c r="E133" s="22">
        <f>E129+E130+E131+E132</f>
      </c>
      <c r="F133" s="22">
        <f>F129+F130+F131+F132</f>
      </c>
      <c r="G133" s="22">
        <f>G129+G130+G131+G132</f>
      </c>
      <c r="H133" s="22">
        <f>H129+H130+H131+H132</f>
      </c>
      <c r="I133" s="22">
        <f>I129+I130+I131+I132</f>
      </c>
      <c r="J133" s="22">
        <f>J129+J130+J131+J132</f>
      </c>
      <c r="K133" s="22">
        <f>K129+K130+K131+K132</f>
      </c>
      <c r="L133" s="22">
        <f>L129+L130+L131+L132</f>
      </c>
      <c r="M133" s="22">
        <f>M129+M130+M131+M132</f>
      </c>
      <c r="N133" s="22">
        <f>N129+N130+N131+N132</f>
      </c>
      <c r="O133" s="22">
        <f>O129+O130+O131+O132</f>
      </c>
      <c r="P133" s="22">
        <f>P129+P130+P131+P132</f>
      </c>
      <c r="Q133" s="22">
        <f>Q129+Q130+Q131+Q132</f>
      </c>
      <c r="R133" s="22">
        <f>R129+R130+R131+R132</f>
      </c>
      <c r="S133" s="22">
        <f>S129+S130+S131+S132</f>
      </c>
      <c r="T133" s="22">
        <f>T129+T130+T131+T132</f>
      </c>
      <c r="U133" s="22">
        <f>U129+U130+U131+U132</f>
      </c>
      <c r="V133" s="22">
        <f>V129+V130+V131+V132</f>
      </c>
      <c r="W133" s="22">
        <f>W129+W130+W131+W132</f>
      </c>
      <c r="X133" s="22">
        <f>X129+X130+X131+X132</f>
      </c>
      <c r="Y133" s="22">
        <f>Y129+Y130+Y131+Y132</f>
      </c>
      <c r="Z133" s="22">
        <f>Z129+Z130+Z131+Z132</f>
      </c>
      <c r="AA133" s="22">
        <f>AA129+AA130+AA131+AA132</f>
      </c>
      <c r="AB133" s="22">
        <f>AB129+AB130+AB131+AB132</f>
      </c>
      <c r="AC133" s="22">
        <f>AC129+AC130+AC131+AC132</f>
      </c>
      <c r="AD133" s="22">
        <f>AD129+AD130+AD131+AD132</f>
      </c>
      <c r="AE133" s="22">
        <f>AE129+AE130+AE131+AE132</f>
      </c>
      <c r="AF133" s="22">
        <f>AF129+AF130+AF131+AF132</f>
      </c>
      <c r="AG133" s="22">
        <f>AG129+AG130+AG131+AG132</f>
      </c>
      <c r="AH133" s="22">
        <f>AH129+AH130+AH131+AH132</f>
      </c>
      <c r="AI133" s="22">
        <f>AI129+AI130+AI131+AI132</f>
      </c>
      <c r="AJ133" s="22">
        <f>AJ129+AJ130+AJ131+AJ132</f>
      </c>
      <c r="AK133" s="23"/>
    </row>
    <row r="135" ht="12.75" customHeight="1" spans="2:37" x14ac:dyDescent="0.25">
      <c r="B135" s="11" t="s">
        <v>46</v>
      </c>
      <c r="C135" s="12"/>
      <c r="D135" s="13"/>
      <c r="E135" s="14" t="s">
        <v>7</v>
      </c>
      <c r="F135" s="14" t="s">
        <v>8</v>
      </c>
      <c r="G135" s="14" t="s">
        <v>9</v>
      </c>
      <c r="H135" s="14" t="s">
        <v>10</v>
      </c>
      <c r="I135" s="14" t="s">
        <v>11</v>
      </c>
      <c r="J135" s="14" t="s">
        <v>12</v>
      </c>
      <c r="K135" s="14" t="s">
        <v>13</v>
      </c>
      <c r="L135" s="14" t="s">
        <v>14</v>
      </c>
      <c r="M135" s="14" t="s">
        <v>15</v>
      </c>
      <c r="N135" s="14" t="s">
        <v>16</v>
      </c>
      <c r="O135" s="14" t="s">
        <v>17</v>
      </c>
      <c r="P135" s="14" t="s">
        <v>18</v>
      </c>
      <c r="Q135" s="14" t="s">
        <v>19</v>
      </c>
      <c r="R135" s="14" t="s">
        <v>20</v>
      </c>
      <c r="S135" s="14" t="s">
        <v>21</v>
      </c>
      <c r="T135" s="14" t="s">
        <v>22</v>
      </c>
      <c r="U135" s="14" t="s">
        <v>23</v>
      </c>
      <c r="V135" s="14" t="s">
        <v>24</v>
      </c>
      <c r="W135" s="14" t="s">
        <v>25</v>
      </c>
      <c r="X135" s="14" t="s">
        <v>26</v>
      </c>
      <c r="Y135" s="14" t="s">
        <v>27</v>
      </c>
      <c r="Z135" s="14" t="s">
        <v>28</v>
      </c>
      <c r="AA135" s="14" t="s">
        <v>29</v>
      </c>
      <c r="AB135" s="14" t="s">
        <v>30</v>
      </c>
      <c r="AC135" s="14" t="s">
        <v>31</v>
      </c>
      <c r="AD135" s="14" t="s">
        <v>32</v>
      </c>
      <c r="AE135" s="14" t="s">
        <v>33</v>
      </c>
      <c r="AF135" s="14" t="s">
        <v>34</v>
      </c>
      <c r="AG135" s="14" t="s">
        <v>35</v>
      </c>
      <c r="AH135" s="14" t="s">
        <v>36</v>
      </c>
      <c r="AI135" s="14" t="s">
        <v>37</v>
      </c>
      <c r="AJ135" s="14" t="s">
        <v>38</v>
      </c>
      <c r="AK135" s="15"/>
    </row>
    <row r="136" ht="12.75" customHeight="1" spans="2:37" x14ac:dyDescent="0.25">
      <c r="B136" s="16" t="s">
        <v>41</v>
      </c>
      <c r="C136" s="17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9"/>
    </row>
    <row r="137" ht="12.75" customHeight="1" spans="2:37" x14ac:dyDescent="0.25">
      <c r="B137" s="16" t="s">
        <v>42</v>
      </c>
      <c r="C137" s="17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/>
    </row>
    <row r="138" ht="12.75" customHeight="1" spans="2:37" x14ac:dyDescent="0.25">
      <c r="B138" s="16" t="s">
        <v>43</v>
      </c>
      <c r="C138" s="17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9"/>
    </row>
    <row r="139" ht="12.75" customHeight="1" spans="2:37" x14ac:dyDescent="0.25">
      <c r="B139" s="16" t="s">
        <v>44</v>
      </c>
      <c r="C139" s="17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9"/>
    </row>
    <row r="140" ht="12.75" customHeight="1" spans="2:37" x14ac:dyDescent="0.25">
      <c r="B140" s="20" t="s">
        <v>45</v>
      </c>
      <c r="C140" s="21"/>
      <c r="D140" s="21"/>
      <c r="E140" s="22">
        <f>E136+E137+E138+E139</f>
      </c>
      <c r="F140" s="22">
        <f>F136+F137+F138+F139</f>
      </c>
      <c r="G140" s="22">
        <f>G136+G137+G138+G139</f>
      </c>
      <c r="H140" s="22">
        <f>H136+H137+H138+H139</f>
      </c>
      <c r="I140" s="22">
        <f>I136+I137+I138+I139</f>
      </c>
      <c r="J140" s="22">
        <f>J136+J137+J138+J139</f>
      </c>
      <c r="K140" s="22">
        <f>K136+K137+K138+K139</f>
      </c>
      <c r="L140" s="22">
        <f>L136+L137+L138+L139</f>
      </c>
      <c r="M140" s="22">
        <f>M136+M137+M138+M139</f>
      </c>
      <c r="N140" s="22">
        <f>N136+N137+N138+N139</f>
      </c>
      <c r="O140" s="22">
        <f>O136+O137+O138+O139</f>
      </c>
      <c r="P140" s="22">
        <f>P136+P137+P138+P139</f>
      </c>
      <c r="Q140" s="22">
        <f>Q136+Q137+Q138+Q139</f>
      </c>
      <c r="R140" s="22">
        <f>R136+R137+R138+R139</f>
      </c>
      <c r="S140" s="22">
        <f>S136+S137+S138+S139</f>
      </c>
      <c r="T140" s="22">
        <f>T136+T137+T138+T139</f>
      </c>
      <c r="U140" s="22">
        <f>U136+U137+U138+U139</f>
      </c>
      <c r="V140" s="22">
        <f>V136+V137+V138+V139</f>
      </c>
      <c r="W140" s="22">
        <f>W136+W137+W138+W139</f>
      </c>
      <c r="X140" s="22">
        <f>X136+X137+X138+X139</f>
      </c>
      <c r="Y140" s="22">
        <f>Y136+Y137+Y138+Y139</f>
      </c>
      <c r="Z140" s="22">
        <f>Z136+Z137+Z138+Z139</f>
      </c>
      <c r="AA140" s="22">
        <f>AA136+AA137+AA138+AA139</f>
      </c>
      <c r="AB140" s="22">
        <f>AB136+AB137+AB138+AB139</f>
      </c>
      <c r="AC140" s="22">
        <f>AC136+AC137+AC138+AC139</f>
      </c>
      <c r="AD140" s="22">
        <f>AD136+AD137+AD138+AD139</f>
      </c>
      <c r="AE140" s="22">
        <f>AE136+AE137+AE138+AE139</f>
      </c>
      <c r="AF140" s="22">
        <f>AF136+AF137+AF138+AF139</f>
      </c>
      <c r="AG140" s="22">
        <f>AG136+AG137+AG138+AG139</f>
      </c>
      <c r="AH140" s="22">
        <f>AH136+AH137+AH138+AH139</f>
      </c>
      <c r="AI140" s="22">
        <f>AI136+AI137+AI138+AI139</f>
      </c>
      <c r="AJ140" s="22">
        <f>AJ136+AJ137+AJ138+AJ139</f>
      </c>
      <c r="AK140" s="23"/>
    </row>
    <row r="142" ht="12.75" customHeight="1" spans="2:37" x14ac:dyDescent="0.25">
      <c r="B142" s="11" t="s">
        <v>47</v>
      </c>
      <c r="C142" s="12"/>
      <c r="D142" s="13"/>
      <c r="E142" s="14" t="s">
        <v>7</v>
      </c>
      <c r="F142" s="14" t="s">
        <v>8</v>
      </c>
      <c r="G142" s="14" t="s">
        <v>9</v>
      </c>
      <c r="H142" s="14" t="s">
        <v>10</v>
      </c>
      <c r="I142" s="14" t="s">
        <v>11</v>
      </c>
      <c r="J142" s="14" t="s">
        <v>12</v>
      </c>
      <c r="K142" s="14" t="s">
        <v>13</v>
      </c>
      <c r="L142" s="14" t="s">
        <v>14</v>
      </c>
      <c r="M142" s="14" t="s">
        <v>15</v>
      </c>
      <c r="N142" s="14" t="s">
        <v>16</v>
      </c>
      <c r="O142" s="14" t="s">
        <v>17</v>
      </c>
      <c r="P142" s="14" t="s">
        <v>18</v>
      </c>
      <c r="Q142" s="14" t="s">
        <v>19</v>
      </c>
      <c r="R142" s="14" t="s">
        <v>20</v>
      </c>
      <c r="S142" s="14" t="s">
        <v>21</v>
      </c>
      <c r="T142" s="14" t="s">
        <v>22</v>
      </c>
      <c r="U142" s="14" t="s">
        <v>23</v>
      </c>
      <c r="V142" s="14" t="s">
        <v>24</v>
      </c>
      <c r="W142" s="14" t="s">
        <v>25</v>
      </c>
      <c r="X142" s="14" t="s">
        <v>26</v>
      </c>
      <c r="Y142" s="14" t="s">
        <v>27</v>
      </c>
      <c r="Z142" s="14" t="s">
        <v>28</v>
      </c>
      <c r="AA142" s="14" t="s">
        <v>29</v>
      </c>
      <c r="AB142" s="14" t="s">
        <v>30</v>
      </c>
      <c r="AC142" s="14" t="s">
        <v>31</v>
      </c>
      <c r="AD142" s="14" t="s">
        <v>32</v>
      </c>
      <c r="AE142" s="14" t="s">
        <v>33</v>
      </c>
      <c r="AF142" s="14" t="s">
        <v>34</v>
      </c>
      <c r="AG142" s="14" t="s">
        <v>35</v>
      </c>
      <c r="AH142" s="14" t="s">
        <v>36</v>
      </c>
      <c r="AI142" s="14" t="s">
        <v>37</v>
      </c>
      <c r="AJ142" s="14" t="s">
        <v>38</v>
      </c>
      <c r="AK142" s="15"/>
    </row>
    <row r="143" ht="12.75" customHeight="1" spans="2:37" x14ac:dyDescent="0.25">
      <c r="B143" s="16" t="s">
        <v>41</v>
      </c>
      <c r="C143" s="17"/>
      <c r="D143" s="17"/>
      <c r="E143" s="24">
        <f>E136-E129</f>
      </c>
      <c r="F143" s="24">
        <f>F136-F129</f>
      </c>
      <c r="G143" s="24">
        <f>G136-G129</f>
      </c>
      <c r="H143" s="24">
        <f>H136-H129</f>
      </c>
      <c r="I143" s="24">
        <f>I136-I129</f>
      </c>
      <c r="J143" s="24">
        <f>J136-J129</f>
      </c>
      <c r="K143" s="24">
        <f>K136-K129</f>
      </c>
      <c r="L143" s="24">
        <f>L136-L129</f>
      </c>
      <c r="M143" s="24">
        <f>M136-M129</f>
      </c>
      <c r="N143" s="24">
        <f>N136-N129</f>
      </c>
      <c r="O143" s="24">
        <f>O136-O129</f>
      </c>
      <c r="P143" s="24">
        <f>P136-P129</f>
      </c>
      <c r="Q143" s="24">
        <f>Q136-Q129</f>
      </c>
      <c r="R143" s="24">
        <f>R136-R129</f>
      </c>
      <c r="S143" s="24">
        <f>S136-S129</f>
      </c>
      <c r="T143" s="24">
        <f>T136-T129</f>
      </c>
      <c r="U143" s="24">
        <f>U136-U129</f>
      </c>
      <c r="V143" s="24">
        <f>V136-V129</f>
      </c>
      <c r="W143" s="24">
        <f>W136-W129</f>
      </c>
      <c r="X143" s="24">
        <f>X136-X129</f>
      </c>
      <c r="Y143" s="24">
        <f>Y136-Y129</f>
      </c>
      <c r="Z143" s="24">
        <f>Z136-Z129</f>
      </c>
      <c r="AA143" s="24">
        <f>AA136-AA129</f>
      </c>
      <c r="AB143" s="24">
        <f>AB136-AB129</f>
      </c>
      <c r="AC143" s="24">
        <f>AC136-AC129</f>
      </c>
      <c r="AD143" s="24">
        <f>AD136-AD129</f>
      </c>
      <c r="AE143" s="24">
        <f>AE136-AE129</f>
      </c>
      <c r="AF143" s="24">
        <f>AF136-AF129</f>
      </c>
      <c r="AG143" s="24">
        <f>AG136-AG129</f>
      </c>
      <c r="AH143" s="24">
        <f>AH136-AH129</f>
      </c>
      <c r="AI143" s="24">
        <f>AI136-AI129</f>
      </c>
      <c r="AJ143" s="24">
        <f>AJ136-AJ129</f>
      </c>
      <c r="AK143" s="19"/>
    </row>
    <row r="144" ht="12.75" customHeight="1" spans="2:37" x14ac:dyDescent="0.25">
      <c r="B144" s="16" t="s">
        <v>42</v>
      </c>
      <c r="C144" s="17"/>
      <c r="D144" s="17"/>
      <c r="E144" s="24">
        <f>E137-E130</f>
      </c>
      <c r="F144" s="24">
        <f>F137-F130</f>
      </c>
      <c r="G144" s="24">
        <f>G137-G130</f>
      </c>
      <c r="H144" s="24">
        <f>H137-H130</f>
      </c>
      <c r="I144" s="24">
        <f>I137-I130</f>
      </c>
      <c r="J144" s="24">
        <f>J137-J130</f>
      </c>
      <c r="K144" s="24">
        <f>K137-K130</f>
      </c>
      <c r="L144" s="24">
        <f>L137-L130</f>
      </c>
      <c r="M144" s="24">
        <f>M137-M130</f>
      </c>
      <c r="N144" s="24">
        <f>N137-N130</f>
      </c>
      <c r="O144" s="24">
        <f>O137-O130</f>
      </c>
      <c r="P144" s="24">
        <f>P137-P130</f>
      </c>
      <c r="Q144" s="24">
        <f>Q137-Q130</f>
      </c>
      <c r="R144" s="24">
        <f>R137-R130</f>
      </c>
      <c r="S144" s="24">
        <f>S137-S130</f>
      </c>
      <c r="T144" s="24">
        <f>T137-T130</f>
      </c>
      <c r="U144" s="24">
        <f>U137-U130</f>
      </c>
      <c r="V144" s="24">
        <f>V137-V130</f>
      </c>
      <c r="W144" s="24">
        <f>W137-W130</f>
      </c>
      <c r="X144" s="24">
        <f>X137-X130</f>
      </c>
      <c r="Y144" s="24">
        <f>Y137-Y130</f>
      </c>
      <c r="Z144" s="24">
        <f>Z137-Z130</f>
      </c>
      <c r="AA144" s="24">
        <f>AA137-AA130</f>
      </c>
      <c r="AB144" s="24">
        <f>AB137-AB130</f>
      </c>
      <c r="AC144" s="24">
        <f>AC137-AC130</f>
      </c>
      <c r="AD144" s="24">
        <f>AD137-AD130</f>
      </c>
      <c r="AE144" s="24">
        <f>AE137-AE130</f>
      </c>
      <c r="AF144" s="24">
        <f>AF137-AF130</f>
      </c>
      <c r="AG144" s="24">
        <f>AG137-AG130</f>
      </c>
      <c r="AH144" s="24">
        <f>AH137-AH130</f>
      </c>
      <c r="AI144" s="24">
        <f>AI137-AI130</f>
      </c>
      <c r="AJ144" s="24">
        <f>AJ137-AJ130</f>
      </c>
      <c r="AK144" s="19"/>
    </row>
    <row r="145" ht="12.75" customHeight="1" spans="2:37" x14ac:dyDescent="0.25">
      <c r="B145" s="16" t="s">
        <v>43</v>
      </c>
      <c r="C145" s="17"/>
      <c r="D145" s="17"/>
      <c r="E145" s="24">
        <f>E138-E131</f>
      </c>
      <c r="F145" s="24">
        <f>F138-F131</f>
      </c>
      <c r="G145" s="24">
        <f>G138-G131</f>
      </c>
      <c r="H145" s="24">
        <f>H138-H131</f>
      </c>
      <c r="I145" s="24">
        <f>I138-I131</f>
      </c>
      <c r="J145" s="24">
        <f>J138-J131</f>
      </c>
      <c r="K145" s="24">
        <f>K138-K131</f>
      </c>
      <c r="L145" s="24">
        <f>L138-L131</f>
      </c>
      <c r="M145" s="24">
        <f>M138-M131</f>
      </c>
      <c r="N145" s="24">
        <f>N138-N131</f>
      </c>
      <c r="O145" s="24">
        <f>O138-O131</f>
      </c>
      <c r="P145" s="24">
        <f>P138-P131</f>
      </c>
      <c r="Q145" s="24">
        <f>Q138-Q131</f>
      </c>
      <c r="R145" s="24">
        <f>R138-R131</f>
      </c>
      <c r="S145" s="24">
        <f>S138-S131</f>
      </c>
      <c r="T145" s="24">
        <f>T138-T131</f>
      </c>
      <c r="U145" s="24">
        <f>U138-U131</f>
      </c>
      <c r="V145" s="24">
        <f>V138-V131</f>
      </c>
      <c r="W145" s="24">
        <f>W138-W131</f>
      </c>
      <c r="X145" s="24">
        <f>X138-X131</f>
      </c>
      <c r="Y145" s="24">
        <f>Y138-Y131</f>
      </c>
      <c r="Z145" s="24">
        <f>Z138-Z131</f>
      </c>
      <c r="AA145" s="24">
        <f>AA138-AA131</f>
      </c>
      <c r="AB145" s="24">
        <f>AB138-AB131</f>
      </c>
      <c r="AC145" s="24">
        <f>AC138-AC131</f>
      </c>
      <c r="AD145" s="24">
        <f>AD138-AD131</f>
      </c>
      <c r="AE145" s="24">
        <f>AE138-AE131</f>
      </c>
      <c r="AF145" s="24">
        <f>AF138-AF131</f>
      </c>
      <c r="AG145" s="24">
        <f>AG138-AG131</f>
      </c>
      <c r="AH145" s="24">
        <f>AH138-AH131</f>
      </c>
      <c r="AI145" s="24">
        <f>AI138-AI131</f>
      </c>
      <c r="AJ145" s="24">
        <f>AJ138-AJ131</f>
      </c>
      <c r="AK145" s="19"/>
    </row>
    <row r="146" ht="12.75" customHeight="1" spans="2:37" x14ac:dyDescent="0.25">
      <c r="B146" s="16" t="s">
        <v>44</v>
      </c>
      <c r="C146" s="17"/>
      <c r="D146" s="17"/>
      <c r="E146" s="24">
        <f>E139-E132</f>
      </c>
      <c r="F146" s="24">
        <f>F139-F132</f>
      </c>
      <c r="G146" s="24">
        <f>G139-G132</f>
      </c>
      <c r="H146" s="24">
        <f>H139-H132</f>
      </c>
      <c r="I146" s="24">
        <f>I139-I132</f>
      </c>
      <c r="J146" s="24">
        <f>J139-J132</f>
      </c>
      <c r="K146" s="24">
        <f>K139-K132</f>
      </c>
      <c r="L146" s="24">
        <f>L139-L132</f>
      </c>
      <c r="M146" s="24">
        <f>M139-M132</f>
      </c>
      <c r="N146" s="24">
        <f>N139-N132</f>
      </c>
      <c r="O146" s="24">
        <f>O139-O132</f>
      </c>
      <c r="P146" s="24">
        <f>P139-P132</f>
      </c>
      <c r="Q146" s="24">
        <f>Q139-Q132</f>
      </c>
      <c r="R146" s="24">
        <f>R139-R132</f>
      </c>
      <c r="S146" s="24">
        <f>S139-S132</f>
      </c>
      <c r="T146" s="24">
        <f>T139-T132</f>
      </c>
      <c r="U146" s="24">
        <f>U139-U132</f>
      </c>
      <c r="V146" s="24">
        <f>V139-V132</f>
      </c>
      <c r="W146" s="24">
        <f>W139-W132</f>
      </c>
      <c r="X146" s="24">
        <f>X139-X132</f>
      </c>
      <c r="Y146" s="24">
        <f>Y139-Y132</f>
      </c>
      <c r="Z146" s="24">
        <f>Z139-Z132</f>
      </c>
      <c r="AA146" s="24">
        <f>AA139-AA132</f>
      </c>
      <c r="AB146" s="24">
        <f>AB139-AB132</f>
      </c>
      <c r="AC146" s="24">
        <f>AC139-AC132</f>
      </c>
      <c r="AD146" s="24">
        <f>AD139-AD132</f>
      </c>
      <c r="AE146" s="24">
        <f>AE139-AE132</f>
      </c>
      <c r="AF146" s="24">
        <f>AF139-AF132</f>
      </c>
      <c r="AG146" s="24">
        <f>AG139-AG132</f>
      </c>
      <c r="AH146" s="24">
        <f>AH139-AH132</f>
      </c>
      <c r="AI146" s="24">
        <f>AI139-AI132</f>
      </c>
      <c r="AJ146" s="24">
        <f>AJ139-AJ132</f>
      </c>
      <c r="AK146" s="19"/>
    </row>
    <row r="147" ht="12.75" customHeight="1" spans="2:37" x14ac:dyDescent="0.25">
      <c r="B147" s="20" t="s">
        <v>45</v>
      </c>
      <c r="C147" s="21"/>
      <c r="D147" s="21"/>
      <c r="E147" s="25">
        <f>E143+E144+E145+E146</f>
      </c>
      <c r="F147" s="25">
        <f>F143+F144+F145+F146</f>
      </c>
      <c r="G147" s="25">
        <f>G143+G144+G145+G146</f>
      </c>
      <c r="H147" s="25">
        <f>H143+H144+H145+H146</f>
      </c>
      <c r="I147" s="25">
        <f>I143+I144+I145+I146</f>
      </c>
      <c r="J147" s="25">
        <f>J143+J144+J145+J146</f>
      </c>
      <c r="K147" s="25">
        <f>K143+K144+K145+K146</f>
      </c>
      <c r="L147" s="25">
        <f>L143+L144+L145+L146</f>
      </c>
      <c r="M147" s="25">
        <f>M143+M144+M145+M146</f>
      </c>
      <c r="N147" s="25">
        <f>N143+N144+N145+N146</f>
      </c>
      <c r="O147" s="25">
        <f>O143+O144+O145+O146</f>
      </c>
      <c r="P147" s="25">
        <f>P143+P144+P145+P146</f>
      </c>
      <c r="Q147" s="25">
        <f>Q143+Q144+Q145+Q146</f>
      </c>
      <c r="R147" s="25">
        <f>R143+R144+R145+R146</f>
      </c>
      <c r="S147" s="25">
        <f>S143+S144+S145+S146</f>
      </c>
      <c r="T147" s="25">
        <f>T143+T144+T145+T146</f>
      </c>
      <c r="U147" s="25">
        <f>U143+U144+U145+U146</f>
      </c>
      <c r="V147" s="25">
        <f>V143+V144+V145+V146</f>
      </c>
      <c r="W147" s="25">
        <f>W143+W144+W145+W146</f>
      </c>
      <c r="X147" s="25">
        <f>X143+X144+X145+X146</f>
      </c>
      <c r="Y147" s="25">
        <f>Y143+Y144+Y145+Y146</f>
      </c>
      <c r="Z147" s="25">
        <f>Z143+Z144+Z145+Z146</f>
      </c>
      <c r="AA147" s="25">
        <f>AA143+AA144+AA145+AA146</f>
      </c>
      <c r="AB147" s="25">
        <f>AB143+AB144+AB145+AB146</f>
      </c>
      <c r="AC147" s="25">
        <f>AC143+AC144+AC145+AC146</f>
      </c>
      <c r="AD147" s="25">
        <f>AD143+AD144+AD145+AD146</f>
      </c>
      <c r="AE147" s="25">
        <f>AE143+AE144+AE145+AE146</f>
      </c>
      <c r="AF147" s="25">
        <f>AF143+AF144+AF145+AF146</f>
      </c>
      <c r="AG147" s="25">
        <f>AG143+AG144+AG145+AG146</f>
      </c>
      <c r="AH147" s="25">
        <f>AH143+AH144+AH145+AH146</f>
      </c>
      <c r="AI147" s="25">
        <f>AI143+AI144+AI145+AI146</f>
      </c>
      <c r="AJ147" s="25">
        <f>AJ143+AJ144+AJ145+AJ146</f>
      </c>
      <c r="AK14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48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3.57" customWidth="1"/>
    <col min="3" max="3" width="37.71" customWidth="1"/>
    <col min="4" max="4" width="20" customWidth="1"/>
    <col min="5" max="5" width="24" customWidth="1"/>
    <col min="6" max="6" width="23" customWidth="1"/>
    <col min="7" max="37" width="13.14" customWidth="1"/>
    <col min="38" max="38" width="11.43" customWidth="1"/>
    <col min="39" max="39" width="16.43" customWidth="1"/>
  </cols>
  <sheetData>
    <row r="1" ht="18.75" customHeight="1" spans="2:3" x14ac:dyDescent="0.25">
      <c r="B1" s="1" t="s">
        <v>0</v>
      </c>
      <c r="C1" s="1" t="s">
        <v>2853</v>
      </c>
    </row>
    <row r="2" ht="12.75" customHeight="1" spans="2:37" x14ac:dyDescent="0.25">
      <c r="B2" s="2" t="s">
        <v>2</v>
      </c>
      <c r="C2" s="3" t="s">
        <v>3</v>
      </c>
      <c r="G2" s="4">
        <v>12</v>
      </c>
      <c r="H2" s="4">
        <v>1</v>
      </c>
      <c r="I2" s="4">
        <v>11</v>
      </c>
      <c r="J2" s="4">
        <v>12</v>
      </c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4">
        <v>10</v>
      </c>
      <c r="U2" s="4">
        <v>11</v>
      </c>
      <c r="V2" s="4">
        <v>12</v>
      </c>
      <c r="W2" s="4">
        <v>1</v>
      </c>
      <c r="X2" s="4">
        <v>2</v>
      </c>
      <c r="Y2" s="4">
        <v>3</v>
      </c>
      <c r="Z2" s="4">
        <v>4</v>
      </c>
      <c r="AA2" s="4">
        <v>5</v>
      </c>
      <c r="AB2" s="4">
        <v>6</v>
      </c>
      <c r="AC2" s="4">
        <v>7</v>
      </c>
      <c r="AD2" s="4">
        <v>8</v>
      </c>
      <c r="AE2" s="4">
        <v>9</v>
      </c>
      <c r="AF2" s="4">
        <v>10</v>
      </c>
      <c r="AG2" s="4">
        <v>11</v>
      </c>
      <c r="AH2" s="4">
        <v>12</v>
      </c>
      <c r="AI2" s="4">
        <v>1</v>
      </c>
      <c r="AJ2" s="4">
        <v>2</v>
      </c>
      <c r="AK2" s="4">
        <v>3</v>
      </c>
    </row>
    <row r="3" ht="12.75" customHeight="1" spans="7:37" x14ac:dyDescent="0.25">
      <c r="G3" s="4">
        <v>1899</v>
      </c>
      <c r="H3" s="4">
        <v>2023</v>
      </c>
      <c r="I3" s="4">
        <v>2023</v>
      </c>
      <c r="J3" s="4">
        <v>2023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2024</v>
      </c>
      <c r="V3" s="4">
        <v>2024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2025</v>
      </c>
      <c r="AH3" s="4">
        <v>2025</v>
      </c>
      <c r="AI3" s="4">
        <v>2026</v>
      </c>
      <c r="AJ3" s="4">
        <v>2026</v>
      </c>
      <c r="AK3" s="4">
        <v>2026</v>
      </c>
    </row>
    <row r="4" ht="12.75" customHeight="1" x14ac:dyDescent="0.25"/>
    <row r="5" ht="13.5" customHeight="1" spans="2:39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16.5" customHeight="1" spans="2:39" x14ac:dyDescent="0.25">
      <c r="B6" s="7" t="s">
        <v>91</v>
      </c>
      <c r="C6" s="8" t="s">
        <v>92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9" t="s">
        <v>38</v>
      </c>
      <c r="AM6" s="10" t="s">
        <v>39</v>
      </c>
    </row>
    <row r="7" ht="12.75" customHeight="1" x14ac:dyDescent="0.25"/>
    <row r="8" ht="13.5" customHeight="1" spans="2:39" x14ac:dyDescent="0.25">
      <c r="B8" s="41"/>
      <c r="C8" s="42"/>
      <c r="D8" s="43" t="s">
        <v>93</v>
      </c>
      <c r="E8" s="42"/>
      <c r="F8" s="42"/>
      <c r="G8" s="44" t="s">
        <v>3</v>
      </c>
      <c r="H8" s="44" t="s">
        <v>3</v>
      </c>
      <c r="I8" s="44" t="s">
        <v>3</v>
      </c>
      <c r="J8" s="44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44" t="s">
        <v>3</v>
      </c>
      <c r="P8" s="44" t="s">
        <v>3</v>
      </c>
      <c r="Q8" s="44" t="s">
        <v>3</v>
      </c>
      <c r="R8" s="44" t="s">
        <v>3</v>
      </c>
      <c r="S8" s="44" t="s">
        <v>3</v>
      </c>
      <c r="T8" s="44" t="s">
        <v>3</v>
      </c>
      <c r="U8" s="44" t="s">
        <v>3</v>
      </c>
      <c r="V8" s="44" t="s">
        <v>577</v>
      </c>
      <c r="W8" s="44" t="s">
        <v>2957</v>
      </c>
      <c r="X8" s="44" t="s">
        <v>2958</v>
      </c>
      <c r="Y8" s="44" t="s">
        <v>2959</v>
      </c>
      <c r="Z8" s="44" t="s">
        <v>2960</v>
      </c>
      <c r="AA8" s="44" t="s">
        <v>2961</v>
      </c>
      <c r="AB8" s="44" t="s">
        <v>2962</v>
      </c>
      <c r="AC8" s="44" t="s">
        <v>2963</v>
      </c>
      <c r="AD8" s="44" t="s">
        <v>2964</v>
      </c>
      <c r="AE8" s="44" t="s">
        <v>2965</v>
      </c>
      <c r="AF8" s="44" t="s">
        <v>2966</v>
      </c>
      <c r="AG8" s="44" t="s">
        <v>2967</v>
      </c>
      <c r="AH8" s="44" t="s">
        <v>2968</v>
      </c>
      <c r="AI8" s="44" t="s">
        <v>2969</v>
      </c>
      <c r="AJ8" s="44" t="s">
        <v>2970</v>
      </c>
      <c r="AK8" s="44" t="s">
        <v>3</v>
      </c>
      <c r="AL8" s="42"/>
      <c r="AM8" s="45"/>
    </row>
    <row r="9" ht="13.5" customHeight="1" spans="2:39" x14ac:dyDescent="0.25">
      <c r="B9" s="46"/>
      <c r="C9" s="28"/>
      <c r="D9" s="47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/>
    </row>
    <row r="10" ht="13.5" customHeight="1" spans="2:39" x14ac:dyDescent="0.25">
      <c r="B10" s="48" t="s">
        <v>3</v>
      </c>
      <c r="C10" s="49" t="s">
        <v>2853</v>
      </c>
      <c r="D10" s="50" t="s">
        <v>41</v>
      </c>
      <c r="E10" s="32" t="s">
        <v>3</v>
      </c>
      <c r="F10" s="32" t="s">
        <v>2854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>
        <v>2466.29</v>
      </c>
      <c r="W10" s="33">
        <v>2769.37</v>
      </c>
      <c r="X10" s="33">
        <v>1955.09</v>
      </c>
      <c r="Y10" s="33">
        <v>1667.7</v>
      </c>
      <c r="Z10" s="33">
        <v>1162.2</v>
      </c>
      <c r="AA10" s="33">
        <v>850.81</v>
      </c>
      <c r="AB10" s="33">
        <v>368.81</v>
      </c>
      <c r="AC10" s="33">
        <v>289.52</v>
      </c>
      <c r="AD10" s="33">
        <v>245.55</v>
      </c>
      <c r="AE10" s="33">
        <v>407.12</v>
      </c>
      <c r="AF10" s="33">
        <v>1018.94</v>
      </c>
      <c r="AG10" s="33">
        <v>1495.4</v>
      </c>
      <c r="AH10" s="33">
        <v>2229.79</v>
      </c>
      <c r="AI10" s="33">
        <v>2348.26</v>
      </c>
      <c r="AJ10" s="33">
        <v>1863.88</v>
      </c>
      <c r="AK10" s="32"/>
      <c r="AL10" s="34">
        <f>SUM(G10:AK10)</f>
      </c>
      <c r="AM10" s="35"/>
    </row>
    <row r="11" ht="13.5" customHeight="1" spans="2:39" x14ac:dyDescent="0.25">
      <c r="B11" s="48" t="s">
        <v>3</v>
      </c>
      <c r="C11" s="49" t="s">
        <v>2853</v>
      </c>
      <c r="D11" s="50" t="s">
        <v>41</v>
      </c>
      <c r="E11" s="32" t="s">
        <v>3</v>
      </c>
      <c r="F11" s="32" t="s">
        <v>2855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>
        <v>39.07</v>
      </c>
      <c r="W11" s="33">
        <v>52.54</v>
      </c>
      <c r="X11" s="33">
        <v>49.85</v>
      </c>
      <c r="Y11" s="33">
        <v>45.4</v>
      </c>
      <c r="Z11" s="33">
        <v>37.14</v>
      </c>
      <c r="AA11" s="33">
        <v>37.14</v>
      </c>
      <c r="AB11" s="33">
        <v>37.21</v>
      </c>
      <c r="AC11" s="33">
        <v>39.19</v>
      </c>
      <c r="AD11" s="33">
        <v>37.47</v>
      </c>
      <c r="AE11" s="33">
        <v>39.82</v>
      </c>
      <c r="AF11" s="33">
        <v>37.72</v>
      </c>
      <c r="AG11" s="33">
        <v>37.72</v>
      </c>
      <c r="AH11" s="33">
        <v>41.94</v>
      </c>
      <c r="AI11" s="33">
        <v>44</v>
      </c>
      <c r="AJ11" s="33">
        <v>39.54</v>
      </c>
      <c r="AK11" s="32"/>
      <c r="AL11" s="34">
        <f>SUM(G11:AK11)</f>
      </c>
      <c r="AM11" s="35"/>
    </row>
    <row r="12" ht="13.5" customHeight="1" spans="2:39" x14ac:dyDescent="0.25">
      <c r="B12" s="5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ht="13.5" customHeight="1" spans="2:39" x14ac:dyDescent="0.25">
      <c r="B13" s="20"/>
      <c r="C13" s="21"/>
      <c r="D13" s="21" t="s">
        <v>64</v>
      </c>
      <c r="E13" s="21"/>
      <c r="F13" s="21"/>
      <c r="G13" s="22">
        <f>SUM(G10:G11)</f>
      </c>
      <c r="H13" s="22">
        <f>SUM(H10:H11)</f>
      </c>
      <c r="I13" s="22">
        <f>SUM(I10:I11)</f>
      </c>
      <c r="J13" s="22">
        <f>SUM(J10:J11)</f>
      </c>
      <c r="K13" s="22">
        <f>SUM(K10:K11)</f>
      </c>
      <c r="L13" s="22">
        <f>SUM(L10:L11)</f>
      </c>
      <c r="M13" s="22">
        <f>SUM(M10:M11)</f>
      </c>
      <c r="N13" s="22">
        <f>SUM(N10:N11)</f>
      </c>
      <c r="O13" s="22">
        <f>SUM(O10:O11)</f>
      </c>
      <c r="P13" s="22">
        <f>SUM(P10:P11)</f>
      </c>
      <c r="Q13" s="22">
        <f>SUM(Q10:Q11)</f>
      </c>
      <c r="R13" s="22">
        <f>SUM(R10:R11)</f>
      </c>
      <c r="S13" s="22">
        <f>SUM(S10:S11)</f>
      </c>
      <c r="T13" s="22">
        <f>SUM(T10:T11)</f>
      </c>
      <c r="U13" s="22">
        <f>SUM(U10:U11)</f>
      </c>
      <c r="V13" s="22">
        <f>SUM(V10:V11)</f>
      </c>
      <c r="W13" s="22">
        <f>SUM(W10:W11)</f>
      </c>
      <c r="X13" s="22">
        <f>SUM(X10:X11)</f>
      </c>
      <c r="Y13" s="22">
        <f>SUM(Y10:Y11)</f>
      </c>
      <c r="Z13" s="22">
        <f>SUM(Z10:Z11)</f>
      </c>
      <c r="AA13" s="22">
        <f>SUM(AA10:AA11)</f>
      </c>
      <c r="AB13" s="22">
        <f>SUM(AB10:AB11)</f>
      </c>
      <c r="AC13" s="22">
        <f>SUM(AC10:AC11)</f>
      </c>
      <c r="AD13" s="22">
        <f>SUM(AD10:AD11)</f>
      </c>
      <c r="AE13" s="22">
        <f>SUM(AE10:AE11)</f>
      </c>
      <c r="AF13" s="22">
        <f>SUM(AF10:AF11)</f>
      </c>
      <c r="AG13" s="22">
        <f>SUM(AG10:AG11)</f>
      </c>
      <c r="AH13" s="22">
        <f>SUM(AH10:AH11)</f>
      </c>
      <c r="AI13" s="22">
        <f>SUM(AI10:AI11)</f>
      </c>
      <c r="AJ13" s="22">
        <f>SUM(AJ10:AJ11)</f>
      </c>
      <c r="AK13" s="22">
        <f>SUM(AK10:AK11)</f>
      </c>
      <c r="AL13" s="22">
        <f>SUM(AL10:AL11)</f>
      </c>
      <c r="AM13" s="23"/>
    </row>
    <row r="15" ht="13.5" customHeight="1" spans="2:39" x14ac:dyDescent="0.25">
      <c r="B15" s="46"/>
      <c r="C15" s="28"/>
      <c r="D15" s="47" t="s">
        <v>42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</row>
    <row r="16" ht="13.5" customHeight="1" spans="2:39" x14ac:dyDescent="0.25">
      <c r="B16" s="48" t="s">
        <v>3</v>
      </c>
      <c r="C16" s="49" t="s">
        <v>2853</v>
      </c>
      <c r="D16" s="50" t="s">
        <v>42</v>
      </c>
      <c r="E16" s="32" t="s">
        <v>3</v>
      </c>
      <c r="F16" s="32" t="s">
        <v>2856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>
        <v>35.01</v>
      </c>
      <c r="W16" s="33">
        <v>74.2</v>
      </c>
      <c r="X16" s="33">
        <v>75.48</v>
      </c>
      <c r="Y16" s="33">
        <v>63.42</v>
      </c>
      <c r="Z16" s="33">
        <v>16.41</v>
      </c>
      <c r="AA16" s="33">
        <v>16.41</v>
      </c>
      <c r="AB16" s="33">
        <v>16.41</v>
      </c>
      <c r="AC16" s="33">
        <v>16.41</v>
      </c>
      <c r="AD16" s="33">
        <v>16.41</v>
      </c>
      <c r="AE16" s="33">
        <v>16.41</v>
      </c>
      <c r="AF16" s="33">
        <v>16.25</v>
      </c>
      <c r="AG16" s="33">
        <v>27.34</v>
      </c>
      <c r="AH16" s="33">
        <v>34.99</v>
      </c>
      <c r="AI16" s="33">
        <v>31.44</v>
      </c>
      <c r="AJ16" s="33">
        <v>22.41</v>
      </c>
      <c r="AK16" s="32"/>
      <c r="AL16" s="34">
        <f>SUM(G16:AK16)</f>
      </c>
      <c r="AM16" s="35"/>
    </row>
    <row r="17" ht="13.5" customHeight="1" spans="2:39" x14ac:dyDescent="0.25">
      <c r="B17" s="48" t="s">
        <v>3</v>
      </c>
      <c r="C17" s="49" t="s">
        <v>2853</v>
      </c>
      <c r="D17" s="50" t="s">
        <v>42</v>
      </c>
      <c r="E17" s="32" t="s">
        <v>3</v>
      </c>
      <c r="F17" s="32" t="s">
        <v>2857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3">
        <v>52.39</v>
      </c>
      <c r="AI17" s="33">
        <v>16.25</v>
      </c>
      <c r="AJ17" s="33">
        <v>41.22</v>
      </c>
      <c r="AK17" s="32"/>
      <c r="AL17" s="34">
        <f>SUM(G17:AK17)</f>
      </c>
      <c r="AM17" s="35"/>
    </row>
    <row r="18" ht="13.5" customHeight="1" spans="2:39" x14ac:dyDescent="0.25">
      <c r="B18" s="48" t="s">
        <v>3</v>
      </c>
      <c r="C18" s="49" t="s">
        <v>2853</v>
      </c>
      <c r="D18" s="50" t="s">
        <v>42</v>
      </c>
      <c r="E18" s="32" t="s">
        <v>3</v>
      </c>
      <c r="F18" s="32" t="s">
        <v>2858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>
        <v>38.34</v>
      </c>
      <c r="W18" s="33">
        <v>39.86</v>
      </c>
      <c r="X18" s="33">
        <v>56.15</v>
      </c>
      <c r="Y18" s="33">
        <v>46.99</v>
      </c>
      <c r="Z18" s="33">
        <v>16.41</v>
      </c>
      <c r="AA18" s="33">
        <v>27.92</v>
      </c>
      <c r="AB18" s="33">
        <v>16.41</v>
      </c>
      <c r="AC18" s="33">
        <v>16.41</v>
      </c>
      <c r="AD18" s="33">
        <v>16.41</v>
      </c>
      <c r="AE18" s="33">
        <v>16.41</v>
      </c>
      <c r="AF18" s="33">
        <v>16.25</v>
      </c>
      <c r="AG18" s="33">
        <v>28.58</v>
      </c>
      <c r="AH18" s="33">
        <v>31.06</v>
      </c>
      <c r="AI18" s="33">
        <v>48.4</v>
      </c>
      <c r="AJ18" s="33">
        <v>47.11</v>
      </c>
      <c r="AK18" s="32"/>
      <c r="AL18" s="34">
        <f>SUM(G18:AK18)</f>
      </c>
      <c r="AM18" s="35"/>
    </row>
    <row r="19" ht="13.5" customHeight="1" spans="2:39" x14ac:dyDescent="0.25">
      <c r="B19" s="48" t="s">
        <v>3</v>
      </c>
      <c r="C19" s="49" t="s">
        <v>2853</v>
      </c>
      <c r="D19" s="50" t="s">
        <v>42</v>
      </c>
      <c r="E19" s="32" t="s">
        <v>3</v>
      </c>
      <c r="F19" s="32" t="s">
        <v>2859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>
        <v>34.26</v>
      </c>
      <c r="W19" s="33">
        <v>42.34</v>
      </c>
      <c r="X19" s="33">
        <v>33.67</v>
      </c>
      <c r="Y19" s="33">
        <v>35.27</v>
      </c>
      <c r="Z19" s="33">
        <v>44.84</v>
      </c>
      <c r="AA19" s="33">
        <v>56.83</v>
      </c>
      <c r="AB19" s="33">
        <v>73.28</v>
      </c>
      <c r="AC19" s="33">
        <v>16.41</v>
      </c>
      <c r="AD19" s="33">
        <v>16.41</v>
      </c>
      <c r="AE19" s="33">
        <v>16.41</v>
      </c>
      <c r="AF19" s="33">
        <v>118.36</v>
      </c>
      <c r="AG19" s="33">
        <v>145.97</v>
      </c>
      <c r="AH19" s="33">
        <v>144.52</v>
      </c>
      <c r="AI19" s="33">
        <v>133.95</v>
      </c>
      <c r="AJ19" s="33">
        <v>140.84</v>
      </c>
      <c r="AK19" s="32"/>
      <c r="AL19" s="34">
        <f>SUM(G19:AK19)</f>
      </c>
      <c r="AM19" s="35"/>
    </row>
    <row r="20" ht="13.5" customHeight="1" spans="2:39" x14ac:dyDescent="0.25">
      <c r="B20" s="48" t="s">
        <v>3</v>
      </c>
      <c r="C20" s="49" t="s">
        <v>2853</v>
      </c>
      <c r="D20" s="50" t="s">
        <v>42</v>
      </c>
      <c r="E20" s="32" t="s">
        <v>3</v>
      </c>
      <c r="F20" s="32" t="s">
        <v>2860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>
        <v>19.19</v>
      </c>
      <c r="W20" s="33">
        <v>57.57</v>
      </c>
      <c r="X20" s="33">
        <v>108.57</v>
      </c>
      <c r="Y20" s="33">
        <v>85.05</v>
      </c>
      <c r="Z20" s="33">
        <v>46.5</v>
      </c>
      <c r="AA20" s="33">
        <v>16.41</v>
      </c>
      <c r="AB20" s="33">
        <v>20.92</v>
      </c>
      <c r="AC20" s="33">
        <v>16.41</v>
      </c>
      <c r="AD20" s="33">
        <v>16.41</v>
      </c>
      <c r="AE20" s="33">
        <v>16.41</v>
      </c>
      <c r="AF20" s="33">
        <v>16.25</v>
      </c>
      <c r="AG20" s="33">
        <v>16.25</v>
      </c>
      <c r="AH20" s="33">
        <v>16.25</v>
      </c>
      <c r="AI20" s="33">
        <v>65.65</v>
      </c>
      <c r="AJ20" s="33">
        <v>94.32</v>
      </c>
      <c r="AK20" s="32"/>
      <c r="AL20" s="34">
        <f>SUM(G20:AK20)</f>
      </c>
      <c r="AM20" s="35"/>
    </row>
    <row r="21" ht="13.5" customHeight="1" spans="2:39" x14ac:dyDescent="0.25">
      <c r="B21" s="48" t="s">
        <v>3</v>
      </c>
      <c r="C21" s="49" t="s">
        <v>2853</v>
      </c>
      <c r="D21" s="50" t="s">
        <v>42</v>
      </c>
      <c r="E21" s="32" t="s">
        <v>3</v>
      </c>
      <c r="F21" s="32" t="s">
        <v>2861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>
        <v>166.79</v>
      </c>
      <c r="W21" s="33">
        <v>165.58</v>
      </c>
      <c r="X21" s="33">
        <v>119.93</v>
      </c>
      <c r="Y21" s="33">
        <v>106.98</v>
      </c>
      <c r="Z21" s="33">
        <v>43.34</v>
      </c>
      <c r="AA21" s="33">
        <v>16.41</v>
      </c>
      <c r="AB21" s="33">
        <v>16.41</v>
      </c>
      <c r="AC21" s="33">
        <v>16.41</v>
      </c>
      <c r="AD21" s="33">
        <v>16.41</v>
      </c>
      <c r="AE21" s="33">
        <v>16.41</v>
      </c>
      <c r="AF21" s="33">
        <v>16.25</v>
      </c>
      <c r="AG21" s="33">
        <v>45.97</v>
      </c>
      <c r="AH21" s="33">
        <v>64.18</v>
      </c>
      <c r="AI21" s="33">
        <v>85.49</v>
      </c>
      <c r="AJ21" s="33">
        <v>71.34</v>
      </c>
      <c r="AK21" s="32"/>
      <c r="AL21" s="34">
        <f>SUM(G21:AK21)</f>
      </c>
      <c r="AM21" s="35"/>
    </row>
    <row r="22" ht="13.5" customHeight="1" spans="2:39" x14ac:dyDescent="0.25">
      <c r="B22" s="48" t="s">
        <v>3</v>
      </c>
      <c r="C22" s="49" t="s">
        <v>2853</v>
      </c>
      <c r="D22" s="50" t="s">
        <v>42</v>
      </c>
      <c r="E22" s="32" t="s">
        <v>3</v>
      </c>
      <c r="F22" s="32" t="s">
        <v>2862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>
        <v>79.69</v>
      </c>
      <c r="W22" s="33">
        <v>90.55</v>
      </c>
      <c r="X22" s="33">
        <v>86.69</v>
      </c>
      <c r="Y22" s="33">
        <v>114.69</v>
      </c>
      <c r="Z22" s="33">
        <v>69.72</v>
      </c>
      <c r="AA22" s="33">
        <v>21.15</v>
      </c>
      <c r="AB22" s="33">
        <v>16.41</v>
      </c>
      <c r="AC22" s="33">
        <v>16.41</v>
      </c>
      <c r="AD22" s="33">
        <v>16.41</v>
      </c>
      <c r="AE22" s="33">
        <v>16.41</v>
      </c>
      <c r="AF22" s="33">
        <v>16.25</v>
      </c>
      <c r="AG22" s="33">
        <v>16.25</v>
      </c>
      <c r="AH22" s="33">
        <v>52.53</v>
      </c>
      <c r="AI22" s="33">
        <v>61.37</v>
      </c>
      <c r="AJ22" s="33">
        <v>58.73</v>
      </c>
      <c r="AK22" s="32"/>
      <c r="AL22" s="34">
        <f>SUM(G22:AK22)</f>
      </c>
      <c r="AM22" s="35"/>
    </row>
    <row r="23" ht="13.5" customHeight="1" spans="2:39" x14ac:dyDescent="0.25">
      <c r="B23" s="48" t="s">
        <v>3</v>
      </c>
      <c r="C23" s="49" t="s">
        <v>2853</v>
      </c>
      <c r="D23" s="50" t="s">
        <v>42</v>
      </c>
      <c r="E23" s="32" t="s">
        <v>3</v>
      </c>
      <c r="F23" s="32" t="s">
        <v>2863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>
        <v>16.41</v>
      </c>
      <c r="W23" s="33">
        <v>177.04</v>
      </c>
      <c r="X23" s="33">
        <v>164.74</v>
      </c>
      <c r="Y23" s="33">
        <v>108.97</v>
      </c>
      <c r="Z23" s="33">
        <v>26.42</v>
      </c>
      <c r="AA23" s="33">
        <v>16.41</v>
      </c>
      <c r="AB23" s="33">
        <v>16.41</v>
      </c>
      <c r="AC23" s="33">
        <v>16.41</v>
      </c>
      <c r="AD23" s="33">
        <v>16.41</v>
      </c>
      <c r="AE23" s="33">
        <v>16.41</v>
      </c>
      <c r="AF23" s="33">
        <v>16.25</v>
      </c>
      <c r="AG23" s="33">
        <v>16.25</v>
      </c>
      <c r="AH23" s="33">
        <v>16.25</v>
      </c>
      <c r="AI23" s="33">
        <v>58</v>
      </c>
      <c r="AJ23" s="33">
        <v>62.26</v>
      </c>
      <c r="AK23" s="32"/>
      <c r="AL23" s="34">
        <f>SUM(G23:AK23)</f>
      </c>
      <c r="AM23" s="35"/>
    </row>
    <row r="24" ht="13.5" customHeight="1" spans="2:39" x14ac:dyDescent="0.25">
      <c r="B24" s="48" t="s">
        <v>3</v>
      </c>
      <c r="C24" s="49" t="s">
        <v>2853</v>
      </c>
      <c r="D24" s="50" t="s">
        <v>42</v>
      </c>
      <c r="E24" s="32" t="s">
        <v>3</v>
      </c>
      <c r="F24" s="32" t="s">
        <v>2864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3">
        <v>35.38</v>
      </c>
      <c r="W24" s="33">
        <v>79.14</v>
      </c>
      <c r="X24" s="33">
        <v>72.84</v>
      </c>
      <c r="Y24" s="33">
        <v>68.08</v>
      </c>
      <c r="Z24" s="33">
        <v>16.41</v>
      </c>
      <c r="AA24" s="33">
        <v>16.41</v>
      </c>
      <c r="AB24" s="33">
        <v>16.41</v>
      </c>
      <c r="AC24" s="33">
        <v>16.41</v>
      </c>
      <c r="AD24" s="33">
        <v>16.41</v>
      </c>
      <c r="AE24" s="33">
        <v>16.41</v>
      </c>
      <c r="AF24" s="33">
        <v>16.25</v>
      </c>
      <c r="AG24" s="33">
        <v>16.25</v>
      </c>
      <c r="AH24" s="33">
        <v>16.25</v>
      </c>
      <c r="AI24" s="33">
        <v>63.99</v>
      </c>
      <c r="AJ24" s="33">
        <v>77.1</v>
      </c>
      <c r="AK24" s="32"/>
      <c r="AL24" s="34">
        <f>SUM(G24:AK24)</f>
      </c>
      <c r="AM24" s="35"/>
    </row>
    <row r="25" ht="13.5" customHeight="1" spans="2:39" x14ac:dyDescent="0.25">
      <c r="B25" s="48" t="s">
        <v>3</v>
      </c>
      <c r="C25" s="49" t="s">
        <v>2853</v>
      </c>
      <c r="D25" s="50" t="s">
        <v>42</v>
      </c>
      <c r="E25" s="32" t="s">
        <v>3</v>
      </c>
      <c r="F25" s="32" t="s">
        <v>2865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>
        <v>20.68</v>
      </c>
      <c r="W25" s="33">
        <v>50.09</v>
      </c>
      <c r="X25" s="33">
        <v>67.89</v>
      </c>
      <c r="Y25" s="33">
        <v>70.58</v>
      </c>
      <c r="Z25" s="33">
        <v>16.63</v>
      </c>
      <c r="AA25" s="33">
        <v>16.41</v>
      </c>
      <c r="AB25" s="33">
        <v>21.28</v>
      </c>
      <c r="AC25" s="33">
        <v>16.41</v>
      </c>
      <c r="AD25" s="33">
        <v>16.41</v>
      </c>
      <c r="AE25" s="33">
        <v>61.56</v>
      </c>
      <c r="AF25" s="33">
        <v>156.27</v>
      </c>
      <c r="AG25" s="33">
        <v>176.95</v>
      </c>
      <c r="AH25" s="33">
        <v>192.73</v>
      </c>
      <c r="AI25" s="33">
        <v>165.94</v>
      </c>
      <c r="AJ25" s="33">
        <v>162.55</v>
      </c>
      <c r="AK25" s="32"/>
      <c r="AL25" s="34">
        <f>SUM(G25:AK25)</f>
      </c>
      <c r="AM25" s="35"/>
    </row>
    <row r="26" ht="13.5" customHeight="1" spans="2:39" x14ac:dyDescent="0.25">
      <c r="B26" s="48" t="s">
        <v>3</v>
      </c>
      <c r="C26" s="49" t="s">
        <v>2853</v>
      </c>
      <c r="D26" s="50" t="s">
        <v>42</v>
      </c>
      <c r="E26" s="32" t="s">
        <v>3</v>
      </c>
      <c r="F26" s="32" t="s">
        <v>2866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>
        <v>56.41</v>
      </c>
      <c r="W26" s="33">
        <v>88.43</v>
      </c>
      <c r="X26" s="33">
        <v>77.97</v>
      </c>
      <c r="Y26" s="33">
        <v>60.7</v>
      </c>
      <c r="Z26" s="33">
        <v>16.41</v>
      </c>
      <c r="AA26" s="33">
        <v>16.41</v>
      </c>
      <c r="AB26" s="33">
        <v>16.41</v>
      </c>
      <c r="AC26" s="33">
        <v>16.41</v>
      </c>
      <c r="AD26" s="33">
        <v>186.98</v>
      </c>
      <c r="AE26" s="32"/>
      <c r="AF26" s="32"/>
      <c r="AG26" s="32"/>
      <c r="AH26" s="32"/>
      <c r="AI26" s="32"/>
      <c r="AJ26" s="32"/>
      <c r="AK26" s="32"/>
      <c r="AL26" s="34">
        <f>SUM(G26:AK26)</f>
      </c>
      <c r="AM26" s="35"/>
    </row>
    <row r="27" ht="13.5" customHeight="1" spans="2:39" x14ac:dyDescent="0.25">
      <c r="B27" s="48" t="s">
        <v>3</v>
      </c>
      <c r="C27" s="49" t="s">
        <v>2853</v>
      </c>
      <c r="D27" s="50" t="s">
        <v>42</v>
      </c>
      <c r="E27" s="32" t="s">
        <v>3</v>
      </c>
      <c r="F27" s="32" t="s">
        <v>2867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>
        <v>16.41</v>
      </c>
      <c r="W27" s="33">
        <v>20.22</v>
      </c>
      <c r="X27" s="33">
        <v>60.61</v>
      </c>
      <c r="Y27" s="33">
        <v>16.41</v>
      </c>
      <c r="Z27" s="33">
        <v>16.41</v>
      </c>
      <c r="AA27" s="33">
        <v>16.41</v>
      </c>
      <c r="AB27" s="33">
        <v>16.41</v>
      </c>
      <c r="AC27" s="33">
        <v>16.41</v>
      </c>
      <c r="AD27" s="33">
        <v>16.41</v>
      </c>
      <c r="AE27" s="33">
        <v>16.41</v>
      </c>
      <c r="AF27" s="33">
        <v>16.25</v>
      </c>
      <c r="AG27" s="33">
        <v>16.25</v>
      </c>
      <c r="AH27" s="33">
        <v>16.25</v>
      </c>
      <c r="AI27" s="33">
        <v>33.55</v>
      </c>
      <c r="AJ27" s="33">
        <v>52.55</v>
      </c>
      <c r="AK27" s="32"/>
      <c r="AL27" s="34">
        <f>SUM(G27:AK27)</f>
      </c>
      <c r="AM27" s="35"/>
    </row>
    <row r="28" ht="13.5" customHeight="1" spans="2:39" x14ac:dyDescent="0.25">
      <c r="B28" s="48" t="s">
        <v>3</v>
      </c>
      <c r="C28" s="49" t="s">
        <v>2853</v>
      </c>
      <c r="D28" s="50" t="s">
        <v>42</v>
      </c>
      <c r="E28" s="32" t="s">
        <v>3</v>
      </c>
      <c r="F28" s="32" t="s">
        <v>2868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3">
        <v>61.55</v>
      </c>
      <c r="AK28" s="32"/>
      <c r="AL28" s="34">
        <f>SUM(G28:AK28)</f>
      </c>
      <c r="AM28" s="35"/>
    </row>
    <row r="29" ht="13.5" customHeight="1" spans="2:39" x14ac:dyDescent="0.25">
      <c r="B29" s="48" t="s">
        <v>3</v>
      </c>
      <c r="C29" s="49" t="s">
        <v>2853</v>
      </c>
      <c r="D29" s="50" t="s">
        <v>42</v>
      </c>
      <c r="E29" s="32" t="s">
        <v>3</v>
      </c>
      <c r="F29" s="32" t="s">
        <v>2869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130.4</v>
      </c>
      <c r="W29" s="33">
        <v>145.95</v>
      </c>
      <c r="X29" s="33">
        <v>116.17</v>
      </c>
      <c r="Y29" s="33">
        <v>100.19</v>
      </c>
      <c r="Z29" s="33">
        <v>59.99</v>
      </c>
      <c r="AA29" s="33">
        <v>28.8</v>
      </c>
      <c r="AB29" s="33">
        <v>16.41</v>
      </c>
      <c r="AC29" s="33">
        <v>16.41</v>
      </c>
      <c r="AD29" s="33">
        <v>16.41</v>
      </c>
      <c r="AE29" s="33">
        <v>16.41</v>
      </c>
      <c r="AF29" s="33">
        <v>16.25</v>
      </c>
      <c r="AG29" s="33">
        <v>87.04</v>
      </c>
      <c r="AH29" s="33">
        <v>223.33</v>
      </c>
      <c r="AI29" s="33">
        <v>211.03</v>
      </c>
      <c r="AJ29" s="33">
        <v>85.23</v>
      </c>
      <c r="AK29" s="32"/>
      <c r="AL29" s="34">
        <f>SUM(G29:AK29)</f>
      </c>
      <c r="AM29" s="35"/>
    </row>
    <row r="30" ht="13.5" customHeight="1" spans="2:39" x14ac:dyDescent="0.25">
      <c r="B30" s="48" t="s">
        <v>3</v>
      </c>
      <c r="C30" s="49" t="s">
        <v>2853</v>
      </c>
      <c r="D30" s="50" t="s">
        <v>42</v>
      </c>
      <c r="E30" s="32" t="s">
        <v>3</v>
      </c>
      <c r="F30" s="32" t="s">
        <v>2870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>
        <v>38.04</v>
      </c>
      <c r="W30" s="33">
        <v>34.86</v>
      </c>
      <c r="X30" s="33">
        <v>31.52</v>
      </c>
      <c r="Y30" s="33">
        <v>30.09</v>
      </c>
      <c r="Z30" s="33">
        <v>31.98</v>
      </c>
      <c r="AA30" s="33">
        <v>16.99</v>
      </c>
      <c r="AB30" s="33">
        <v>25.88</v>
      </c>
      <c r="AC30" s="33">
        <v>16.41</v>
      </c>
      <c r="AD30" s="33">
        <v>16.41</v>
      </c>
      <c r="AE30" s="33">
        <v>17.31</v>
      </c>
      <c r="AF30" s="33">
        <v>16.25</v>
      </c>
      <c r="AG30" s="33">
        <v>17.98</v>
      </c>
      <c r="AH30" s="33">
        <v>26.97</v>
      </c>
      <c r="AI30" s="33">
        <v>16.25</v>
      </c>
      <c r="AJ30" s="33">
        <v>42.81</v>
      </c>
      <c r="AK30" s="32"/>
      <c r="AL30" s="34">
        <f>SUM(G30:AK30)</f>
      </c>
      <c r="AM30" s="35"/>
    </row>
    <row r="31" ht="13.5" customHeight="1" spans="2:39" x14ac:dyDescent="0.25">
      <c r="B31" s="48" t="s">
        <v>3</v>
      </c>
      <c r="C31" s="49" t="s">
        <v>2853</v>
      </c>
      <c r="D31" s="50" t="s">
        <v>42</v>
      </c>
      <c r="E31" s="32" t="s">
        <v>3</v>
      </c>
      <c r="F31" s="32" t="s">
        <v>2871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>
        <v>25.14</v>
      </c>
      <c r="W31" s="33">
        <v>159.74</v>
      </c>
      <c r="X31" s="33">
        <v>153.55</v>
      </c>
      <c r="Y31" s="33">
        <v>153.49</v>
      </c>
      <c r="Z31" s="33">
        <v>23.05</v>
      </c>
      <c r="AA31" s="33">
        <v>18.25</v>
      </c>
      <c r="AB31" s="33">
        <v>16.41</v>
      </c>
      <c r="AC31" s="33">
        <v>16.41</v>
      </c>
      <c r="AD31" s="33">
        <v>16.41</v>
      </c>
      <c r="AE31" s="33">
        <v>16.41</v>
      </c>
      <c r="AF31" s="33">
        <v>16.28</v>
      </c>
      <c r="AG31" s="33">
        <v>23.04</v>
      </c>
      <c r="AH31" s="33">
        <v>45.53</v>
      </c>
      <c r="AI31" s="33">
        <v>161.19</v>
      </c>
      <c r="AJ31" s="33">
        <v>141.95</v>
      </c>
      <c r="AK31" s="32"/>
      <c r="AL31" s="34">
        <f>SUM(G31:AK31)</f>
      </c>
      <c r="AM31" s="35"/>
    </row>
    <row r="32" ht="13.5" customHeight="1" spans="2:39" x14ac:dyDescent="0.25">
      <c r="B32" s="48" t="s">
        <v>3</v>
      </c>
      <c r="C32" s="49" t="s">
        <v>2853</v>
      </c>
      <c r="D32" s="50" t="s">
        <v>42</v>
      </c>
      <c r="E32" s="32" t="s">
        <v>3</v>
      </c>
      <c r="F32" s="32" t="s">
        <v>2872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>
        <v>30.53</v>
      </c>
      <c r="W32" s="33">
        <v>120.03</v>
      </c>
      <c r="X32" s="33">
        <v>83.23</v>
      </c>
      <c r="Y32" s="33">
        <v>153.81</v>
      </c>
      <c r="Z32" s="33">
        <v>35.07</v>
      </c>
      <c r="AA32" s="33">
        <v>26.93</v>
      </c>
      <c r="AB32" s="33">
        <v>16.41</v>
      </c>
      <c r="AC32" s="33">
        <v>16.41</v>
      </c>
      <c r="AD32" s="33">
        <v>16.41</v>
      </c>
      <c r="AE32" s="33">
        <v>16.41</v>
      </c>
      <c r="AF32" s="33">
        <v>22.54</v>
      </c>
      <c r="AG32" s="33">
        <v>37.04</v>
      </c>
      <c r="AH32" s="33">
        <v>16.25</v>
      </c>
      <c r="AI32" s="33">
        <v>59.53</v>
      </c>
      <c r="AJ32" s="33">
        <v>68.53</v>
      </c>
      <c r="AK32" s="32"/>
      <c r="AL32" s="34">
        <f>SUM(G32:AK32)</f>
      </c>
      <c r="AM32" s="35"/>
    </row>
    <row r="33" ht="13.5" customHeight="1" spans="2:39" x14ac:dyDescent="0.25">
      <c r="B33" s="48" t="s">
        <v>3</v>
      </c>
      <c r="C33" s="49" t="s">
        <v>2853</v>
      </c>
      <c r="D33" s="50" t="s">
        <v>42</v>
      </c>
      <c r="E33" s="32" t="s">
        <v>3</v>
      </c>
      <c r="F33" s="32" t="s">
        <v>2873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>
        <v>16.41</v>
      </c>
      <c r="W33" s="33">
        <v>37.35</v>
      </c>
      <c r="X33" s="33">
        <v>39.57</v>
      </c>
      <c r="Y33" s="33">
        <v>41.02</v>
      </c>
      <c r="Z33" s="33">
        <v>18.19</v>
      </c>
      <c r="AA33" s="33">
        <v>16.41</v>
      </c>
      <c r="AB33" s="33">
        <v>16.41</v>
      </c>
      <c r="AC33" s="33">
        <v>16.41</v>
      </c>
      <c r="AD33" s="33">
        <v>16.41</v>
      </c>
      <c r="AE33" s="33">
        <v>16.41</v>
      </c>
      <c r="AF33" s="33">
        <v>16.25</v>
      </c>
      <c r="AG33" s="33">
        <v>16.25</v>
      </c>
      <c r="AH33" s="33">
        <v>25.97</v>
      </c>
      <c r="AI33" s="33">
        <v>59.71</v>
      </c>
      <c r="AJ33" s="33">
        <v>36.85</v>
      </c>
      <c r="AK33" s="32"/>
      <c r="AL33" s="34">
        <f>SUM(G33:AK33)</f>
      </c>
      <c r="AM33" s="35"/>
    </row>
    <row r="34" ht="13.5" customHeight="1" spans="2:39" x14ac:dyDescent="0.25">
      <c r="B34" s="48" t="s">
        <v>3</v>
      </c>
      <c r="C34" s="49" t="s">
        <v>2853</v>
      </c>
      <c r="D34" s="50" t="s">
        <v>42</v>
      </c>
      <c r="E34" s="32" t="s">
        <v>3</v>
      </c>
      <c r="F34" s="32" t="s">
        <v>2874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59.99</v>
      </c>
      <c r="W34" s="33">
        <v>69.38</v>
      </c>
      <c r="X34" s="33">
        <v>62.12</v>
      </c>
      <c r="Y34" s="33">
        <v>20.11</v>
      </c>
      <c r="Z34" s="33">
        <v>16.41</v>
      </c>
      <c r="AA34" s="33">
        <v>16.41</v>
      </c>
      <c r="AB34" s="33">
        <v>16.41</v>
      </c>
      <c r="AC34" s="33">
        <v>16.41</v>
      </c>
      <c r="AD34" s="33">
        <v>16.41</v>
      </c>
      <c r="AE34" s="33">
        <v>16.41</v>
      </c>
      <c r="AF34" s="33">
        <v>16.25</v>
      </c>
      <c r="AG34" s="33">
        <v>16.25</v>
      </c>
      <c r="AH34" s="33">
        <v>75.82</v>
      </c>
      <c r="AI34" s="33">
        <v>64.6</v>
      </c>
      <c r="AJ34" s="33">
        <v>83.28</v>
      </c>
      <c r="AK34" s="32"/>
      <c r="AL34" s="34">
        <f>SUM(G34:AK34)</f>
      </c>
      <c r="AM34" s="35"/>
    </row>
    <row r="35" ht="13.5" customHeight="1" spans="2:39" x14ac:dyDescent="0.25">
      <c r="B35" s="48" t="s">
        <v>3</v>
      </c>
      <c r="C35" s="49" t="s">
        <v>2853</v>
      </c>
      <c r="D35" s="50" t="s">
        <v>42</v>
      </c>
      <c r="E35" s="32" t="s">
        <v>3</v>
      </c>
      <c r="F35" s="32" t="s">
        <v>2875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3">
        <v>160.9</v>
      </c>
      <c r="W35" s="33">
        <v>183.16</v>
      </c>
      <c r="X35" s="33">
        <v>120.5</v>
      </c>
      <c r="Y35" s="33">
        <v>119.63</v>
      </c>
      <c r="Z35" s="33">
        <v>16.75</v>
      </c>
      <c r="AA35" s="33">
        <v>16.41</v>
      </c>
      <c r="AB35" s="33">
        <v>16.41</v>
      </c>
      <c r="AC35" s="33">
        <v>16.41</v>
      </c>
      <c r="AD35" s="33">
        <v>16.41</v>
      </c>
      <c r="AE35" s="33">
        <v>16.41</v>
      </c>
      <c r="AF35" s="33">
        <v>18.13</v>
      </c>
      <c r="AG35" s="33">
        <v>107.34</v>
      </c>
      <c r="AH35" s="33">
        <v>157.92</v>
      </c>
      <c r="AI35" s="33">
        <v>152.51</v>
      </c>
      <c r="AJ35" s="33">
        <v>119.82</v>
      </c>
      <c r="AK35" s="32"/>
      <c r="AL35" s="34">
        <f>SUM(G35:AK35)</f>
      </c>
      <c r="AM35" s="35"/>
    </row>
    <row r="36" ht="13.5" customHeight="1" spans="2:39" x14ac:dyDescent="0.25">
      <c r="B36" s="48" t="s">
        <v>3</v>
      </c>
      <c r="C36" s="49" t="s">
        <v>2853</v>
      </c>
      <c r="D36" s="50" t="s">
        <v>42</v>
      </c>
      <c r="E36" s="32" t="s">
        <v>3</v>
      </c>
      <c r="F36" s="32" t="s">
        <v>2876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3">
        <v>84.97</v>
      </c>
      <c r="W36" s="33">
        <v>75.6</v>
      </c>
      <c r="X36" s="33">
        <v>77.28</v>
      </c>
      <c r="Y36" s="33">
        <v>74.5</v>
      </c>
      <c r="Z36" s="33">
        <v>82.85</v>
      </c>
      <c r="AA36" s="33">
        <v>29.2</v>
      </c>
      <c r="AB36" s="33">
        <v>16.41</v>
      </c>
      <c r="AC36" s="33">
        <v>16.41</v>
      </c>
      <c r="AD36" s="33">
        <v>16.41</v>
      </c>
      <c r="AE36" s="33">
        <v>16.41</v>
      </c>
      <c r="AF36" s="33">
        <v>16.26</v>
      </c>
      <c r="AG36" s="33">
        <v>87.95</v>
      </c>
      <c r="AH36" s="33">
        <v>171.59</v>
      </c>
      <c r="AI36" s="33">
        <v>171.17</v>
      </c>
      <c r="AJ36" s="33">
        <v>142.83</v>
      </c>
      <c r="AK36" s="32"/>
      <c r="AL36" s="34">
        <f>SUM(G36:AK36)</f>
      </c>
      <c r="AM36" s="35"/>
    </row>
    <row r="37" ht="13.5" customHeight="1" spans="2:39" x14ac:dyDescent="0.25">
      <c r="B37" s="48" t="s">
        <v>3</v>
      </c>
      <c r="C37" s="49" t="s">
        <v>2853</v>
      </c>
      <c r="D37" s="50" t="s">
        <v>42</v>
      </c>
      <c r="E37" s="32" t="s">
        <v>3</v>
      </c>
      <c r="F37" s="32" t="s">
        <v>2877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>
        <v>22.98</v>
      </c>
      <c r="W37" s="33">
        <v>52.83</v>
      </c>
      <c r="X37" s="33">
        <v>53.78</v>
      </c>
      <c r="Y37" s="33">
        <v>78.61</v>
      </c>
      <c r="Z37" s="33">
        <v>23.44</v>
      </c>
      <c r="AA37" s="33">
        <v>16.41</v>
      </c>
      <c r="AB37" s="33">
        <v>16.41</v>
      </c>
      <c r="AC37" s="33">
        <v>16.41</v>
      </c>
      <c r="AD37" s="33">
        <v>16.41</v>
      </c>
      <c r="AE37" s="33">
        <v>16.41</v>
      </c>
      <c r="AF37" s="33">
        <v>16.25</v>
      </c>
      <c r="AG37" s="33">
        <v>16.25</v>
      </c>
      <c r="AH37" s="33">
        <v>16.25</v>
      </c>
      <c r="AI37" s="33">
        <v>17.22</v>
      </c>
      <c r="AJ37" s="33">
        <v>71.55</v>
      </c>
      <c r="AK37" s="32"/>
      <c r="AL37" s="34">
        <f>SUM(G37:AK37)</f>
      </c>
      <c r="AM37" s="35"/>
    </row>
    <row r="38" ht="13.5" customHeight="1" spans="2:39" x14ac:dyDescent="0.25">
      <c r="B38" s="48" t="s">
        <v>3</v>
      </c>
      <c r="C38" s="49" t="s">
        <v>2853</v>
      </c>
      <c r="D38" s="50" t="s">
        <v>42</v>
      </c>
      <c r="E38" s="32" t="s">
        <v>3</v>
      </c>
      <c r="F38" s="32" t="s">
        <v>2878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>
        <v>16.41</v>
      </c>
      <c r="W38" s="33">
        <v>37.78</v>
      </c>
      <c r="X38" s="33">
        <v>36.23</v>
      </c>
      <c r="Y38" s="33">
        <v>23.3</v>
      </c>
      <c r="Z38" s="33">
        <v>16.41</v>
      </c>
      <c r="AA38" s="33">
        <v>16.41</v>
      </c>
      <c r="AB38" s="33">
        <v>16.41</v>
      </c>
      <c r="AC38" s="33">
        <v>16.41</v>
      </c>
      <c r="AD38" s="33">
        <v>16.41</v>
      </c>
      <c r="AE38" s="33">
        <v>16.41</v>
      </c>
      <c r="AF38" s="33">
        <v>59.64</v>
      </c>
      <c r="AG38" s="33">
        <v>88.21</v>
      </c>
      <c r="AH38" s="33">
        <v>63.28</v>
      </c>
      <c r="AI38" s="33">
        <v>63.09</v>
      </c>
      <c r="AJ38" s="33">
        <v>86.22</v>
      </c>
      <c r="AK38" s="32"/>
      <c r="AL38" s="34">
        <f>SUM(G38:AK38)</f>
      </c>
      <c r="AM38" s="35"/>
    </row>
    <row r="39" ht="13.5" customHeight="1" spans="2:39" x14ac:dyDescent="0.25">
      <c r="B39" s="48" t="s">
        <v>3</v>
      </c>
      <c r="C39" s="49" t="s">
        <v>2853</v>
      </c>
      <c r="D39" s="50" t="s">
        <v>42</v>
      </c>
      <c r="E39" s="32" t="s">
        <v>3</v>
      </c>
      <c r="F39" s="32" t="s">
        <v>2879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3">
        <v>66.13</v>
      </c>
      <c r="W39" s="33">
        <v>38.67</v>
      </c>
      <c r="X39" s="33">
        <v>61.78</v>
      </c>
      <c r="Y39" s="33">
        <v>89.55</v>
      </c>
      <c r="Z39" s="33">
        <v>25.09</v>
      </c>
      <c r="AA39" s="33">
        <v>17.07</v>
      </c>
      <c r="AB39" s="33">
        <v>16.41</v>
      </c>
      <c r="AC39" s="33">
        <v>16.41</v>
      </c>
      <c r="AD39" s="33">
        <v>16.41</v>
      </c>
      <c r="AE39" s="33">
        <v>16.41</v>
      </c>
      <c r="AF39" s="33">
        <v>16.25</v>
      </c>
      <c r="AG39" s="33">
        <v>61.31</v>
      </c>
      <c r="AH39" s="33">
        <v>170.09</v>
      </c>
      <c r="AI39" s="33">
        <v>152.63</v>
      </c>
      <c r="AJ39" s="33">
        <v>161.99</v>
      </c>
      <c r="AK39" s="32"/>
      <c r="AL39" s="34">
        <f>SUM(G39:AK39)</f>
      </c>
      <c r="AM39" s="35"/>
    </row>
    <row r="40" ht="13.5" customHeight="1" spans="2:39" x14ac:dyDescent="0.25">
      <c r="B40" s="48" t="s">
        <v>3</v>
      </c>
      <c r="C40" s="49" t="s">
        <v>2853</v>
      </c>
      <c r="D40" s="50" t="s">
        <v>42</v>
      </c>
      <c r="E40" s="32" t="s">
        <v>3</v>
      </c>
      <c r="F40" s="32" t="s">
        <v>2880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>
        <v>77.04</v>
      </c>
      <c r="W40" s="33">
        <v>23.42</v>
      </c>
      <c r="X40" s="33">
        <v>57.35</v>
      </c>
      <c r="Y40" s="33">
        <v>54.23</v>
      </c>
      <c r="Z40" s="33">
        <v>19.03</v>
      </c>
      <c r="AA40" s="33">
        <v>16.41</v>
      </c>
      <c r="AB40" s="33">
        <v>16.41</v>
      </c>
      <c r="AC40" s="33">
        <v>16.41</v>
      </c>
      <c r="AD40" s="33">
        <v>16.41</v>
      </c>
      <c r="AE40" s="33">
        <v>16.41</v>
      </c>
      <c r="AF40" s="33">
        <v>16.25</v>
      </c>
      <c r="AG40" s="33">
        <v>16.25</v>
      </c>
      <c r="AH40" s="33">
        <v>16.25</v>
      </c>
      <c r="AI40" s="33">
        <v>38.59</v>
      </c>
      <c r="AJ40" s="33">
        <v>54.42</v>
      </c>
      <c r="AK40" s="32"/>
      <c r="AL40" s="34">
        <f>SUM(G40:AK40)</f>
      </c>
      <c r="AM40" s="35"/>
    </row>
    <row r="41" ht="13.5" customHeight="1" spans="2:39" x14ac:dyDescent="0.25">
      <c r="B41" s="48" t="s">
        <v>3</v>
      </c>
      <c r="C41" s="49" t="s">
        <v>2853</v>
      </c>
      <c r="D41" s="50" t="s">
        <v>42</v>
      </c>
      <c r="E41" s="32" t="s">
        <v>3</v>
      </c>
      <c r="F41" s="32" t="s">
        <v>2881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3">
        <v>65.44</v>
      </c>
      <c r="W41" s="33">
        <v>114.38</v>
      </c>
      <c r="X41" s="33">
        <v>87.98</v>
      </c>
      <c r="Y41" s="33">
        <v>83.5</v>
      </c>
      <c r="Z41" s="33">
        <v>16.9</v>
      </c>
      <c r="AA41" s="33">
        <v>16.41</v>
      </c>
      <c r="AB41" s="33">
        <v>16.41</v>
      </c>
      <c r="AC41" s="33">
        <v>16.41</v>
      </c>
      <c r="AD41" s="33">
        <v>16.41</v>
      </c>
      <c r="AE41" s="33">
        <v>51.74</v>
      </c>
      <c r="AF41" s="33">
        <v>23.22</v>
      </c>
      <c r="AG41" s="33">
        <v>18.82</v>
      </c>
      <c r="AH41" s="33">
        <v>69.09</v>
      </c>
      <c r="AI41" s="33">
        <v>57.78</v>
      </c>
      <c r="AJ41" s="33">
        <v>86.81</v>
      </c>
      <c r="AK41" s="32"/>
      <c r="AL41" s="34">
        <f>SUM(G41:AK41)</f>
      </c>
      <c r="AM41" s="35"/>
    </row>
    <row r="42" ht="13.5" customHeight="1" spans="2:39" x14ac:dyDescent="0.25">
      <c r="B42" s="48" t="s">
        <v>3</v>
      </c>
      <c r="C42" s="49" t="s">
        <v>2853</v>
      </c>
      <c r="D42" s="50" t="s">
        <v>42</v>
      </c>
      <c r="E42" s="32" t="s">
        <v>3</v>
      </c>
      <c r="F42" s="32" t="s">
        <v>2882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3">
        <v>52.55</v>
      </c>
      <c r="AF42" s="33">
        <v>42.4</v>
      </c>
      <c r="AG42" s="33">
        <v>16.25</v>
      </c>
      <c r="AH42" s="33">
        <v>16.25</v>
      </c>
      <c r="AI42" s="33">
        <v>75.09</v>
      </c>
      <c r="AJ42" s="33">
        <v>66.58</v>
      </c>
      <c r="AK42" s="32"/>
      <c r="AL42" s="34">
        <f>SUM(G42:AK42)</f>
      </c>
      <c r="AM42" s="35"/>
    </row>
    <row r="43" ht="13.5" customHeight="1" spans="2:39" x14ac:dyDescent="0.25">
      <c r="B43" s="48" t="s">
        <v>3</v>
      </c>
      <c r="C43" s="49" t="s">
        <v>2853</v>
      </c>
      <c r="D43" s="50" t="s">
        <v>42</v>
      </c>
      <c r="E43" s="32" t="s">
        <v>3</v>
      </c>
      <c r="F43" s="32" t="s">
        <v>2883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>
        <v>16.41</v>
      </c>
      <c r="W43" s="33">
        <v>97.98</v>
      </c>
      <c r="X43" s="33">
        <v>64.04</v>
      </c>
      <c r="Y43" s="33">
        <v>71.48</v>
      </c>
      <c r="Z43" s="33">
        <v>25.11</v>
      </c>
      <c r="AA43" s="33">
        <v>16.41</v>
      </c>
      <c r="AB43" s="33">
        <v>16.41</v>
      </c>
      <c r="AC43" s="33">
        <v>16.41</v>
      </c>
      <c r="AD43" s="33">
        <v>16.41</v>
      </c>
      <c r="AE43" s="33">
        <v>16.41</v>
      </c>
      <c r="AF43" s="33">
        <v>16.25</v>
      </c>
      <c r="AG43" s="33">
        <v>16.25</v>
      </c>
      <c r="AH43" s="33">
        <v>42.59</v>
      </c>
      <c r="AI43" s="33">
        <v>61.56</v>
      </c>
      <c r="AJ43" s="33">
        <v>54.63</v>
      </c>
      <c r="AK43" s="32"/>
      <c r="AL43" s="34">
        <f>SUM(G43:AK43)</f>
      </c>
      <c r="AM43" s="35"/>
    </row>
    <row r="44" ht="13.5" customHeight="1" spans="2:39" x14ac:dyDescent="0.25">
      <c r="B44" s="48" t="s">
        <v>3</v>
      </c>
      <c r="C44" s="49" t="s">
        <v>2853</v>
      </c>
      <c r="D44" s="50" t="s">
        <v>42</v>
      </c>
      <c r="E44" s="32" t="s">
        <v>3</v>
      </c>
      <c r="F44" s="32" t="s">
        <v>2884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>
        <v>22.86</v>
      </c>
      <c r="W44" s="33">
        <v>116.13</v>
      </c>
      <c r="X44" s="33">
        <v>118.49</v>
      </c>
      <c r="Y44" s="33">
        <v>128.9</v>
      </c>
      <c r="Z44" s="33">
        <v>151.19</v>
      </c>
      <c r="AA44" s="33">
        <v>41.62</v>
      </c>
      <c r="AB44" s="33">
        <v>21.86</v>
      </c>
      <c r="AC44" s="33">
        <v>22.44</v>
      </c>
      <c r="AD44" s="33">
        <v>21.92</v>
      </c>
      <c r="AE44" s="33">
        <v>22.05</v>
      </c>
      <c r="AF44" s="33">
        <v>21.51</v>
      </c>
      <c r="AG44" s="33">
        <v>90.97</v>
      </c>
      <c r="AH44" s="33">
        <v>121.32</v>
      </c>
      <c r="AI44" s="33">
        <v>31.9</v>
      </c>
      <c r="AJ44" s="33">
        <v>34.77</v>
      </c>
      <c r="AK44" s="32"/>
      <c r="AL44" s="34">
        <f>SUM(G44:AK44)</f>
      </c>
      <c r="AM44" s="35"/>
    </row>
    <row r="45" ht="13.5" customHeight="1" spans="2:39" x14ac:dyDescent="0.25">
      <c r="B45" s="48" t="s">
        <v>3</v>
      </c>
      <c r="C45" s="49" t="s">
        <v>2853</v>
      </c>
      <c r="D45" s="50" t="s">
        <v>42</v>
      </c>
      <c r="E45" s="32" t="s">
        <v>3</v>
      </c>
      <c r="F45" s="32" t="s">
        <v>2885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>
        <v>39.33</v>
      </c>
      <c r="W45" s="33">
        <v>34.81</v>
      </c>
      <c r="X45" s="33">
        <v>77.54</v>
      </c>
      <c r="Y45" s="33">
        <v>41.23</v>
      </c>
      <c r="Z45" s="33">
        <v>16.41</v>
      </c>
      <c r="AA45" s="33">
        <v>16.41</v>
      </c>
      <c r="AB45" s="33">
        <v>16.41</v>
      </c>
      <c r="AC45" s="33">
        <v>16.41</v>
      </c>
      <c r="AD45" s="33">
        <v>16.41</v>
      </c>
      <c r="AE45" s="33">
        <v>16.41</v>
      </c>
      <c r="AF45" s="33">
        <v>16.25</v>
      </c>
      <c r="AG45" s="33">
        <v>16.25</v>
      </c>
      <c r="AH45" s="33">
        <v>16.25</v>
      </c>
      <c r="AI45" s="33">
        <v>50.11</v>
      </c>
      <c r="AJ45" s="33">
        <v>42.68</v>
      </c>
      <c r="AK45" s="32"/>
      <c r="AL45" s="34">
        <f>SUM(G45:AK45)</f>
      </c>
      <c r="AM45" s="35"/>
    </row>
    <row r="46" ht="13.5" customHeight="1" spans="2:39" x14ac:dyDescent="0.25">
      <c r="B46" s="48" t="s">
        <v>3</v>
      </c>
      <c r="C46" s="49" t="s">
        <v>2853</v>
      </c>
      <c r="D46" s="50" t="s">
        <v>42</v>
      </c>
      <c r="E46" s="32" t="s">
        <v>3</v>
      </c>
      <c r="F46" s="32" t="s">
        <v>2886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>
        <v>94.74</v>
      </c>
      <c r="W46" s="33">
        <v>93.18</v>
      </c>
      <c r="X46" s="33">
        <v>79.39</v>
      </c>
      <c r="Y46" s="33">
        <v>75.56</v>
      </c>
      <c r="Z46" s="33">
        <v>19.67</v>
      </c>
      <c r="AA46" s="33">
        <v>16.41</v>
      </c>
      <c r="AB46" s="33">
        <v>16.41</v>
      </c>
      <c r="AC46" s="33">
        <v>16.41</v>
      </c>
      <c r="AD46" s="33">
        <v>16.41</v>
      </c>
      <c r="AE46" s="33">
        <v>16.41</v>
      </c>
      <c r="AF46" s="33">
        <v>16.25</v>
      </c>
      <c r="AG46" s="33">
        <v>22.49</v>
      </c>
      <c r="AH46" s="33">
        <v>103.68</v>
      </c>
      <c r="AI46" s="33">
        <v>80.19</v>
      </c>
      <c r="AJ46" s="33">
        <v>84.02</v>
      </c>
      <c r="AK46" s="32"/>
      <c r="AL46" s="34">
        <f>SUM(G46:AK46)</f>
      </c>
      <c r="AM46" s="35"/>
    </row>
    <row r="47" ht="13.5" customHeight="1" spans="2:39" x14ac:dyDescent="0.25">
      <c r="B47" s="48" t="s">
        <v>3</v>
      </c>
      <c r="C47" s="49" t="s">
        <v>2853</v>
      </c>
      <c r="D47" s="50" t="s">
        <v>42</v>
      </c>
      <c r="E47" s="32" t="s">
        <v>3</v>
      </c>
      <c r="F47" s="32" t="s">
        <v>2887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>
        <v>16.41</v>
      </c>
      <c r="W47" s="33">
        <v>21.04</v>
      </c>
      <c r="X47" s="33">
        <v>49.04</v>
      </c>
      <c r="Y47" s="33">
        <v>53.92</v>
      </c>
      <c r="Z47" s="33">
        <v>30.96</v>
      </c>
      <c r="AA47" s="33">
        <v>20.92</v>
      </c>
      <c r="AB47" s="33">
        <v>16.41</v>
      </c>
      <c r="AC47" s="33">
        <v>16.41</v>
      </c>
      <c r="AD47" s="33">
        <v>16.41</v>
      </c>
      <c r="AE47" s="33">
        <v>16.41</v>
      </c>
      <c r="AF47" s="33">
        <v>16.25</v>
      </c>
      <c r="AG47" s="33">
        <v>16.25</v>
      </c>
      <c r="AH47" s="33">
        <v>16.25</v>
      </c>
      <c r="AI47" s="33">
        <v>16.25</v>
      </c>
      <c r="AJ47" s="33">
        <v>75.12</v>
      </c>
      <c r="AK47" s="32"/>
      <c r="AL47" s="34">
        <f>SUM(G47:AK47)</f>
      </c>
      <c r="AM47" s="35"/>
    </row>
    <row r="48" ht="13.5" customHeight="1" spans="2:39" x14ac:dyDescent="0.25">
      <c r="B48" s="48" t="s">
        <v>3</v>
      </c>
      <c r="C48" s="49" t="s">
        <v>2853</v>
      </c>
      <c r="D48" s="50" t="s">
        <v>42</v>
      </c>
      <c r="E48" s="32" t="s">
        <v>3</v>
      </c>
      <c r="F48" s="32" t="s">
        <v>2888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>
        <v>25.6</v>
      </c>
      <c r="W48" s="33">
        <v>35.15</v>
      </c>
      <c r="X48" s="33">
        <v>47.68</v>
      </c>
      <c r="Y48" s="33">
        <v>56.09</v>
      </c>
      <c r="Z48" s="33">
        <v>27.18</v>
      </c>
      <c r="AA48" s="33">
        <v>16.41</v>
      </c>
      <c r="AB48" s="33">
        <v>16.41</v>
      </c>
      <c r="AC48" s="33">
        <v>16.41</v>
      </c>
      <c r="AD48" s="33">
        <v>16.41</v>
      </c>
      <c r="AE48" s="33">
        <v>16.41</v>
      </c>
      <c r="AF48" s="33">
        <v>16.25</v>
      </c>
      <c r="AG48" s="33">
        <v>16.25</v>
      </c>
      <c r="AH48" s="33">
        <v>45.48</v>
      </c>
      <c r="AI48" s="33">
        <v>36.72</v>
      </c>
      <c r="AJ48" s="33">
        <v>49.27</v>
      </c>
      <c r="AK48" s="32"/>
      <c r="AL48" s="34">
        <f>SUM(G48:AK48)</f>
      </c>
      <c r="AM48" s="35"/>
    </row>
    <row r="49" ht="13.5" customHeight="1" spans="2:39" x14ac:dyDescent="0.25">
      <c r="B49" s="48" t="s">
        <v>3</v>
      </c>
      <c r="C49" s="49" t="s">
        <v>2853</v>
      </c>
      <c r="D49" s="50" t="s">
        <v>42</v>
      </c>
      <c r="E49" s="32" t="s">
        <v>3</v>
      </c>
      <c r="F49" s="32" t="s">
        <v>2889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>
        <v>20.36</v>
      </c>
      <c r="W49" s="33">
        <v>166.9</v>
      </c>
      <c r="X49" s="33">
        <v>57.01</v>
      </c>
      <c r="Y49" s="33">
        <v>67.24</v>
      </c>
      <c r="Z49" s="33">
        <v>102.71</v>
      </c>
      <c r="AA49" s="33">
        <v>125.59</v>
      </c>
      <c r="AB49" s="33">
        <v>188.69</v>
      </c>
      <c r="AC49" s="33">
        <v>225.72</v>
      </c>
      <c r="AD49" s="33">
        <v>16.41</v>
      </c>
      <c r="AE49" s="33">
        <v>33.5</v>
      </c>
      <c r="AF49" s="33">
        <v>31.6</v>
      </c>
      <c r="AG49" s="33">
        <v>16.25</v>
      </c>
      <c r="AH49" s="33">
        <v>46.85</v>
      </c>
      <c r="AI49" s="33">
        <v>34.15</v>
      </c>
      <c r="AJ49" s="33">
        <v>51.2</v>
      </c>
      <c r="AK49" s="32"/>
      <c r="AL49" s="34">
        <f>SUM(G49:AK49)</f>
      </c>
      <c r="AM49" s="35"/>
    </row>
    <row r="50" ht="13.5" customHeight="1" spans="2:39" x14ac:dyDescent="0.25">
      <c r="B50" s="48" t="s">
        <v>3</v>
      </c>
      <c r="C50" s="49" t="s">
        <v>2853</v>
      </c>
      <c r="D50" s="50" t="s">
        <v>42</v>
      </c>
      <c r="E50" s="32" t="s">
        <v>3</v>
      </c>
      <c r="F50" s="32" t="s">
        <v>2890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3">
        <v>83.76</v>
      </c>
      <c r="W50" s="33">
        <v>46.85</v>
      </c>
      <c r="X50" s="33">
        <v>130.07</v>
      </c>
      <c r="Y50" s="33">
        <v>144.24</v>
      </c>
      <c r="Z50" s="33">
        <v>27.51</v>
      </c>
      <c r="AA50" s="33">
        <v>16.43</v>
      </c>
      <c r="AB50" s="33">
        <v>16.41</v>
      </c>
      <c r="AC50" s="33">
        <v>16.47</v>
      </c>
      <c r="AD50" s="33">
        <v>16.41</v>
      </c>
      <c r="AE50" s="33">
        <v>16.41</v>
      </c>
      <c r="AF50" s="33">
        <v>28.25</v>
      </c>
      <c r="AG50" s="33">
        <v>21.49</v>
      </c>
      <c r="AH50" s="33">
        <v>54.11</v>
      </c>
      <c r="AI50" s="33">
        <v>48.99</v>
      </c>
      <c r="AJ50" s="33">
        <v>76.31</v>
      </c>
      <c r="AK50" s="32"/>
      <c r="AL50" s="34">
        <f>SUM(G50:AK50)</f>
      </c>
      <c r="AM50" s="35"/>
    </row>
    <row r="51" ht="13.5" customHeight="1" spans="2:39" x14ac:dyDescent="0.25">
      <c r="B51" s="48" t="s">
        <v>3</v>
      </c>
      <c r="C51" s="49" t="s">
        <v>2853</v>
      </c>
      <c r="D51" s="50" t="s">
        <v>42</v>
      </c>
      <c r="E51" s="32" t="s">
        <v>3</v>
      </c>
      <c r="F51" s="32" t="s">
        <v>2891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3">
        <v>54.11</v>
      </c>
      <c r="W51" s="33">
        <v>112.98</v>
      </c>
      <c r="X51" s="33">
        <v>59.94</v>
      </c>
      <c r="Y51" s="33">
        <v>62.75</v>
      </c>
      <c r="Z51" s="33">
        <v>101.02</v>
      </c>
      <c r="AA51" s="33">
        <v>139.95</v>
      </c>
      <c r="AB51" s="33">
        <v>42.14</v>
      </c>
      <c r="AC51" s="33">
        <v>16.41</v>
      </c>
      <c r="AD51" s="33">
        <v>16.41</v>
      </c>
      <c r="AE51" s="33">
        <v>16.41</v>
      </c>
      <c r="AF51" s="33">
        <v>16.25</v>
      </c>
      <c r="AG51" s="33">
        <v>29.63</v>
      </c>
      <c r="AH51" s="33">
        <v>97.29</v>
      </c>
      <c r="AI51" s="33">
        <v>97.22</v>
      </c>
      <c r="AJ51" s="33">
        <v>81.26</v>
      </c>
      <c r="AK51" s="32"/>
      <c r="AL51" s="34">
        <f>SUM(G51:AK51)</f>
      </c>
      <c r="AM51" s="35"/>
    </row>
    <row r="52" ht="13.5" customHeight="1" spans="2:39" x14ac:dyDescent="0.25">
      <c r="B52" s="48" t="s">
        <v>3</v>
      </c>
      <c r="C52" s="49" t="s">
        <v>2853</v>
      </c>
      <c r="D52" s="50" t="s">
        <v>42</v>
      </c>
      <c r="E52" s="32" t="s">
        <v>3</v>
      </c>
      <c r="F52" s="32" t="s">
        <v>2892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3">
        <v>16.41</v>
      </c>
      <c r="W52" s="33">
        <v>103.37</v>
      </c>
      <c r="X52" s="33">
        <v>71.07</v>
      </c>
      <c r="Y52" s="33">
        <v>74.35</v>
      </c>
      <c r="Z52" s="33">
        <v>25.75</v>
      </c>
      <c r="AA52" s="33">
        <v>16.41</v>
      </c>
      <c r="AB52" s="33">
        <v>16.41</v>
      </c>
      <c r="AC52" s="33">
        <v>16.41</v>
      </c>
      <c r="AD52" s="33">
        <v>16.41</v>
      </c>
      <c r="AE52" s="33">
        <v>16.41</v>
      </c>
      <c r="AF52" s="33">
        <v>16.25</v>
      </c>
      <c r="AG52" s="33">
        <v>16.25</v>
      </c>
      <c r="AH52" s="33">
        <v>23.63</v>
      </c>
      <c r="AI52" s="33">
        <v>61.03</v>
      </c>
      <c r="AJ52" s="33">
        <v>88.36</v>
      </c>
      <c r="AK52" s="32"/>
      <c r="AL52" s="34">
        <f>SUM(G52:AK52)</f>
      </c>
      <c r="AM52" s="35"/>
    </row>
    <row r="53" ht="13.5" customHeight="1" spans="2:39" x14ac:dyDescent="0.25">
      <c r="B53" s="48" t="s">
        <v>3</v>
      </c>
      <c r="C53" s="49" t="s">
        <v>2853</v>
      </c>
      <c r="D53" s="50" t="s">
        <v>42</v>
      </c>
      <c r="E53" s="32" t="s">
        <v>3</v>
      </c>
      <c r="F53" s="32" t="s">
        <v>2893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3">
        <v>169.56</v>
      </c>
      <c r="W53" s="33">
        <v>134.52</v>
      </c>
      <c r="X53" s="33">
        <v>123.02</v>
      </c>
      <c r="Y53" s="33">
        <v>131.61</v>
      </c>
      <c r="Z53" s="33">
        <v>16.41</v>
      </c>
      <c r="AA53" s="33">
        <v>16.41</v>
      </c>
      <c r="AB53" s="33">
        <v>16.41</v>
      </c>
      <c r="AC53" s="33">
        <v>16.41</v>
      </c>
      <c r="AD53" s="33">
        <v>16.41</v>
      </c>
      <c r="AE53" s="33">
        <v>16.41</v>
      </c>
      <c r="AF53" s="33">
        <v>16.25</v>
      </c>
      <c r="AG53" s="33">
        <v>16.25</v>
      </c>
      <c r="AH53" s="33">
        <v>16.25</v>
      </c>
      <c r="AI53" s="33">
        <v>49.86</v>
      </c>
      <c r="AJ53" s="33">
        <v>63.57</v>
      </c>
      <c r="AK53" s="32"/>
      <c r="AL53" s="34">
        <f>SUM(G53:AK53)</f>
      </c>
      <c r="AM53" s="35"/>
    </row>
    <row r="54" ht="13.5" customHeight="1" spans="2:39" x14ac:dyDescent="0.25">
      <c r="B54" s="48" t="s">
        <v>3</v>
      </c>
      <c r="C54" s="49" t="s">
        <v>2853</v>
      </c>
      <c r="D54" s="50" t="s">
        <v>42</v>
      </c>
      <c r="E54" s="32" t="s">
        <v>3</v>
      </c>
      <c r="F54" s="32" t="s">
        <v>2894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>
        <v>168.44</v>
      </c>
      <c r="W54" s="33">
        <v>126.93</v>
      </c>
      <c r="X54" s="33">
        <v>147.84</v>
      </c>
      <c r="Y54" s="33">
        <v>35.26</v>
      </c>
      <c r="Z54" s="33">
        <v>16.41</v>
      </c>
      <c r="AA54" s="33">
        <v>16.41</v>
      </c>
      <c r="AB54" s="33">
        <v>16.41</v>
      </c>
      <c r="AC54" s="33">
        <v>16.41</v>
      </c>
      <c r="AD54" s="33">
        <v>16.41</v>
      </c>
      <c r="AE54" s="33">
        <v>16.41</v>
      </c>
      <c r="AF54" s="33">
        <v>16.25</v>
      </c>
      <c r="AG54" s="33">
        <v>16.25</v>
      </c>
      <c r="AH54" s="33">
        <v>16.25</v>
      </c>
      <c r="AI54" s="33">
        <v>86.65</v>
      </c>
      <c r="AJ54" s="33">
        <v>84.55</v>
      </c>
      <c r="AK54" s="32"/>
      <c r="AL54" s="34">
        <f>SUM(G54:AK54)</f>
      </c>
      <c r="AM54" s="35"/>
    </row>
    <row r="55" ht="13.5" customHeight="1" spans="2:39" x14ac:dyDescent="0.25">
      <c r="B55" s="48" t="s">
        <v>3</v>
      </c>
      <c r="C55" s="49" t="s">
        <v>2853</v>
      </c>
      <c r="D55" s="50" t="s">
        <v>42</v>
      </c>
      <c r="E55" s="32" t="s">
        <v>3</v>
      </c>
      <c r="F55" s="32" t="s">
        <v>2895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3">
        <v>65.23</v>
      </c>
      <c r="W55" s="33">
        <v>68.57</v>
      </c>
      <c r="X55" s="33">
        <v>42.48</v>
      </c>
      <c r="Y55" s="33">
        <v>52.54</v>
      </c>
      <c r="Z55" s="33">
        <v>24.64</v>
      </c>
      <c r="AA55" s="33">
        <v>16.41</v>
      </c>
      <c r="AB55" s="33">
        <v>16.41</v>
      </c>
      <c r="AC55" s="33">
        <v>16.41</v>
      </c>
      <c r="AD55" s="33">
        <v>16.41</v>
      </c>
      <c r="AE55" s="33">
        <v>16.41</v>
      </c>
      <c r="AF55" s="33">
        <v>16.25</v>
      </c>
      <c r="AG55" s="33">
        <v>34.75</v>
      </c>
      <c r="AH55" s="33">
        <v>36.26</v>
      </c>
      <c r="AI55" s="33">
        <v>22.9</v>
      </c>
      <c r="AJ55" s="33">
        <v>38.62</v>
      </c>
      <c r="AK55" s="32"/>
      <c r="AL55" s="34">
        <f>SUM(G55:AK55)</f>
      </c>
      <c r="AM55" s="35"/>
    </row>
    <row r="56" ht="13.5" customHeight="1" spans="2:39" x14ac:dyDescent="0.25">
      <c r="B56" s="48" t="s">
        <v>3</v>
      </c>
      <c r="C56" s="49" t="s">
        <v>2853</v>
      </c>
      <c r="D56" s="50" t="s">
        <v>42</v>
      </c>
      <c r="E56" s="32" t="s">
        <v>3</v>
      </c>
      <c r="F56" s="32" t="s">
        <v>2896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3">
        <v>64.98</v>
      </c>
      <c r="W56" s="33">
        <v>57.31</v>
      </c>
      <c r="X56" s="33">
        <v>57.55</v>
      </c>
      <c r="Y56" s="33">
        <v>65.9</v>
      </c>
      <c r="Z56" s="33">
        <v>28.42</v>
      </c>
      <c r="AA56" s="33">
        <v>16.41</v>
      </c>
      <c r="AB56" s="33">
        <v>16.41</v>
      </c>
      <c r="AC56" s="33">
        <v>16.41</v>
      </c>
      <c r="AD56" s="33">
        <v>16.41</v>
      </c>
      <c r="AE56" s="33">
        <v>127.85</v>
      </c>
      <c r="AF56" s="33">
        <v>103.5</v>
      </c>
      <c r="AG56" s="33">
        <v>85.47</v>
      </c>
      <c r="AH56" s="33">
        <v>71.86</v>
      </c>
      <c r="AI56" s="33">
        <v>78.69</v>
      </c>
      <c r="AJ56" s="33">
        <v>129.06</v>
      </c>
      <c r="AK56" s="32"/>
      <c r="AL56" s="34">
        <f>SUM(G56:AK56)</f>
      </c>
      <c r="AM56" s="35"/>
    </row>
    <row r="57" ht="13.5" customHeight="1" spans="2:39" x14ac:dyDescent="0.25">
      <c r="B57" s="48" t="s">
        <v>3</v>
      </c>
      <c r="C57" s="49" t="s">
        <v>2853</v>
      </c>
      <c r="D57" s="50" t="s">
        <v>42</v>
      </c>
      <c r="E57" s="32" t="s">
        <v>3</v>
      </c>
      <c r="F57" s="32" t="s">
        <v>2897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3">
        <v>57.06</v>
      </c>
      <c r="W57" s="33">
        <v>92.3</v>
      </c>
      <c r="X57" s="33">
        <v>140.18</v>
      </c>
      <c r="Y57" s="33">
        <v>159.08</v>
      </c>
      <c r="Z57" s="33">
        <v>85.14</v>
      </c>
      <c r="AA57" s="33">
        <v>85.44</v>
      </c>
      <c r="AB57" s="33">
        <v>61.45</v>
      </c>
      <c r="AC57" s="33">
        <v>16.41</v>
      </c>
      <c r="AD57" s="33">
        <v>16.41</v>
      </c>
      <c r="AE57" s="33">
        <v>45.23</v>
      </c>
      <c r="AF57" s="33">
        <v>79.29</v>
      </c>
      <c r="AG57" s="33">
        <v>17.29</v>
      </c>
      <c r="AH57" s="33">
        <v>20.44</v>
      </c>
      <c r="AI57" s="33">
        <v>206.62</v>
      </c>
      <c r="AJ57" s="33">
        <v>209.52</v>
      </c>
      <c r="AK57" s="32"/>
      <c r="AL57" s="34">
        <f>SUM(G57:AK57)</f>
      </c>
      <c r="AM57" s="35"/>
    </row>
    <row r="58" ht="13.5" customHeight="1" spans="2:39" x14ac:dyDescent="0.25">
      <c r="B58" s="48" t="s">
        <v>3</v>
      </c>
      <c r="C58" s="49" t="s">
        <v>2853</v>
      </c>
      <c r="D58" s="50" t="s">
        <v>42</v>
      </c>
      <c r="E58" s="32" t="s">
        <v>3</v>
      </c>
      <c r="F58" s="32" t="s">
        <v>2898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>
        <v>86.37</v>
      </c>
      <c r="W58" s="33">
        <v>141.11</v>
      </c>
      <c r="X58" s="33">
        <v>110.18</v>
      </c>
      <c r="Y58" s="33">
        <v>62.31</v>
      </c>
      <c r="Z58" s="33">
        <v>16.41</v>
      </c>
      <c r="AA58" s="33">
        <v>16.41</v>
      </c>
      <c r="AB58" s="33">
        <v>16.41</v>
      </c>
      <c r="AC58" s="33">
        <v>16.41</v>
      </c>
      <c r="AD58" s="33">
        <v>16.41</v>
      </c>
      <c r="AE58" s="33">
        <v>16.41</v>
      </c>
      <c r="AF58" s="33">
        <v>43.97</v>
      </c>
      <c r="AG58" s="33">
        <v>92.06</v>
      </c>
      <c r="AH58" s="33">
        <v>94.57</v>
      </c>
      <c r="AI58" s="33">
        <v>80.11</v>
      </c>
      <c r="AJ58" s="33">
        <v>104.52</v>
      </c>
      <c r="AK58" s="32"/>
      <c r="AL58" s="34">
        <f>SUM(G58:AK58)</f>
      </c>
      <c r="AM58" s="35"/>
    </row>
    <row r="59" ht="13.5" customHeight="1" spans="2:39" x14ac:dyDescent="0.25">
      <c r="B59" s="48" t="s">
        <v>3</v>
      </c>
      <c r="C59" s="49" t="s">
        <v>2853</v>
      </c>
      <c r="D59" s="50" t="s">
        <v>42</v>
      </c>
      <c r="E59" s="32" t="s">
        <v>3</v>
      </c>
      <c r="F59" s="32" t="s">
        <v>2899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3">
        <v>151.42</v>
      </c>
      <c r="W59" s="33">
        <v>104.11</v>
      </c>
      <c r="X59" s="33">
        <v>80.78</v>
      </c>
      <c r="Y59" s="33">
        <v>59.52</v>
      </c>
      <c r="Z59" s="33">
        <v>26.86</v>
      </c>
      <c r="AA59" s="33">
        <v>22.01</v>
      </c>
      <c r="AB59" s="33">
        <v>32.05</v>
      </c>
      <c r="AC59" s="33">
        <v>81.53</v>
      </c>
      <c r="AD59" s="33">
        <v>21.96</v>
      </c>
      <c r="AE59" s="33">
        <v>52.48</v>
      </c>
      <c r="AF59" s="33">
        <v>21.53</v>
      </c>
      <c r="AG59" s="33">
        <v>36.86</v>
      </c>
      <c r="AH59" s="33">
        <v>33.97</v>
      </c>
      <c r="AI59" s="33">
        <v>61.99</v>
      </c>
      <c r="AJ59" s="33">
        <v>64.34</v>
      </c>
      <c r="AK59" s="32"/>
      <c r="AL59" s="34">
        <f>SUM(G59:AK59)</f>
      </c>
      <c r="AM59" s="35"/>
    </row>
    <row r="60" ht="13.5" customHeight="1" spans="2:39" x14ac:dyDescent="0.25">
      <c r="B60" s="48" t="s">
        <v>3</v>
      </c>
      <c r="C60" s="49" t="s">
        <v>2853</v>
      </c>
      <c r="D60" s="50" t="s">
        <v>42</v>
      </c>
      <c r="E60" s="32" t="s">
        <v>3</v>
      </c>
      <c r="F60" s="32" t="s">
        <v>2900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3">
        <v>16.41</v>
      </c>
      <c r="W60" s="33">
        <v>16.79</v>
      </c>
      <c r="X60" s="33">
        <v>45.14</v>
      </c>
      <c r="Y60" s="33">
        <v>68.69</v>
      </c>
      <c r="Z60" s="33">
        <v>18.82</v>
      </c>
      <c r="AA60" s="33">
        <v>17.92</v>
      </c>
      <c r="AB60" s="33">
        <v>16.41</v>
      </c>
      <c r="AC60" s="33">
        <v>16.41</v>
      </c>
      <c r="AD60" s="33">
        <v>16.41</v>
      </c>
      <c r="AE60" s="33">
        <v>16.41</v>
      </c>
      <c r="AF60" s="33">
        <v>16.25</v>
      </c>
      <c r="AG60" s="33">
        <v>16.25</v>
      </c>
      <c r="AH60" s="33">
        <v>16.25</v>
      </c>
      <c r="AI60" s="33">
        <v>17.73</v>
      </c>
      <c r="AJ60" s="33">
        <v>112.01</v>
      </c>
      <c r="AK60" s="32"/>
      <c r="AL60" s="34">
        <f>SUM(G60:AK60)</f>
      </c>
      <c r="AM60" s="35"/>
    </row>
    <row r="61" ht="13.5" customHeight="1" spans="2:39" x14ac:dyDescent="0.25">
      <c r="B61" s="48" t="s">
        <v>3</v>
      </c>
      <c r="C61" s="49" t="s">
        <v>2853</v>
      </c>
      <c r="D61" s="50" t="s">
        <v>42</v>
      </c>
      <c r="E61" s="32" t="s">
        <v>3</v>
      </c>
      <c r="F61" s="32" t="s">
        <v>2901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3">
        <v>16.41</v>
      </c>
      <c r="W61" s="33">
        <v>29.08</v>
      </c>
      <c r="X61" s="33">
        <v>66.15</v>
      </c>
      <c r="Y61" s="33">
        <v>84.66</v>
      </c>
      <c r="Z61" s="33">
        <v>24.44</v>
      </c>
      <c r="AA61" s="33">
        <v>16.41</v>
      </c>
      <c r="AB61" s="33">
        <v>16.41</v>
      </c>
      <c r="AC61" s="33">
        <v>16.41</v>
      </c>
      <c r="AD61" s="33">
        <v>16.41</v>
      </c>
      <c r="AE61" s="33">
        <v>16.41</v>
      </c>
      <c r="AF61" s="33">
        <v>16.25</v>
      </c>
      <c r="AG61" s="33">
        <v>30.62</v>
      </c>
      <c r="AH61" s="33">
        <v>86.06</v>
      </c>
      <c r="AI61" s="33">
        <v>71.3</v>
      </c>
      <c r="AJ61" s="33">
        <v>76.91</v>
      </c>
      <c r="AK61" s="32"/>
      <c r="AL61" s="34">
        <f>SUM(G61:AK61)</f>
      </c>
      <c r="AM61" s="35"/>
    </row>
    <row r="62" ht="13.5" customHeight="1" spans="2:39" x14ac:dyDescent="0.25">
      <c r="B62" s="48" t="s">
        <v>3</v>
      </c>
      <c r="C62" s="49" t="s">
        <v>2853</v>
      </c>
      <c r="D62" s="50" t="s">
        <v>42</v>
      </c>
      <c r="E62" s="32" t="s">
        <v>3</v>
      </c>
      <c r="F62" s="32" t="s">
        <v>2902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3">
        <v>16.41</v>
      </c>
      <c r="W62" s="33">
        <v>29.3</v>
      </c>
      <c r="X62" s="33">
        <v>85.48</v>
      </c>
      <c r="Y62" s="33">
        <v>129.59</v>
      </c>
      <c r="Z62" s="33">
        <v>44.19</v>
      </c>
      <c r="AA62" s="33">
        <v>16.41</v>
      </c>
      <c r="AB62" s="33">
        <v>16.41</v>
      </c>
      <c r="AC62" s="33">
        <v>16.41</v>
      </c>
      <c r="AD62" s="33">
        <v>16.41</v>
      </c>
      <c r="AE62" s="33">
        <v>16.41</v>
      </c>
      <c r="AF62" s="33">
        <v>16.25</v>
      </c>
      <c r="AG62" s="33">
        <v>35.47</v>
      </c>
      <c r="AH62" s="33">
        <v>41.52</v>
      </c>
      <c r="AI62" s="33">
        <v>147.44</v>
      </c>
      <c r="AJ62" s="33">
        <v>122.45</v>
      </c>
      <c r="AK62" s="32"/>
      <c r="AL62" s="34">
        <f>SUM(G62:AK62)</f>
      </c>
      <c r="AM62" s="35"/>
    </row>
    <row r="63" ht="13.5" customHeight="1" spans="2:39" x14ac:dyDescent="0.25">
      <c r="B63" s="48" t="s">
        <v>3</v>
      </c>
      <c r="C63" s="49" t="s">
        <v>2853</v>
      </c>
      <c r="D63" s="50" t="s">
        <v>42</v>
      </c>
      <c r="E63" s="32" t="s">
        <v>3</v>
      </c>
      <c r="F63" s="32" t="s">
        <v>2903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3">
        <v>31.25</v>
      </c>
      <c r="W63" s="33">
        <v>100.33</v>
      </c>
      <c r="X63" s="33">
        <v>84.01</v>
      </c>
      <c r="Y63" s="33">
        <v>134.76</v>
      </c>
      <c r="Z63" s="33">
        <v>16.41</v>
      </c>
      <c r="AA63" s="33">
        <v>16.41</v>
      </c>
      <c r="AB63" s="33">
        <v>16.41</v>
      </c>
      <c r="AC63" s="33">
        <v>16.41</v>
      </c>
      <c r="AD63" s="33">
        <v>16.41</v>
      </c>
      <c r="AE63" s="33">
        <v>36.85</v>
      </c>
      <c r="AF63" s="33">
        <v>16.25</v>
      </c>
      <c r="AG63" s="33">
        <v>16.25</v>
      </c>
      <c r="AH63" s="33">
        <v>16.25</v>
      </c>
      <c r="AI63" s="33">
        <v>67.99</v>
      </c>
      <c r="AJ63" s="33">
        <v>110.57</v>
      </c>
      <c r="AK63" s="32"/>
      <c r="AL63" s="34">
        <f>SUM(G63:AK63)</f>
      </c>
      <c r="AM63" s="35"/>
    </row>
    <row r="64" ht="13.5" customHeight="1" spans="2:39" x14ac:dyDescent="0.25">
      <c r="B64" s="48" t="s">
        <v>3</v>
      </c>
      <c r="C64" s="49" t="s">
        <v>2853</v>
      </c>
      <c r="D64" s="50" t="s">
        <v>42</v>
      </c>
      <c r="E64" s="32" t="s">
        <v>3</v>
      </c>
      <c r="F64" s="32" t="s">
        <v>2904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3">
        <v>22.63</v>
      </c>
      <c r="W64" s="33">
        <v>83.7</v>
      </c>
      <c r="X64" s="33">
        <v>86.11</v>
      </c>
      <c r="Y64" s="33">
        <v>63.25</v>
      </c>
      <c r="Z64" s="33">
        <v>24.61</v>
      </c>
      <c r="AA64" s="33">
        <v>21.99</v>
      </c>
      <c r="AB64" s="33">
        <v>21.88</v>
      </c>
      <c r="AC64" s="33">
        <v>22.51</v>
      </c>
      <c r="AD64" s="33">
        <v>21.96</v>
      </c>
      <c r="AE64" s="33">
        <v>22.11</v>
      </c>
      <c r="AF64" s="33">
        <v>21.58</v>
      </c>
      <c r="AG64" s="33">
        <v>27.6</v>
      </c>
      <c r="AH64" s="33">
        <v>22.68</v>
      </c>
      <c r="AI64" s="33">
        <v>121.67</v>
      </c>
      <c r="AJ64" s="33">
        <v>133.69</v>
      </c>
      <c r="AK64" s="32"/>
      <c r="AL64" s="34">
        <f>SUM(G64:AK64)</f>
      </c>
      <c r="AM64" s="35"/>
    </row>
    <row r="65" ht="13.5" customHeight="1" spans="2:39" x14ac:dyDescent="0.25">
      <c r="B65" s="48" t="s">
        <v>3</v>
      </c>
      <c r="C65" s="49" t="s">
        <v>2853</v>
      </c>
      <c r="D65" s="50" t="s">
        <v>42</v>
      </c>
      <c r="E65" s="32" t="s">
        <v>3</v>
      </c>
      <c r="F65" s="32" t="s">
        <v>2905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3">
        <v>69.58</v>
      </c>
      <c r="W65" s="33">
        <v>77.38</v>
      </c>
      <c r="X65" s="33">
        <v>74.68</v>
      </c>
      <c r="Y65" s="33">
        <v>83.26</v>
      </c>
      <c r="Z65" s="33">
        <v>22.14</v>
      </c>
      <c r="AA65" s="33">
        <v>16.41</v>
      </c>
      <c r="AB65" s="33">
        <v>16.41</v>
      </c>
      <c r="AC65" s="33">
        <v>16.41</v>
      </c>
      <c r="AD65" s="33">
        <v>16.41</v>
      </c>
      <c r="AE65" s="33">
        <v>16.41</v>
      </c>
      <c r="AF65" s="33">
        <v>16.25</v>
      </c>
      <c r="AG65" s="33">
        <v>16.25</v>
      </c>
      <c r="AH65" s="33">
        <v>16.93</v>
      </c>
      <c r="AI65" s="33">
        <v>39.19</v>
      </c>
      <c r="AJ65" s="33">
        <v>50.85</v>
      </c>
      <c r="AK65" s="32"/>
      <c r="AL65" s="34">
        <f>SUM(G65:AK65)</f>
      </c>
      <c r="AM65" s="35"/>
    </row>
    <row r="66" ht="13.5" customHeight="1" spans="2:39" x14ac:dyDescent="0.25">
      <c r="B66" s="48" t="s">
        <v>3</v>
      </c>
      <c r="C66" s="49" t="s">
        <v>2853</v>
      </c>
      <c r="D66" s="50" t="s">
        <v>42</v>
      </c>
      <c r="E66" s="32" t="s">
        <v>3</v>
      </c>
      <c r="F66" s="32" t="s">
        <v>2906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3">
        <v>129.1</v>
      </c>
      <c r="W66" s="33">
        <v>147.24</v>
      </c>
      <c r="X66" s="33">
        <v>124.77</v>
      </c>
      <c r="Y66" s="33">
        <v>115.9</v>
      </c>
      <c r="Z66" s="33">
        <v>26.71</v>
      </c>
      <c r="AA66" s="33">
        <v>71.83</v>
      </c>
      <c r="AB66" s="33">
        <v>167.13</v>
      </c>
      <c r="AC66" s="33">
        <v>166.82</v>
      </c>
      <c r="AD66" s="33">
        <v>208.43</v>
      </c>
      <c r="AE66" s="33">
        <v>70.48</v>
      </c>
      <c r="AF66" s="33">
        <v>16.25</v>
      </c>
      <c r="AG66" s="33">
        <v>91.02</v>
      </c>
      <c r="AH66" s="33">
        <v>119.78</v>
      </c>
      <c r="AI66" s="33">
        <v>108.4</v>
      </c>
      <c r="AJ66" s="33">
        <v>85.53</v>
      </c>
      <c r="AK66" s="32"/>
      <c r="AL66" s="34">
        <f>SUM(G66:AK66)</f>
      </c>
      <c r="AM66" s="35"/>
    </row>
    <row r="67" ht="13.5" customHeight="1" spans="2:39" x14ac:dyDescent="0.25">
      <c r="B67" s="48" t="s">
        <v>3</v>
      </c>
      <c r="C67" s="49" t="s">
        <v>2853</v>
      </c>
      <c r="D67" s="50" t="s">
        <v>42</v>
      </c>
      <c r="E67" s="32" t="s">
        <v>3</v>
      </c>
      <c r="F67" s="32" t="s">
        <v>2907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3">
        <v>33.53</v>
      </c>
      <c r="W67" s="33">
        <v>140.74</v>
      </c>
      <c r="X67" s="33">
        <v>165.46</v>
      </c>
      <c r="Y67" s="33">
        <v>174.75</v>
      </c>
      <c r="Z67" s="33">
        <v>130.62</v>
      </c>
      <c r="AA67" s="33">
        <v>55.26</v>
      </c>
      <c r="AB67" s="33">
        <v>66.14</v>
      </c>
      <c r="AC67" s="33">
        <v>38.18</v>
      </c>
      <c r="AD67" s="33">
        <v>21.88</v>
      </c>
      <c r="AE67" s="33">
        <v>97.37</v>
      </c>
      <c r="AF67" s="33">
        <v>51.51</v>
      </c>
      <c r="AG67" s="33">
        <v>49.14</v>
      </c>
      <c r="AH67" s="33">
        <v>57.41</v>
      </c>
      <c r="AI67" s="33">
        <v>94.21</v>
      </c>
      <c r="AJ67" s="33">
        <v>171.76</v>
      </c>
      <c r="AK67" s="32"/>
      <c r="AL67" s="34">
        <f>SUM(G67:AK67)</f>
      </c>
      <c r="AM67" s="35"/>
    </row>
    <row r="68" ht="13.5" customHeight="1" spans="2:39" x14ac:dyDescent="0.25">
      <c r="B68" s="48" t="s">
        <v>3</v>
      </c>
      <c r="C68" s="49" t="s">
        <v>2853</v>
      </c>
      <c r="D68" s="50" t="s">
        <v>42</v>
      </c>
      <c r="E68" s="32" t="s">
        <v>3</v>
      </c>
      <c r="F68" s="32" t="s">
        <v>2908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3">
        <v>16.41</v>
      </c>
      <c r="W68" s="33">
        <v>20.47</v>
      </c>
      <c r="X68" s="33">
        <v>97.4</v>
      </c>
      <c r="Y68" s="33">
        <v>110.97</v>
      </c>
      <c r="Z68" s="33">
        <v>22.19</v>
      </c>
      <c r="AA68" s="33">
        <v>16.41</v>
      </c>
      <c r="AB68" s="33">
        <v>16.41</v>
      </c>
      <c r="AC68" s="33">
        <v>16.41</v>
      </c>
      <c r="AD68" s="33">
        <v>16.41</v>
      </c>
      <c r="AE68" s="33">
        <v>16.41</v>
      </c>
      <c r="AF68" s="33">
        <v>16.25</v>
      </c>
      <c r="AG68" s="33">
        <v>16.25</v>
      </c>
      <c r="AH68" s="33">
        <v>16.25</v>
      </c>
      <c r="AI68" s="33">
        <v>34.63</v>
      </c>
      <c r="AJ68" s="33">
        <v>36.58</v>
      </c>
      <c r="AK68" s="32"/>
      <c r="AL68" s="34">
        <f>SUM(G68:AK68)</f>
      </c>
      <c r="AM68" s="35"/>
    </row>
    <row r="69" ht="13.5" customHeight="1" spans="2:39" x14ac:dyDescent="0.25">
      <c r="B69" s="48" t="s">
        <v>3</v>
      </c>
      <c r="C69" s="49" t="s">
        <v>2853</v>
      </c>
      <c r="D69" s="50" t="s">
        <v>42</v>
      </c>
      <c r="E69" s="32" t="s">
        <v>3</v>
      </c>
      <c r="F69" s="32" t="s">
        <v>2909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3">
        <v>72.89</v>
      </c>
      <c r="W69" s="33">
        <v>66.84</v>
      </c>
      <c r="X69" s="33">
        <v>91.16</v>
      </c>
      <c r="Y69" s="33">
        <v>93.61</v>
      </c>
      <c r="Z69" s="33">
        <v>122.63</v>
      </c>
      <c r="AA69" s="33">
        <v>27.77</v>
      </c>
      <c r="AB69" s="33">
        <v>16.41</v>
      </c>
      <c r="AC69" s="33">
        <v>31.43</v>
      </c>
      <c r="AD69" s="33">
        <v>53.43</v>
      </c>
      <c r="AE69" s="33">
        <v>126.95</v>
      </c>
      <c r="AF69" s="33">
        <v>67.22</v>
      </c>
      <c r="AG69" s="33">
        <v>53.95</v>
      </c>
      <c r="AH69" s="33">
        <v>40.51</v>
      </c>
      <c r="AI69" s="33">
        <v>114.81</v>
      </c>
      <c r="AJ69" s="33">
        <v>137.56</v>
      </c>
      <c r="AK69" s="32"/>
      <c r="AL69" s="34">
        <f>SUM(G69:AK69)</f>
      </c>
      <c r="AM69" s="35"/>
    </row>
    <row r="70" ht="13.5" customHeight="1" spans="2:39" x14ac:dyDescent="0.25">
      <c r="B70" s="48" t="s">
        <v>3</v>
      </c>
      <c r="C70" s="49" t="s">
        <v>2853</v>
      </c>
      <c r="D70" s="50" t="s">
        <v>42</v>
      </c>
      <c r="E70" s="32" t="s">
        <v>3</v>
      </c>
      <c r="F70" s="32" t="s">
        <v>2910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3">
        <v>16.41</v>
      </c>
      <c r="W70" s="33">
        <v>61.2</v>
      </c>
      <c r="X70" s="33">
        <v>85.43</v>
      </c>
      <c r="Y70" s="33">
        <v>29.26</v>
      </c>
      <c r="Z70" s="33">
        <v>16.41</v>
      </c>
      <c r="AA70" s="33">
        <v>16.41</v>
      </c>
      <c r="AB70" s="33">
        <v>16.41</v>
      </c>
      <c r="AC70" s="33">
        <v>16.41</v>
      </c>
      <c r="AD70" s="33">
        <v>16.41</v>
      </c>
      <c r="AE70" s="33">
        <v>16.41</v>
      </c>
      <c r="AF70" s="33">
        <v>16.25</v>
      </c>
      <c r="AG70" s="33">
        <v>16.25</v>
      </c>
      <c r="AH70" s="33">
        <v>16.25</v>
      </c>
      <c r="AI70" s="33">
        <v>122.79</v>
      </c>
      <c r="AJ70" s="33">
        <v>104.51</v>
      </c>
      <c r="AK70" s="32"/>
      <c r="AL70" s="34">
        <f>SUM(G70:AK70)</f>
      </c>
      <c r="AM70" s="35"/>
    </row>
    <row r="71" ht="13.5" customHeight="1" spans="2:39" x14ac:dyDescent="0.25">
      <c r="B71" s="48" t="s">
        <v>3</v>
      </c>
      <c r="C71" s="49" t="s">
        <v>2853</v>
      </c>
      <c r="D71" s="50" t="s">
        <v>42</v>
      </c>
      <c r="E71" s="32" t="s">
        <v>3</v>
      </c>
      <c r="F71" s="32" t="s">
        <v>2911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3">
        <v>52.56</v>
      </c>
      <c r="AA71" s="33">
        <v>16.41</v>
      </c>
      <c r="AB71" s="33">
        <v>16.41</v>
      </c>
      <c r="AC71" s="33">
        <v>16.41</v>
      </c>
      <c r="AD71" s="33">
        <v>16.41</v>
      </c>
      <c r="AE71" s="33">
        <v>16.41</v>
      </c>
      <c r="AF71" s="33">
        <v>16.25</v>
      </c>
      <c r="AG71" s="33">
        <v>16.25</v>
      </c>
      <c r="AH71" s="33">
        <v>16.25</v>
      </c>
      <c r="AI71" s="33">
        <v>65.72</v>
      </c>
      <c r="AJ71" s="33">
        <v>53.64</v>
      </c>
      <c r="AK71" s="32"/>
      <c r="AL71" s="34">
        <f>SUM(G71:AK71)</f>
      </c>
      <c r="AM71" s="35"/>
    </row>
    <row r="72" ht="13.5" customHeight="1" spans="2:39" x14ac:dyDescent="0.25">
      <c r="B72" s="48" t="s">
        <v>3</v>
      </c>
      <c r="C72" s="49" t="s">
        <v>2853</v>
      </c>
      <c r="D72" s="50" t="s">
        <v>42</v>
      </c>
      <c r="E72" s="32" t="s">
        <v>3</v>
      </c>
      <c r="F72" s="32" t="s">
        <v>2912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3">
        <v>16.41</v>
      </c>
      <c r="W72" s="33">
        <v>80.32</v>
      </c>
      <c r="X72" s="33">
        <v>130.09</v>
      </c>
      <c r="Y72" s="33">
        <v>138.74</v>
      </c>
      <c r="Z72" s="33">
        <v>36.08</v>
      </c>
      <c r="AA72" s="33">
        <v>16.41</v>
      </c>
      <c r="AB72" s="33">
        <v>16.41</v>
      </c>
      <c r="AC72" s="33">
        <v>16.41</v>
      </c>
      <c r="AD72" s="33">
        <v>16.41</v>
      </c>
      <c r="AE72" s="33">
        <v>16.41</v>
      </c>
      <c r="AF72" s="33">
        <v>16.25</v>
      </c>
      <c r="AG72" s="33">
        <v>108.86</v>
      </c>
      <c r="AH72" s="33">
        <v>69.31</v>
      </c>
      <c r="AI72" s="33">
        <v>88.36</v>
      </c>
      <c r="AJ72" s="33">
        <v>38.5</v>
      </c>
      <c r="AK72" s="32"/>
      <c r="AL72" s="34">
        <f>SUM(G72:AK72)</f>
      </c>
      <c r="AM72" s="35"/>
    </row>
    <row r="73" ht="13.5" customHeight="1" spans="2:39" x14ac:dyDescent="0.25">
      <c r="B73" s="48" t="s">
        <v>3</v>
      </c>
      <c r="C73" s="49" t="s">
        <v>2853</v>
      </c>
      <c r="D73" s="50" t="s">
        <v>42</v>
      </c>
      <c r="E73" s="32" t="s">
        <v>3</v>
      </c>
      <c r="F73" s="32" t="s">
        <v>2913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3">
        <v>100.97</v>
      </c>
      <c r="W73" s="33">
        <v>57.73</v>
      </c>
      <c r="X73" s="33">
        <v>66.45</v>
      </c>
      <c r="Y73" s="33">
        <v>70.55</v>
      </c>
      <c r="Z73" s="33">
        <v>23.91</v>
      </c>
      <c r="AA73" s="33">
        <v>16.41</v>
      </c>
      <c r="AB73" s="33">
        <v>16.41</v>
      </c>
      <c r="AC73" s="33">
        <v>16.41</v>
      </c>
      <c r="AD73" s="33">
        <v>16.41</v>
      </c>
      <c r="AE73" s="33">
        <v>16.41</v>
      </c>
      <c r="AF73" s="33">
        <v>16.25</v>
      </c>
      <c r="AG73" s="33">
        <v>18.02</v>
      </c>
      <c r="AH73" s="33">
        <v>164.38</v>
      </c>
      <c r="AI73" s="33">
        <v>109.92</v>
      </c>
      <c r="AJ73" s="33">
        <v>114.68</v>
      </c>
      <c r="AK73" s="32"/>
      <c r="AL73" s="34">
        <f>SUM(G73:AK73)</f>
      </c>
      <c r="AM73" s="35"/>
    </row>
    <row r="74" ht="13.5" customHeight="1" spans="2:39" x14ac:dyDescent="0.25">
      <c r="B74" s="48" t="s">
        <v>3</v>
      </c>
      <c r="C74" s="49" t="s">
        <v>2853</v>
      </c>
      <c r="D74" s="50" t="s">
        <v>42</v>
      </c>
      <c r="E74" s="32" t="s">
        <v>3</v>
      </c>
      <c r="F74" s="32" t="s">
        <v>2914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3">
        <v>29.75</v>
      </c>
      <c r="W74" s="33">
        <v>52</v>
      </c>
      <c r="X74" s="33">
        <v>43.48</v>
      </c>
      <c r="Y74" s="33">
        <v>25.89</v>
      </c>
      <c r="Z74" s="33">
        <v>16.41</v>
      </c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4">
        <f>SUM(G74:AK74)</f>
      </c>
      <c r="AM74" s="35"/>
    </row>
    <row r="75" ht="13.5" customHeight="1" spans="2:39" x14ac:dyDescent="0.25">
      <c r="B75" s="48" t="s">
        <v>3</v>
      </c>
      <c r="C75" s="49" t="s">
        <v>2853</v>
      </c>
      <c r="D75" s="50" t="s">
        <v>42</v>
      </c>
      <c r="E75" s="32" t="s">
        <v>3</v>
      </c>
      <c r="F75" s="32" t="s">
        <v>2915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3">
        <v>116.22</v>
      </c>
      <c r="W75" s="33">
        <v>102.64</v>
      </c>
      <c r="X75" s="33">
        <v>106.57</v>
      </c>
      <c r="Y75" s="33">
        <v>102.04</v>
      </c>
      <c r="Z75" s="33">
        <v>22.27</v>
      </c>
      <c r="AA75" s="33">
        <v>16.41</v>
      </c>
      <c r="AB75" s="33">
        <v>16.41</v>
      </c>
      <c r="AC75" s="33">
        <v>16.41</v>
      </c>
      <c r="AD75" s="33">
        <v>16.41</v>
      </c>
      <c r="AE75" s="33">
        <v>16.41</v>
      </c>
      <c r="AF75" s="33">
        <v>16.25</v>
      </c>
      <c r="AG75" s="33">
        <v>16.25</v>
      </c>
      <c r="AH75" s="33">
        <v>16.25</v>
      </c>
      <c r="AI75" s="33">
        <v>65.09</v>
      </c>
      <c r="AJ75" s="33">
        <v>54.72</v>
      </c>
      <c r="AK75" s="32"/>
      <c r="AL75" s="34">
        <f>SUM(G75:AK75)</f>
      </c>
      <c r="AM75" s="35"/>
    </row>
    <row r="76" ht="13.5" customHeight="1" spans="2:39" x14ac:dyDescent="0.25">
      <c r="B76" s="48" t="s">
        <v>3</v>
      </c>
      <c r="C76" s="49" t="s">
        <v>2853</v>
      </c>
      <c r="D76" s="50" t="s">
        <v>42</v>
      </c>
      <c r="E76" s="32" t="s">
        <v>3</v>
      </c>
      <c r="F76" s="32" t="s">
        <v>2916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3">
        <v>47.7</v>
      </c>
      <c r="W76" s="33">
        <v>59.47</v>
      </c>
      <c r="X76" s="33">
        <v>97.11</v>
      </c>
      <c r="Y76" s="33">
        <v>43.19</v>
      </c>
      <c r="Z76" s="33">
        <v>16.41</v>
      </c>
      <c r="AA76" s="33">
        <v>16.41</v>
      </c>
      <c r="AB76" s="33">
        <v>16.41</v>
      </c>
      <c r="AC76" s="33">
        <v>16.41</v>
      </c>
      <c r="AD76" s="33">
        <v>16.41</v>
      </c>
      <c r="AE76" s="33">
        <v>16.41</v>
      </c>
      <c r="AF76" s="33">
        <v>16.25</v>
      </c>
      <c r="AG76" s="33">
        <v>43.56</v>
      </c>
      <c r="AH76" s="33">
        <v>59.83</v>
      </c>
      <c r="AI76" s="33">
        <v>62.22</v>
      </c>
      <c r="AJ76" s="33">
        <v>67.95</v>
      </c>
      <c r="AK76" s="32"/>
      <c r="AL76" s="34">
        <f>SUM(G76:AK76)</f>
      </c>
      <c r="AM76" s="35"/>
    </row>
    <row r="77" ht="13.5" customHeight="1" spans="2:39" x14ac:dyDescent="0.25">
      <c r="B77" s="48" t="s">
        <v>3</v>
      </c>
      <c r="C77" s="49" t="s">
        <v>2853</v>
      </c>
      <c r="D77" s="50" t="s">
        <v>42</v>
      </c>
      <c r="E77" s="32" t="s">
        <v>3</v>
      </c>
      <c r="F77" s="32" t="s">
        <v>2917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3">
        <v>168.85</v>
      </c>
      <c r="W77" s="33">
        <v>237.26</v>
      </c>
      <c r="X77" s="33">
        <v>144.79</v>
      </c>
      <c r="Y77" s="33">
        <v>99.41</v>
      </c>
      <c r="Z77" s="33">
        <v>65.49</v>
      </c>
      <c r="AA77" s="33">
        <v>35.48</v>
      </c>
      <c r="AB77" s="33">
        <v>16.41</v>
      </c>
      <c r="AC77" s="33">
        <v>16.41</v>
      </c>
      <c r="AD77" s="33">
        <v>16.41</v>
      </c>
      <c r="AE77" s="33">
        <v>16.41</v>
      </c>
      <c r="AF77" s="33">
        <v>16.25</v>
      </c>
      <c r="AG77" s="33">
        <v>137.92</v>
      </c>
      <c r="AH77" s="33">
        <v>105.52</v>
      </c>
      <c r="AI77" s="33">
        <v>192.9</v>
      </c>
      <c r="AJ77" s="33">
        <v>72.08</v>
      </c>
      <c r="AK77" s="32"/>
      <c r="AL77" s="34">
        <f>SUM(G77:AK77)</f>
      </c>
      <c r="AM77" s="35"/>
    </row>
    <row r="78" ht="13.5" customHeight="1" spans="2:39" x14ac:dyDescent="0.25">
      <c r="B78" s="48" t="s">
        <v>3</v>
      </c>
      <c r="C78" s="49" t="s">
        <v>2853</v>
      </c>
      <c r="D78" s="50" t="s">
        <v>42</v>
      </c>
      <c r="E78" s="32" t="s">
        <v>3</v>
      </c>
      <c r="F78" s="32" t="s">
        <v>2918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3">
        <v>39.11</v>
      </c>
      <c r="W78" s="33">
        <v>73.65</v>
      </c>
      <c r="X78" s="33">
        <v>62.33</v>
      </c>
      <c r="Y78" s="33">
        <v>54.36</v>
      </c>
      <c r="Z78" s="33">
        <v>16.41</v>
      </c>
      <c r="AA78" s="33">
        <v>37.17</v>
      </c>
      <c r="AB78" s="33">
        <v>21.86</v>
      </c>
      <c r="AC78" s="33">
        <v>16.41</v>
      </c>
      <c r="AD78" s="33">
        <v>16.41</v>
      </c>
      <c r="AE78" s="33">
        <v>16.41</v>
      </c>
      <c r="AF78" s="33">
        <v>31.74</v>
      </c>
      <c r="AG78" s="33">
        <v>22.26</v>
      </c>
      <c r="AH78" s="33">
        <v>38.59</v>
      </c>
      <c r="AI78" s="33">
        <v>103.23</v>
      </c>
      <c r="AJ78" s="33">
        <v>73.41</v>
      </c>
      <c r="AK78" s="32"/>
      <c r="AL78" s="34">
        <f>SUM(G78:AK78)</f>
      </c>
      <c r="AM78" s="35"/>
    </row>
    <row r="79" ht="13.5" customHeight="1" spans="2:39" x14ac:dyDescent="0.25">
      <c r="B79" s="48" t="s">
        <v>3</v>
      </c>
      <c r="C79" s="49" t="s">
        <v>2853</v>
      </c>
      <c r="D79" s="50" t="s">
        <v>42</v>
      </c>
      <c r="E79" s="32" t="s">
        <v>3</v>
      </c>
      <c r="F79" s="32" t="s">
        <v>2919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>
        <v>16.41</v>
      </c>
      <c r="W79" s="33">
        <v>88.92</v>
      </c>
      <c r="X79" s="33">
        <v>72.84</v>
      </c>
      <c r="Y79" s="33">
        <v>68.72</v>
      </c>
      <c r="Z79" s="33">
        <v>25.51</v>
      </c>
      <c r="AA79" s="33">
        <v>16.41</v>
      </c>
      <c r="AB79" s="33">
        <v>16.41</v>
      </c>
      <c r="AC79" s="33">
        <v>16.41</v>
      </c>
      <c r="AD79" s="33">
        <v>16.41</v>
      </c>
      <c r="AE79" s="33">
        <v>16.41</v>
      </c>
      <c r="AF79" s="33">
        <v>16.25</v>
      </c>
      <c r="AG79" s="33">
        <v>16.25</v>
      </c>
      <c r="AH79" s="33">
        <v>17.45</v>
      </c>
      <c r="AI79" s="32"/>
      <c r="AJ79" s="32"/>
      <c r="AK79" s="32"/>
      <c r="AL79" s="34">
        <f>SUM(G79:AK79)</f>
      </c>
      <c r="AM79" s="35"/>
    </row>
    <row r="80" ht="13.5" customHeight="1" spans="2:39" x14ac:dyDescent="0.25">
      <c r="B80" s="48" t="s">
        <v>3</v>
      </c>
      <c r="C80" s="49" t="s">
        <v>2853</v>
      </c>
      <c r="D80" s="50" t="s">
        <v>42</v>
      </c>
      <c r="E80" s="32" t="s">
        <v>3</v>
      </c>
      <c r="F80" s="32" t="s">
        <v>2920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3">
        <v>96.7</v>
      </c>
      <c r="W80" s="33">
        <v>131.98</v>
      </c>
      <c r="X80" s="33">
        <v>92.65</v>
      </c>
      <c r="Y80" s="33">
        <v>117.7</v>
      </c>
      <c r="Z80" s="33">
        <v>59.99</v>
      </c>
      <c r="AA80" s="33">
        <v>59.04</v>
      </c>
      <c r="AB80" s="33">
        <v>56.19</v>
      </c>
      <c r="AC80" s="33">
        <v>26.94</v>
      </c>
      <c r="AD80" s="33">
        <v>16.41</v>
      </c>
      <c r="AE80" s="33">
        <v>54.94</v>
      </c>
      <c r="AF80" s="33">
        <v>54.68</v>
      </c>
      <c r="AG80" s="33">
        <v>63.73</v>
      </c>
      <c r="AH80" s="33">
        <v>27.52</v>
      </c>
      <c r="AI80" s="33">
        <v>89.69</v>
      </c>
      <c r="AJ80" s="33">
        <v>110.87</v>
      </c>
      <c r="AK80" s="32"/>
      <c r="AL80" s="34">
        <f>SUM(G80:AK80)</f>
      </c>
      <c r="AM80" s="35"/>
    </row>
    <row r="81" ht="13.5" customHeight="1" spans="2:39" x14ac:dyDescent="0.25">
      <c r="B81" s="48" t="s">
        <v>3</v>
      </c>
      <c r="C81" s="49" t="s">
        <v>2853</v>
      </c>
      <c r="D81" s="50" t="s">
        <v>42</v>
      </c>
      <c r="E81" s="32" t="s">
        <v>3</v>
      </c>
      <c r="F81" s="32" t="s">
        <v>2921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3">
        <v>61.2</v>
      </c>
      <c r="W81" s="33">
        <v>60.92</v>
      </c>
      <c r="X81" s="33">
        <v>49.88</v>
      </c>
      <c r="Y81" s="33">
        <v>44.02</v>
      </c>
      <c r="Z81" s="33">
        <v>39.2</v>
      </c>
      <c r="AA81" s="33">
        <v>28.82</v>
      </c>
      <c r="AB81" s="33">
        <v>22.03</v>
      </c>
      <c r="AC81" s="33">
        <v>22.62</v>
      </c>
      <c r="AD81" s="33">
        <v>22</v>
      </c>
      <c r="AE81" s="33">
        <v>62.33</v>
      </c>
      <c r="AF81" s="33">
        <v>22.76</v>
      </c>
      <c r="AG81" s="33">
        <v>22.04</v>
      </c>
      <c r="AH81" s="33">
        <v>22.58</v>
      </c>
      <c r="AI81" s="33">
        <v>42.87</v>
      </c>
      <c r="AJ81" s="33">
        <v>31.9</v>
      </c>
      <c r="AK81" s="32"/>
      <c r="AL81" s="34">
        <f>SUM(G81:AK81)</f>
      </c>
      <c r="AM81" s="35"/>
    </row>
    <row r="82" ht="13.5" customHeight="1" spans="2:39" x14ac:dyDescent="0.25">
      <c r="B82" s="48" t="s">
        <v>3</v>
      </c>
      <c r="C82" s="49" t="s">
        <v>2853</v>
      </c>
      <c r="D82" s="50" t="s">
        <v>42</v>
      </c>
      <c r="E82" s="32" t="s">
        <v>3</v>
      </c>
      <c r="F82" s="32" t="s">
        <v>2922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3">
        <v>107.85</v>
      </c>
      <c r="W82" s="33">
        <v>105.75</v>
      </c>
      <c r="X82" s="33">
        <v>88.4</v>
      </c>
      <c r="Y82" s="33">
        <v>97.14</v>
      </c>
      <c r="Z82" s="33">
        <v>18.27</v>
      </c>
      <c r="AA82" s="33">
        <v>16.41</v>
      </c>
      <c r="AB82" s="33">
        <v>16.41</v>
      </c>
      <c r="AC82" s="33">
        <v>16.41</v>
      </c>
      <c r="AD82" s="33">
        <v>16.41</v>
      </c>
      <c r="AE82" s="33">
        <v>16.41</v>
      </c>
      <c r="AF82" s="33">
        <v>16.25</v>
      </c>
      <c r="AG82" s="33">
        <v>99.85</v>
      </c>
      <c r="AH82" s="33">
        <v>111.35</v>
      </c>
      <c r="AI82" s="33">
        <v>91.55</v>
      </c>
      <c r="AJ82" s="33">
        <v>100.03</v>
      </c>
      <c r="AK82" s="32"/>
      <c r="AL82" s="34">
        <f>SUM(G82:AK82)</f>
      </c>
      <c r="AM82" s="35"/>
    </row>
    <row r="83" ht="13.5" customHeight="1" spans="2:39" x14ac:dyDescent="0.25">
      <c r="B83" s="48" t="s">
        <v>3</v>
      </c>
      <c r="C83" s="49" t="s">
        <v>2853</v>
      </c>
      <c r="D83" s="50" t="s">
        <v>42</v>
      </c>
      <c r="E83" s="32" t="s">
        <v>3</v>
      </c>
      <c r="F83" s="32" t="s">
        <v>2923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3">
        <v>36.37</v>
      </c>
      <c r="W83" s="33">
        <v>147.8</v>
      </c>
      <c r="X83" s="33">
        <v>126.96</v>
      </c>
      <c r="Y83" s="33">
        <v>96.28</v>
      </c>
      <c r="Z83" s="33">
        <v>17.11</v>
      </c>
      <c r="AA83" s="33">
        <v>17.88</v>
      </c>
      <c r="AB83" s="33">
        <v>45.35</v>
      </c>
      <c r="AC83" s="33">
        <v>16.41</v>
      </c>
      <c r="AD83" s="33">
        <v>16.41</v>
      </c>
      <c r="AE83" s="33">
        <v>137.36</v>
      </c>
      <c r="AF83" s="33">
        <v>23.24</v>
      </c>
      <c r="AG83" s="33">
        <v>31.08</v>
      </c>
      <c r="AH83" s="33">
        <v>131.86</v>
      </c>
      <c r="AI83" s="33">
        <v>40.61</v>
      </c>
      <c r="AJ83" s="33">
        <v>34.14</v>
      </c>
      <c r="AK83" s="32"/>
      <c r="AL83" s="34">
        <f>SUM(G83:AK83)</f>
      </c>
      <c r="AM83" s="35"/>
    </row>
    <row r="84" ht="13.5" customHeight="1" spans="2:39" x14ac:dyDescent="0.25">
      <c r="B84" s="48" t="s">
        <v>3</v>
      </c>
      <c r="C84" s="49" t="s">
        <v>2853</v>
      </c>
      <c r="D84" s="50" t="s">
        <v>42</v>
      </c>
      <c r="E84" s="32" t="s">
        <v>3</v>
      </c>
      <c r="F84" s="32" t="s">
        <v>2924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3">
        <v>192.89</v>
      </c>
      <c r="W84" s="33">
        <v>169</v>
      </c>
      <c r="X84" s="33">
        <v>189.06</v>
      </c>
      <c r="Y84" s="33">
        <v>187.35</v>
      </c>
      <c r="Z84" s="33">
        <v>206.54</v>
      </c>
      <c r="AA84" s="33">
        <v>258.11</v>
      </c>
      <c r="AB84" s="33">
        <v>384.99</v>
      </c>
      <c r="AC84" s="33">
        <v>413.65</v>
      </c>
      <c r="AD84" s="33">
        <v>398.57</v>
      </c>
      <c r="AE84" s="33">
        <v>340.91</v>
      </c>
      <c r="AF84" s="33">
        <v>219.34</v>
      </c>
      <c r="AG84" s="33">
        <v>197.74</v>
      </c>
      <c r="AH84" s="33">
        <v>199.48</v>
      </c>
      <c r="AI84" s="33">
        <v>167.79</v>
      </c>
      <c r="AJ84" s="33">
        <v>195.89</v>
      </c>
      <c r="AK84" s="32"/>
      <c r="AL84" s="34">
        <f>SUM(G84:AK84)</f>
      </c>
      <c r="AM84" s="35"/>
    </row>
    <row r="85" ht="13.5" customHeight="1" spans="2:39" x14ac:dyDescent="0.25">
      <c r="B85" s="48" t="s">
        <v>3</v>
      </c>
      <c r="C85" s="49" t="s">
        <v>2853</v>
      </c>
      <c r="D85" s="50" t="s">
        <v>42</v>
      </c>
      <c r="E85" s="32" t="s">
        <v>3</v>
      </c>
      <c r="F85" s="32" t="s">
        <v>2925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3">
        <v>52.56</v>
      </c>
      <c r="AB85" s="33">
        <v>16.41</v>
      </c>
      <c r="AC85" s="33">
        <v>16.41</v>
      </c>
      <c r="AD85" s="33">
        <v>16.41</v>
      </c>
      <c r="AE85" s="33">
        <v>16.41</v>
      </c>
      <c r="AF85" s="33">
        <v>16.25</v>
      </c>
      <c r="AG85" s="33">
        <v>83.05</v>
      </c>
      <c r="AH85" s="33">
        <v>111.45</v>
      </c>
      <c r="AI85" s="33">
        <v>88.34</v>
      </c>
      <c r="AJ85" s="33">
        <v>118.04</v>
      </c>
      <c r="AK85" s="32"/>
      <c r="AL85" s="34">
        <f>SUM(G85:AK85)</f>
      </c>
      <c r="AM85" s="35"/>
    </row>
    <row r="86" ht="13.5" customHeight="1" spans="2:39" x14ac:dyDescent="0.25">
      <c r="B86" s="48" t="s">
        <v>3</v>
      </c>
      <c r="C86" s="49" t="s">
        <v>2853</v>
      </c>
      <c r="D86" s="50" t="s">
        <v>42</v>
      </c>
      <c r="E86" s="32" t="s">
        <v>3</v>
      </c>
      <c r="F86" s="32" t="s">
        <v>2926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3">
        <v>16.41</v>
      </c>
      <c r="W86" s="33">
        <v>66.51</v>
      </c>
      <c r="X86" s="33">
        <v>89.96</v>
      </c>
      <c r="Y86" s="33">
        <v>73.6</v>
      </c>
      <c r="Z86" s="33">
        <v>71.96</v>
      </c>
      <c r="AA86" s="33">
        <v>16.41</v>
      </c>
      <c r="AB86" s="33">
        <v>16.41</v>
      </c>
      <c r="AC86" s="33">
        <v>16.41</v>
      </c>
      <c r="AD86" s="33">
        <v>16.41</v>
      </c>
      <c r="AE86" s="33">
        <v>16.41</v>
      </c>
      <c r="AF86" s="33">
        <v>16.25</v>
      </c>
      <c r="AG86" s="33">
        <v>16.25</v>
      </c>
      <c r="AH86" s="33">
        <v>42.66</v>
      </c>
      <c r="AI86" s="33">
        <v>122.47</v>
      </c>
      <c r="AJ86" s="33">
        <v>55.6</v>
      </c>
      <c r="AK86" s="32"/>
      <c r="AL86" s="34">
        <f>SUM(G86:AK86)</f>
      </c>
      <c r="AM86" s="35"/>
    </row>
    <row r="87" ht="13.5" customHeight="1" spans="2:39" x14ac:dyDescent="0.25">
      <c r="B87" s="48" t="s">
        <v>3</v>
      </c>
      <c r="C87" s="49" t="s">
        <v>2853</v>
      </c>
      <c r="D87" s="50" t="s">
        <v>42</v>
      </c>
      <c r="E87" s="32" t="s">
        <v>3</v>
      </c>
      <c r="F87" s="32" t="s">
        <v>2927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3">
        <v>22.75</v>
      </c>
      <c r="W87" s="33">
        <v>78.47</v>
      </c>
      <c r="X87" s="33">
        <v>100.84</v>
      </c>
      <c r="Y87" s="33">
        <v>81.07</v>
      </c>
      <c r="Z87" s="33">
        <v>21.86</v>
      </c>
      <c r="AA87" s="33">
        <v>21.99</v>
      </c>
      <c r="AB87" s="33">
        <v>21.88</v>
      </c>
      <c r="AC87" s="33">
        <v>22.47</v>
      </c>
      <c r="AD87" s="33">
        <v>21.92</v>
      </c>
      <c r="AE87" s="33">
        <v>22.05</v>
      </c>
      <c r="AF87" s="33">
        <v>21.48</v>
      </c>
      <c r="AG87" s="33">
        <v>21.91</v>
      </c>
      <c r="AH87" s="33">
        <v>47.63</v>
      </c>
      <c r="AI87" s="33">
        <v>121.47</v>
      </c>
      <c r="AJ87" s="33">
        <v>132.96</v>
      </c>
      <c r="AK87" s="32"/>
      <c r="AL87" s="34">
        <f>SUM(G87:AK87)</f>
      </c>
      <c r="AM87" s="35"/>
    </row>
    <row r="88" ht="13.5" customHeight="1" spans="2:39" x14ac:dyDescent="0.25">
      <c r="B88" s="48" t="s">
        <v>3</v>
      </c>
      <c r="C88" s="49" t="s">
        <v>2853</v>
      </c>
      <c r="D88" s="50" t="s">
        <v>42</v>
      </c>
      <c r="E88" s="32" t="s">
        <v>3</v>
      </c>
      <c r="F88" s="32" t="s">
        <v>2928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3">
        <v>74.14</v>
      </c>
      <c r="W88" s="33">
        <v>51.1</v>
      </c>
      <c r="X88" s="33">
        <v>86.12</v>
      </c>
      <c r="Y88" s="33">
        <v>119.42</v>
      </c>
      <c r="Z88" s="33">
        <v>16.41</v>
      </c>
      <c r="AA88" s="33">
        <v>16.41</v>
      </c>
      <c r="AB88" s="33">
        <v>16.41</v>
      </c>
      <c r="AC88" s="33">
        <v>16.41</v>
      </c>
      <c r="AD88" s="33">
        <v>16.41</v>
      </c>
      <c r="AE88" s="33">
        <v>42.71</v>
      </c>
      <c r="AF88" s="33">
        <v>16.25</v>
      </c>
      <c r="AG88" s="33">
        <v>18.56</v>
      </c>
      <c r="AH88" s="33">
        <v>16.25</v>
      </c>
      <c r="AI88" s="33">
        <v>62.03</v>
      </c>
      <c r="AJ88" s="33">
        <v>42.44</v>
      </c>
      <c r="AK88" s="32"/>
      <c r="AL88" s="34">
        <f>SUM(G88:AK88)</f>
      </c>
      <c r="AM88" s="35"/>
    </row>
    <row r="89" ht="13.5" customHeight="1" spans="2:39" x14ac:dyDescent="0.25">
      <c r="B89" s="48" t="s">
        <v>3</v>
      </c>
      <c r="C89" s="49" t="s">
        <v>2853</v>
      </c>
      <c r="D89" s="50" t="s">
        <v>42</v>
      </c>
      <c r="E89" s="32" t="s">
        <v>3</v>
      </c>
      <c r="F89" s="32" t="s">
        <v>2929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3">
        <v>62.71</v>
      </c>
      <c r="W89" s="33">
        <v>60.57</v>
      </c>
      <c r="X89" s="33">
        <v>38.25</v>
      </c>
      <c r="Y89" s="33">
        <v>82.41</v>
      </c>
      <c r="Z89" s="33">
        <v>91.3</v>
      </c>
      <c r="AA89" s="33">
        <v>29.01</v>
      </c>
      <c r="AB89" s="33">
        <v>21.78</v>
      </c>
      <c r="AC89" s="33">
        <v>22.31</v>
      </c>
      <c r="AD89" s="33">
        <v>21.78</v>
      </c>
      <c r="AE89" s="33">
        <v>21.92</v>
      </c>
      <c r="AF89" s="33">
        <v>21.37</v>
      </c>
      <c r="AG89" s="33">
        <v>21.84</v>
      </c>
      <c r="AH89" s="33">
        <v>65.01</v>
      </c>
      <c r="AI89" s="33">
        <v>47.46</v>
      </c>
      <c r="AJ89" s="33">
        <v>64.19</v>
      </c>
      <c r="AK89" s="32"/>
      <c r="AL89" s="34">
        <f>SUM(G89:AK89)</f>
      </c>
      <c r="AM89" s="35"/>
    </row>
    <row r="90" ht="13.5" customHeight="1" spans="2:39" x14ac:dyDescent="0.25">
      <c r="B90" s="48" t="s">
        <v>3</v>
      </c>
      <c r="C90" s="49" t="s">
        <v>2853</v>
      </c>
      <c r="D90" s="50" t="s">
        <v>42</v>
      </c>
      <c r="E90" s="32" t="s">
        <v>3</v>
      </c>
      <c r="F90" s="32" t="s">
        <v>2930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3">
        <v>38.41</v>
      </c>
      <c r="W90" s="33">
        <v>42.96</v>
      </c>
      <c r="X90" s="33">
        <v>45.82</v>
      </c>
      <c r="Y90" s="33">
        <v>50.42</v>
      </c>
      <c r="Z90" s="33">
        <v>20.77</v>
      </c>
      <c r="AA90" s="33">
        <v>16.41</v>
      </c>
      <c r="AB90" s="33">
        <v>16.41</v>
      </c>
      <c r="AC90" s="33">
        <v>16.41</v>
      </c>
      <c r="AD90" s="33">
        <v>16.41</v>
      </c>
      <c r="AE90" s="33">
        <v>16.41</v>
      </c>
      <c r="AF90" s="33">
        <v>16.25</v>
      </c>
      <c r="AG90" s="33">
        <v>16.25</v>
      </c>
      <c r="AH90" s="33">
        <v>16.98</v>
      </c>
      <c r="AI90" s="33">
        <v>93.73</v>
      </c>
      <c r="AJ90" s="33">
        <v>58.55</v>
      </c>
      <c r="AK90" s="32"/>
      <c r="AL90" s="34">
        <f>SUM(G90:AK90)</f>
      </c>
      <c r="AM90" s="35"/>
    </row>
    <row r="91" ht="13.5" customHeight="1" spans="2:39" x14ac:dyDescent="0.25">
      <c r="B91" s="48" t="s">
        <v>3</v>
      </c>
      <c r="C91" s="49" t="s">
        <v>2853</v>
      </c>
      <c r="D91" s="50" t="s">
        <v>42</v>
      </c>
      <c r="E91" s="32" t="s">
        <v>3</v>
      </c>
      <c r="F91" s="32" t="s">
        <v>2931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3">
        <v>117.3</v>
      </c>
      <c r="W91" s="33">
        <v>104.16</v>
      </c>
      <c r="X91" s="33">
        <v>146.06</v>
      </c>
      <c r="Y91" s="33">
        <v>151.5</v>
      </c>
      <c r="Z91" s="33">
        <v>119.87</v>
      </c>
      <c r="AA91" s="33">
        <v>16.41</v>
      </c>
      <c r="AB91" s="33">
        <v>16.41</v>
      </c>
      <c r="AC91" s="33">
        <v>16.41</v>
      </c>
      <c r="AD91" s="33">
        <v>16.41</v>
      </c>
      <c r="AE91" s="33">
        <v>16.41</v>
      </c>
      <c r="AF91" s="33">
        <v>16.25</v>
      </c>
      <c r="AG91" s="33">
        <v>16.25</v>
      </c>
      <c r="AH91" s="33">
        <v>42.77</v>
      </c>
      <c r="AI91" s="33">
        <v>35.23</v>
      </c>
      <c r="AJ91" s="33">
        <v>59.98</v>
      </c>
      <c r="AK91" s="32"/>
      <c r="AL91" s="34">
        <f>SUM(G91:AK91)</f>
      </c>
      <c r="AM91" s="35"/>
    </row>
    <row r="92" ht="13.5" customHeight="1" spans="2:39" x14ac:dyDescent="0.25">
      <c r="B92" s="48" t="s">
        <v>3</v>
      </c>
      <c r="C92" s="49" t="s">
        <v>2853</v>
      </c>
      <c r="D92" s="50" t="s">
        <v>42</v>
      </c>
      <c r="E92" s="32" t="s">
        <v>3</v>
      </c>
      <c r="F92" s="32" t="s">
        <v>2932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3">
        <v>182.89</v>
      </c>
      <c r="W92" s="33">
        <v>170.96</v>
      </c>
      <c r="X92" s="33">
        <v>154.22</v>
      </c>
      <c r="Y92" s="33">
        <v>164.36</v>
      </c>
      <c r="Z92" s="33">
        <v>58.16</v>
      </c>
      <c r="AA92" s="33">
        <v>92.01</v>
      </c>
      <c r="AB92" s="33">
        <v>86.19</v>
      </c>
      <c r="AC92" s="33">
        <v>16.41</v>
      </c>
      <c r="AD92" s="33">
        <v>16.41</v>
      </c>
      <c r="AE92" s="33">
        <v>49.19</v>
      </c>
      <c r="AF92" s="33">
        <v>85.71</v>
      </c>
      <c r="AG92" s="33">
        <v>60.14</v>
      </c>
      <c r="AH92" s="33">
        <v>87.28</v>
      </c>
      <c r="AI92" s="33">
        <v>68.76</v>
      </c>
      <c r="AJ92" s="33">
        <v>60.32</v>
      </c>
      <c r="AK92" s="32"/>
      <c r="AL92" s="34">
        <f>SUM(G92:AK92)</f>
      </c>
      <c r="AM92" s="35"/>
    </row>
    <row r="93" ht="13.5" customHeight="1" spans="2:39" x14ac:dyDescent="0.25">
      <c r="B93" s="48" t="s">
        <v>3</v>
      </c>
      <c r="C93" s="49" t="s">
        <v>2853</v>
      </c>
      <c r="D93" s="50" t="s">
        <v>42</v>
      </c>
      <c r="E93" s="32" t="s">
        <v>3</v>
      </c>
      <c r="F93" s="32" t="s">
        <v>2933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3">
        <v>36.14</v>
      </c>
      <c r="AJ93" s="33">
        <v>95</v>
      </c>
      <c r="AK93" s="32"/>
      <c r="AL93" s="34">
        <f>SUM(G93:AK93)</f>
      </c>
      <c r="AM93" s="35"/>
    </row>
    <row r="94" ht="13.5" customHeight="1" spans="2:39" x14ac:dyDescent="0.25">
      <c r="B94" s="48" t="s">
        <v>3</v>
      </c>
      <c r="C94" s="49" t="s">
        <v>2853</v>
      </c>
      <c r="D94" s="50" t="s">
        <v>42</v>
      </c>
      <c r="E94" s="32" t="s">
        <v>3</v>
      </c>
      <c r="F94" s="32" t="s">
        <v>2934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3">
        <v>62.01</v>
      </c>
      <c r="W94" s="33">
        <v>50.14</v>
      </c>
      <c r="X94" s="33">
        <v>61.39</v>
      </c>
      <c r="Y94" s="33">
        <v>30.14</v>
      </c>
      <c r="Z94" s="33">
        <v>16.41</v>
      </c>
      <c r="AA94" s="33">
        <v>16.41</v>
      </c>
      <c r="AB94" s="33">
        <v>16.41</v>
      </c>
      <c r="AC94" s="33">
        <v>16.41</v>
      </c>
      <c r="AD94" s="33">
        <v>16.41</v>
      </c>
      <c r="AE94" s="33">
        <v>19.22</v>
      </c>
      <c r="AF94" s="33">
        <v>20.5</v>
      </c>
      <c r="AG94" s="33">
        <v>16.25</v>
      </c>
      <c r="AH94" s="33">
        <v>16.25</v>
      </c>
      <c r="AI94" s="33">
        <v>36.85</v>
      </c>
      <c r="AJ94" s="33">
        <v>55.95</v>
      </c>
      <c r="AK94" s="32"/>
      <c r="AL94" s="34">
        <f>SUM(G94:AK94)</f>
      </c>
      <c r="AM94" s="35"/>
    </row>
    <row r="95" ht="13.5" customHeight="1" spans="2:39" x14ac:dyDescent="0.25">
      <c r="B95" s="48" t="s">
        <v>3</v>
      </c>
      <c r="C95" s="49" t="s">
        <v>2853</v>
      </c>
      <c r="D95" s="50" t="s">
        <v>42</v>
      </c>
      <c r="E95" s="32" t="s">
        <v>3</v>
      </c>
      <c r="F95" s="32" t="s">
        <v>2935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3">
        <v>18.61</v>
      </c>
      <c r="W95" s="33">
        <v>105.45</v>
      </c>
      <c r="X95" s="33">
        <v>80.79</v>
      </c>
      <c r="Y95" s="33">
        <v>77.29</v>
      </c>
      <c r="Z95" s="33">
        <v>29.83</v>
      </c>
      <c r="AA95" s="33">
        <v>16.41</v>
      </c>
      <c r="AB95" s="33">
        <v>16.41</v>
      </c>
      <c r="AC95" s="33">
        <v>16.41</v>
      </c>
      <c r="AD95" s="33">
        <v>16.41</v>
      </c>
      <c r="AE95" s="33">
        <v>16.41</v>
      </c>
      <c r="AF95" s="33">
        <v>16.25</v>
      </c>
      <c r="AG95" s="33">
        <v>49.59</v>
      </c>
      <c r="AH95" s="33">
        <v>18.74</v>
      </c>
      <c r="AI95" s="33">
        <v>56.76</v>
      </c>
      <c r="AJ95" s="33">
        <v>56.69</v>
      </c>
      <c r="AK95" s="32"/>
      <c r="AL95" s="34">
        <f>SUM(G95:AK95)</f>
      </c>
      <c r="AM95" s="35"/>
    </row>
    <row r="96" ht="13.5" customHeight="1" spans="2:39" x14ac:dyDescent="0.25">
      <c r="B96" s="48" t="s">
        <v>3</v>
      </c>
      <c r="C96" s="49" t="s">
        <v>2853</v>
      </c>
      <c r="D96" s="50" t="s">
        <v>42</v>
      </c>
      <c r="E96" s="32" t="s">
        <v>3</v>
      </c>
      <c r="F96" s="32" t="s">
        <v>2936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3">
        <v>22.68</v>
      </c>
      <c r="W96" s="33">
        <v>88.27</v>
      </c>
      <c r="X96" s="33">
        <v>122.01</v>
      </c>
      <c r="Y96" s="33">
        <v>131.01</v>
      </c>
      <c r="Z96" s="33">
        <v>51.34</v>
      </c>
      <c r="AA96" s="33">
        <v>22</v>
      </c>
      <c r="AB96" s="33">
        <v>21.89</v>
      </c>
      <c r="AC96" s="33">
        <v>22.47</v>
      </c>
      <c r="AD96" s="33">
        <v>21.95</v>
      </c>
      <c r="AE96" s="33">
        <v>22.06</v>
      </c>
      <c r="AF96" s="33">
        <v>31.84</v>
      </c>
      <c r="AG96" s="33">
        <v>77.89</v>
      </c>
      <c r="AH96" s="33">
        <v>116.32</v>
      </c>
      <c r="AI96" s="33">
        <v>92.61</v>
      </c>
      <c r="AJ96" s="33">
        <v>101.28</v>
      </c>
      <c r="AK96" s="32"/>
      <c r="AL96" s="34">
        <f>SUM(G96:AK96)</f>
      </c>
      <c r="AM96" s="35"/>
    </row>
    <row r="97" ht="13.5" customHeight="1" spans="2:39" x14ac:dyDescent="0.25">
      <c r="B97" s="48" t="s">
        <v>3</v>
      </c>
      <c r="C97" s="49" t="s">
        <v>2853</v>
      </c>
      <c r="D97" s="50" t="s">
        <v>42</v>
      </c>
      <c r="E97" s="32" t="s">
        <v>3</v>
      </c>
      <c r="F97" s="32" t="s">
        <v>2937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3">
        <v>18.99</v>
      </c>
      <c r="W97" s="33">
        <v>82.89</v>
      </c>
      <c r="X97" s="33">
        <v>67.79</v>
      </c>
      <c r="Y97" s="33">
        <v>79.29</v>
      </c>
      <c r="Z97" s="33">
        <v>120.24</v>
      </c>
      <c r="AA97" s="33">
        <v>38.3</v>
      </c>
      <c r="AB97" s="33">
        <v>16.41</v>
      </c>
      <c r="AC97" s="33">
        <v>16.41</v>
      </c>
      <c r="AD97" s="33">
        <v>16.41</v>
      </c>
      <c r="AE97" s="33">
        <v>16.41</v>
      </c>
      <c r="AF97" s="33">
        <v>49.97</v>
      </c>
      <c r="AG97" s="33">
        <v>41.58</v>
      </c>
      <c r="AH97" s="33">
        <v>35.3</v>
      </c>
      <c r="AI97" s="33">
        <v>32.15</v>
      </c>
      <c r="AJ97" s="33">
        <v>33.98</v>
      </c>
      <c r="AK97" s="32"/>
      <c r="AL97" s="34">
        <f>SUM(G97:AK97)</f>
      </c>
      <c r="AM97" s="35"/>
    </row>
    <row r="98" ht="13.5" customHeight="1" spans="2:39" x14ac:dyDescent="0.25">
      <c r="B98" s="48" t="s">
        <v>3</v>
      </c>
      <c r="C98" s="49" t="s">
        <v>2853</v>
      </c>
      <c r="D98" s="50" t="s">
        <v>42</v>
      </c>
      <c r="E98" s="32" t="s">
        <v>3</v>
      </c>
      <c r="F98" s="32" t="s">
        <v>2938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3">
        <v>16.41</v>
      </c>
      <c r="W98" s="33">
        <v>44.94</v>
      </c>
      <c r="X98" s="33">
        <v>60.49</v>
      </c>
      <c r="Y98" s="33">
        <v>52.77</v>
      </c>
      <c r="Z98" s="33">
        <v>16.41</v>
      </c>
      <c r="AA98" s="33">
        <v>16.41</v>
      </c>
      <c r="AB98" s="33">
        <v>16.41</v>
      </c>
      <c r="AC98" s="33">
        <v>16.41</v>
      </c>
      <c r="AD98" s="33">
        <v>16.41</v>
      </c>
      <c r="AE98" s="33">
        <v>16.41</v>
      </c>
      <c r="AF98" s="33">
        <v>16.25</v>
      </c>
      <c r="AG98" s="33">
        <v>16.25</v>
      </c>
      <c r="AH98" s="33">
        <v>56.9</v>
      </c>
      <c r="AI98" s="33">
        <v>107.57</v>
      </c>
      <c r="AJ98" s="33">
        <v>102.23</v>
      </c>
      <c r="AK98" s="32"/>
      <c r="AL98" s="34">
        <f>SUM(G98:AK98)</f>
      </c>
      <c r="AM98" s="35"/>
    </row>
    <row r="99" ht="13.5" customHeight="1" spans="2:39" x14ac:dyDescent="0.25">
      <c r="B99" s="48" t="s">
        <v>3</v>
      </c>
      <c r="C99" s="49" t="s">
        <v>2853</v>
      </c>
      <c r="D99" s="50" t="s">
        <v>42</v>
      </c>
      <c r="E99" s="32" t="s">
        <v>3</v>
      </c>
      <c r="F99" s="32" t="s">
        <v>2939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3">
        <v>41.81</v>
      </c>
      <c r="W99" s="33">
        <v>91.98</v>
      </c>
      <c r="X99" s="33">
        <v>85.34</v>
      </c>
      <c r="Y99" s="33">
        <v>76.61</v>
      </c>
      <c r="Z99" s="33">
        <v>92.08</v>
      </c>
      <c r="AA99" s="33">
        <v>20.28</v>
      </c>
      <c r="AB99" s="33">
        <v>16.41</v>
      </c>
      <c r="AC99" s="33">
        <v>16.41</v>
      </c>
      <c r="AD99" s="33">
        <v>16.41</v>
      </c>
      <c r="AE99" s="33">
        <v>16.41</v>
      </c>
      <c r="AF99" s="33">
        <v>18.91</v>
      </c>
      <c r="AG99" s="33">
        <v>21.1</v>
      </c>
      <c r="AH99" s="33">
        <v>20.64</v>
      </c>
      <c r="AI99" s="33">
        <v>23.94</v>
      </c>
      <c r="AJ99" s="33">
        <v>66.22</v>
      </c>
      <c r="AK99" s="32"/>
      <c r="AL99" s="34">
        <f>SUM(G99:AK99)</f>
      </c>
      <c r="AM99" s="35"/>
    </row>
    <row r="100" ht="13.5" customHeight="1" spans="2:39" x14ac:dyDescent="0.25">
      <c r="B100" s="48" t="s">
        <v>3</v>
      </c>
      <c r="C100" s="49" t="s">
        <v>2853</v>
      </c>
      <c r="D100" s="50" t="s">
        <v>42</v>
      </c>
      <c r="E100" s="32" t="s">
        <v>3</v>
      </c>
      <c r="F100" s="32" t="s">
        <v>2940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3">
        <v>50.42</v>
      </c>
      <c r="W100" s="33">
        <v>51.14</v>
      </c>
      <c r="X100" s="33">
        <v>67.53</v>
      </c>
      <c r="Y100" s="33">
        <v>52.76</v>
      </c>
      <c r="Z100" s="33">
        <v>21.52</v>
      </c>
      <c r="AA100" s="33">
        <v>16.41</v>
      </c>
      <c r="AB100" s="33">
        <v>16.41</v>
      </c>
      <c r="AC100" s="33">
        <v>16.41</v>
      </c>
      <c r="AD100" s="33">
        <v>16.41</v>
      </c>
      <c r="AE100" s="33">
        <v>16.41</v>
      </c>
      <c r="AF100" s="33">
        <v>16.25</v>
      </c>
      <c r="AG100" s="33">
        <v>57.13</v>
      </c>
      <c r="AH100" s="33">
        <v>114.24</v>
      </c>
      <c r="AI100" s="33">
        <v>109.58</v>
      </c>
      <c r="AJ100" s="33">
        <v>101.15</v>
      </c>
      <c r="AK100" s="32"/>
      <c r="AL100" s="34">
        <f>SUM(G100:AK100)</f>
      </c>
      <c r="AM100" s="35"/>
    </row>
    <row r="101" ht="13.5" customHeight="1" spans="2:39" x14ac:dyDescent="0.25">
      <c r="B101" s="48" t="s">
        <v>3</v>
      </c>
      <c r="C101" s="49" t="s">
        <v>2853</v>
      </c>
      <c r="D101" s="50" t="s">
        <v>42</v>
      </c>
      <c r="E101" s="32" t="s">
        <v>3</v>
      </c>
      <c r="F101" s="32" t="s">
        <v>2941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3">
        <v>50.84</v>
      </c>
      <c r="W101" s="33">
        <v>51.83</v>
      </c>
      <c r="X101" s="33">
        <v>33.6</v>
      </c>
      <c r="Y101" s="33">
        <v>21</v>
      </c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4">
        <f>SUM(G101:AK101)</f>
      </c>
      <c r="AM101" s="35"/>
    </row>
    <row r="102" ht="13.5" customHeight="1" spans="2:39" x14ac:dyDescent="0.25">
      <c r="B102" s="48" t="s">
        <v>3</v>
      </c>
      <c r="C102" s="49" t="s">
        <v>2853</v>
      </c>
      <c r="D102" s="50" t="s">
        <v>42</v>
      </c>
      <c r="E102" s="32" t="s">
        <v>3</v>
      </c>
      <c r="F102" s="32" t="s">
        <v>2942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3">
        <v>62.39</v>
      </c>
      <c r="W102" s="33">
        <v>16.46</v>
      </c>
      <c r="X102" s="33">
        <v>16.41</v>
      </c>
      <c r="Y102" s="33">
        <v>23.38</v>
      </c>
      <c r="Z102" s="33">
        <v>57.26</v>
      </c>
      <c r="AA102" s="33">
        <v>17.98</v>
      </c>
      <c r="AB102" s="33">
        <v>16.41</v>
      </c>
      <c r="AC102" s="33">
        <v>16.41</v>
      </c>
      <c r="AD102" s="33">
        <v>16.41</v>
      </c>
      <c r="AE102" s="33">
        <v>16.41</v>
      </c>
      <c r="AF102" s="33">
        <v>16.25</v>
      </c>
      <c r="AG102" s="33">
        <v>23.41</v>
      </c>
      <c r="AH102" s="33">
        <v>16.25</v>
      </c>
      <c r="AI102" s="33">
        <v>99.9</v>
      </c>
      <c r="AJ102" s="33">
        <v>70.66</v>
      </c>
      <c r="AK102" s="32"/>
      <c r="AL102" s="34">
        <f>SUM(G102:AK102)</f>
      </c>
      <c r="AM102" s="35"/>
    </row>
    <row r="103" ht="13.5" customHeight="1" spans="2:39" x14ac:dyDescent="0.25">
      <c r="B103" s="48" t="s">
        <v>3</v>
      </c>
      <c r="C103" s="49" t="s">
        <v>2853</v>
      </c>
      <c r="D103" s="50" t="s">
        <v>42</v>
      </c>
      <c r="E103" s="32" t="s">
        <v>3</v>
      </c>
      <c r="F103" s="32" t="s">
        <v>2943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3">
        <v>16.41</v>
      </c>
      <c r="W103" s="33">
        <v>106.36</v>
      </c>
      <c r="X103" s="33">
        <v>62.57</v>
      </c>
      <c r="Y103" s="33">
        <f>56.62+21.93</f>
        <v>78.55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4">
        <f>SUM(G103:AK103)</f>
      </c>
      <c r="AM103" s="35"/>
    </row>
    <row r="104" ht="13.5" customHeight="1" spans="2:39" x14ac:dyDescent="0.25">
      <c r="B104" s="48" t="s">
        <v>3</v>
      </c>
      <c r="C104" s="49" t="s">
        <v>2853</v>
      </c>
      <c r="D104" s="50" t="s">
        <v>42</v>
      </c>
      <c r="E104" s="32" t="s">
        <v>3</v>
      </c>
      <c r="F104" s="32" t="s">
        <v>2944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3">
        <v>16.41</v>
      </c>
      <c r="W104" s="33">
        <v>50.45</v>
      </c>
      <c r="X104" s="33">
        <v>65.98</v>
      </c>
      <c r="Y104" s="33">
        <v>99.16</v>
      </c>
      <c r="Z104" s="33">
        <v>16.41</v>
      </c>
      <c r="AA104" s="33">
        <v>16.41</v>
      </c>
      <c r="AB104" s="33">
        <v>16.41</v>
      </c>
      <c r="AC104" s="33">
        <v>29.89</v>
      </c>
      <c r="AD104" s="33">
        <v>16.41</v>
      </c>
      <c r="AE104" s="33">
        <v>16.41</v>
      </c>
      <c r="AF104" s="33">
        <v>16.25</v>
      </c>
      <c r="AG104" s="33">
        <v>100.87</v>
      </c>
      <c r="AH104" s="33">
        <v>115.71</v>
      </c>
      <c r="AI104" s="33">
        <v>91.36</v>
      </c>
      <c r="AJ104" s="33">
        <v>110.54</v>
      </c>
      <c r="AK104" s="32"/>
      <c r="AL104" s="34">
        <f>SUM(G104:AK104)</f>
      </c>
      <c r="AM104" s="35"/>
    </row>
    <row r="105" ht="13.5" customHeight="1" spans="2:39" x14ac:dyDescent="0.25">
      <c r="B105" s="48" t="s">
        <v>3</v>
      </c>
      <c r="C105" s="49" t="s">
        <v>2853</v>
      </c>
      <c r="D105" s="50" t="s">
        <v>42</v>
      </c>
      <c r="E105" s="32" t="s">
        <v>3</v>
      </c>
      <c r="F105" s="32" t="s">
        <v>2945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3">
        <v>22.55</v>
      </c>
      <c r="W105" s="33">
        <v>69.8</v>
      </c>
      <c r="X105" s="33">
        <v>63.03</v>
      </c>
      <c r="Y105" s="33">
        <v>46.13</v>
      </c>
      <c r="Z105" s="33">
        <v>27.5</v>
      </c>
      <c r="AA105" s="33">
        <v>21.93</v>
      </c>
      <c r="AB105" s="33">
        <v>28.15</v>
      </c>
      <c r="AC105" s="33">
        <v>22.43</v>
      </c>
      <c r="AD105" s="33">
        <v>21.85</v>
      </c>
      <c r="AE105" s="33">
        <v>22</v>
      </c>
      <c r="AF105" s="33">
        <v>21.42</v>
      </c>
      <c r="AG105" s="33">
        <v>21.88</v>
      </c>
      <c r="AH105" s="33">
        <v>25.47</v>
      </c>
      <c r="AI105" s="33">
        <v>68.72</v>
      </c>
      <c r="AJ105" s="33">
        <v>46.56</v>
      </c>
      <c r="AK105" s="32"/>
      <c r="AL105" s="34">
        <f>SUM(G105:AK105)</f>
      </c>
      <c r="AM105" s="35"/>
    </row>
    <row r="106" ht="13.5" customHeight="1" spans="2:39" x14ac:dyDescent="0.25">
      <c r="B106" s="48" t="s">
        <v>3</v>
      </c>
      <c r="C106" s="49" t="s">
        <v>2853</v>
      </c>
      <c r="D106" s="50" t="s">
        <v>42</v>
      </c>
      <c r="E106" s="32" t="s">
        <v>3</v>
      </c>
      <c r="F106" s="32" t="s">
        <v>2946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3">
        <v>57.96</v>
      </c>
      <c r="X106" s="33">
        <v>53.43</v>
      </c>
      <c r="Y106" s="33">
        <v>51.26</v>
      </c>
      <c r="Z106" s="33">
        <v>47.63</v>
      </c>
      <c r="AA106" s="33">
        <v>53.04</v>
      </c>
      <c r="AB106" s="33">
        <v>47.68</v>
      </c>
      <c r="AC106" s="33">
        <v>46</v>
      </c>
      <c r="AD106" s="33">
        <v>54.4</v>
      </c>
      <c r="AE106" s="33">
        <v>62.85</v>
      </c>
      <c r="AF106" s="33">
        <v>40.04</v>
      </c>
      <c r="AG106" s="33">
        <v>36.72</v>
      </c>
      <c r="AH106" s="33">
        <v>38.72</v>
      </c>
      <c r="AI106" s="33">
        <v>38.16</v>
      </c>
      <c r="AJ106" s="33">
        <v>35.69</v>
      </c>
      <c r="AK106" s="32"/>
      <c r="AL106" s="34">
        <f>SUM(G106:AK106)</f>
      </c>
      <c r="AM106" s="35"/>
    </row>
    <row r="107" ht="13.5" customHeight="1" spans="2:39" x14ac:dyDescent="0.25">
      <c r="B107" s="48" t="s">
        <v>3</v>
      </c>
      <c r="C107" s="49" t="s">
        <v>2853</v>
      </c>
      <c r="D107" s="50" t="s">
        <v>42</v>
      </c>
      <c r="E107" s="32" t="s">
        <v>3</v>
      </c>
      <c r="F107" s="32" t="s">
        <v>2947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3">
        <v>353.34</v>
      </c>
      <c r="X107" s="33">
        <v>353.09</v>
      </c>
      <c r="Y107" s="33">
        <v>352.7</v>
      </c>
      <c r="Z107" s="33">
        <v>351.48</v>
      </c>
      <c r="AA107" s="33">
        <v>351.19</v>
      </c>
      <c r="AB107" s="33">
        <v>351.11</v>
      </c>
      <c r="AC107" s="33">
        <v>351.24</v>
      </c>
      <c r="AD107" s="33">
        <v>351.2</v>
      </c>
      <c r="AE107" s="33">
        <v>351.52</v>
      </c>
      <c r="AF107" s="33">
        <v>351.6</v>
      </c>
      <c r="AG107" s="33">
        <v>351.95</v>
      </c>
      <c r="AH107" s="33">
        <v>352.31</v>
      </c>
      <c r="AI107" s="33">
        <v>352.39</v>
      </c>
      <c r="AJ107" s="33">
        <v>352</v>
      </c>
      <c r="AK107" s="32"/>
      <c r="AL107" s="34">
        <f>SUM(G107:AK107)</f>
      </c>
      <c r="AM107" s="35"/>
    </row>
    <row r="108" ht="13.5" customHeight="1" spans="2:39" x14ac:dyDescent="0.25">
      <c r="B108" s="48" t="s">
        <v>3</v>
      </c>
      <c r="C108" s="49" t="s">
        <v>2853</v>
      </c>
      <c r="D108" s="50" t="s">
        <v>42</v>
      </c>
      <c r="E108" s="32" t="s">
        <v>3</v>
      </c>
      <c r="F108" s="32" t="s">
        <v>2948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3">
        <v>0</v>
      </c>
      <c r="AJ108" s="32"/>
      <c r="AK108" s="32"/>
      <c r="AL108" s="34">
        <f>SUM(G108:AK108)</f>
      </c>
      <c r="AM108" s="35"/>
    </row>
    <row r="109" ht="13.5" customHeight="1" spans="2:39" x14ac:dyDescent="0.25">
      <c r="B109" s="48" t="s">
        <v>3</v>
      </c>
      <c r="C109" s="49" t="s">
        <v>2853</v>
      </c>
      <c r="D109" s="50" t="s">
        <v>42</v>
      </c>
      <c r="E109" s="32" t="s">
        <v>3</v>
      </c>
      <c r="F109" s="32" t="s">
        <v>2949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3">
        <v>108.08</v>
      </c>
      <c r="X109" s="33">
        <v>144.82</v>
      </c>
      <c r="Y109" s="33">
        <v>133.88</v>
      </c>
      <c r="Z109" s="33">
        <v>123.33</v>
      </c>
      <c r="AA109" s="33">
        <v>144.26</v>
      </c>
      <c r="AB109" s="33">
        <v>197.5</v>
      </c>
      <c r="AC109" s="33">
        <v>247.88</v>
      </c>
      <c r="AD109" s="33">
        <v>352.22</v>
      </c>
      <c r="AE109" s="33">
        <v>301.16</v>
      </c>
      <c r="AF109" s="33">
        <v>117.97</v>
      </c>
      <c r="AG109" s="33">
        <v>85.45</v>
      </c>
      <c r="AH109" s="33">
        <v>74.38</v>
      </c>
      <c r="AI109" s="33">
        <v>111.77</v>
      </c>
      <c r="AJ109" s="33">
        <v>108.02</v>
      </c>
      <c r="AK109" s="32"/>
      <c r="AL109" s="34">
        <f>SUM(G109:AK109)</f>
      </c>
      <c r="AM109" s="35"/>
    </row>
    <row r="110" ht="13.5" customHeight="1" spans="2:39" x14ac:dyDescent="0.25">
      <c r="B110" s="48" t="s">
        <v>3</v>
      </c>
      <c r="C110" s="49" t="s">
        <v>2853</v>
      </c>
      <c r="D110" s="50" t="s">
        <v>42</v>
      </c>
      <c r="E110" s="32" t="s">
        <v>3</v>
      </c>
      <c r="F110" s="32" t="s">
        <v>2950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3">
        <v>129.89</v>
      </c>
      <c r="X110" s="33">
        <v>95.1</v>
      </c>
      <c r="Y110" s="33">
        <v>92.86</v>
      </c>
      <c r="Z110" s="33">
        <v>91.02</v>
      </c>
      <c r="AA110" s="33">
        <v>115.54</v>
      </c>
      <c r="AB110" s="33">
        <v>156.35</v>
      </c>
      <c r="AC110" s="33">
        <v>186.32</v>
      </c>
      <c r="AD110" s="33">
        <v>191.61</v>
      </c>
      <c r="AE110" s="33">
        <v>190.88</v>
      </c>
      <c r="AF110" s="33">
        <v>118.4</v>
      </c>
      <c r="AG110" s="33">
        <v>87.5</v>
      </c>
      <c r="AH110" s="33">
        <v>106.29</v>
      </c>
      <c r="AI110" s="33">
        <v>98.32</v>
      </c>
      <c r="AJ110" s="33">
        <v>82.32</v>
      </c>
      <c r="AK110" s="32"/>
      <c r="AL110" s="34">
        <f>SUM(G110:AK110)</f>
      </c>
      <c r="AM110" s="35"/>
    </row>
    <row r="111" ht="13.5" customHeight="1" spans="2:39" x14ac:dyDescent="0.25">
      <c r="B111" s="48" t="s">
        <v>3</v>
      </c>
      <c r="C111" s="49" t="s">
        <v>2853</v>
      </c>
      <c r="D111" s="50" t="s">
        <v>42</v>
      </c>
      <c r="E111" s="32" t="s">
        <v>3</v>
      </c>
      <c r="F111" s="32" t="s">
        <v>2951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3">
        <v>1016.58</v>
      </c>
      <c r="X111" s="33">
        <v>946.83</v>
      </c>
      <c r="Y111" s="33">
        <v>948.06</v>
      </c>
      <c r="Z111" s="33">
        <v>876.76</v>
      </c>
      <c r="AA111" s="33">
        <v>1151.89</v>
      </c>
      <c r="AB111" s="33">
        <v>1499.89</v>
      </c>
      <c r="AC111" s="33">
        <v>1783.05</v>
      </c>
      <c r="AD111" s="33">
        <v>1803.56</v>
      </c>
      <c r="AE111" s="33">
        <v>1476.48</v>
      </c>
      <c r="AF111" s="33">
        <v>1024.16</v>
      </c>
      <c r="AG111" s="33">
        <v>841.39</v>
      </c>
      <c r="AH111" s="33">
        <v>958.57</v>
      </c>
      <c r="AI111" s="33">
        <v>932.05</v>
      </c>
      <c r="AJ111" s="33">
        <v>940.82</v>
      </c>
      <c r="AK111" s="32"/>
      <c r="AL111" s="34">
        <f>SUM(G111:AK111)</f>
      </c>
      <c r="AM111" s="35"/>
    </row>
    <row r="112" ht="13.5" customHeight="1" spans="2:39" x14ac:dyDescent="0.25">
      <c r="B112" s="48" t="s">
        <v>3</v>
      </c>
      <c r="C112" s="49" t="s">
        <v>2853</v>
      </c>
      <c r="D112" s="50" t="s">
        <v>42</v>
      </c>
      <c r="E112" s="32" t="s">
        <v>3</v>
      </c>
      <c r="F112" s="32" t="s">
        <v>2952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3">
        <v>38.66</v>
      </c>
      <c r="X112" s="33">
        <v>45.22</v>
      </c>
      <c r="Y112" s="33">
        <v>98.97</v>
      </c>
      <c r="Z112" s="33">
        <v>38.7</v>
      </c>
      <c r="AA112" s="33">
        <v>28.1</v>
      </c>
      <c r="AB112" s="33">
        <v>37.97</v>
      </c>
      <c r="AC112" s="33">
        <v>28.1</v>
      </c>
      <c r="AD112" s="33">
        <v>28.71</v>
      </c>
      <c r="AE112" s="33">
        <v>28.09</v>
      </c>
      <c r="AF112" s="33">
        <v>32.35</v>
      </c>
      <c r="AG112" s="33">
        <v>27.83</v>
      </c>
      <c r="AH112" s="33">
        <v>27.83</v>
      </c>
      <c r="AI112" s="33">
        <v>80.23</v>
      </c>
      <c r="AJ112" s="33">
        <v>92.11</v>
      </c>
      <c r="AK112" s="32"/>
      <c r="AL112" s="34">
        <f>SUM(G112:AK112)</f>
      </c>
      <c r="AM112" s="35"/>
    </row>
    <row r="113" ht="13.5" customHeight="1" spans="2:39" x14ac:dyDescent="0.25">
      <c r="B113" s="51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40"/>
    </row>
    <row r="114" ht="13.5" customHeight="1" spans="2:39" x14ac:dyDescent="0.25">
      <c r="B114" s="20"/>
      <c r="C114" s="21"/>
      <c r="D114" s="21" t="s">
        <v>85</v>
      </c>
      <c r="E114" s="21"/>
      <c r="F114" s="21"/>
      <c r="G114" s="22">
        <f>SUM(G16:G112)</f>
      </c>
      <c r="H114" s="22">
        <f>SUM(H16:H112)</f>
      </c>
      <c r="I114" s="22">
        <f>SUM(I16:I112)</f>
      </c>
      <c r="J114" s="22">
        <f>SUM(J16:J112)</f>
      </c>
      <c r="K114" s="22">
        <f>SUM(K16:K112)</f>
      </c>
      <c r="L114" s="22">
        <f>SUM(L16:L112)</f>
      </c>
      <c r="M114" s="22">
        <f>SUM(M16:M112)</f>
      </c>
      <c r="N114" s="22">
        <f>SUM(N16:N112)</f>
      </c>
      <c r="O114" s="22">
        <f>SUM(O16:O112)</f>
      </c>
      <c r="P114" s="22">
        <f>SUM(P16:P112)</f>
      </c>
      <c r="Q114" s="22">
        <f>SUM(Q16:Q112)</f>
      </c>
      <c r="R114" s="22">
        <f>SUM(R16:R112)</f>
      </c>
      <c r="S114" s="22">
        <f>SUM(S16:S112)</f>
      </c>
      <c r="T114" s="22">
        <f>SUM(T16:T112)</f>
      </c>
      <c r="U114" s="22">
        <f>SUM(U16:U112)</f>
      </c>
      <c r="V114" s="22">
        <f>SUM(V16:V112)</f>
      </c>
      <c r="W114" s="22">
        <f>SUM(W16:W112)</f>
      </c>
      <c r="X114" s="22">
        <f>SUM(X16:X112)</f>
      </c>
      <c r="Y114" s="22">
        <f>SUM(Y16:Y112)</f>
      </c>
      <c r="Z114" s="22">
        <f>SUM(Z16:Z112)</f>
      </c>
      <c r="AA114" s="22">
        <f>SUM(AA16:AA112)</f>
      </c>
      <c r="AB114" s="22">
        <f>SUM(AB16:AB112)</f>
      </c>
      <c r="AC114" s="22">
        <f>SUM(AC16:AC112)</f>
      </c>
      <c r="AD114" s="22">
        <f>SUM(AD16:AD112)</f>
      </c>
      <c r="AE114" s="22">
        <f>SUM(AE16:AE112)</f>
      </c>
      <c r="AF114" s="22">
        <f>SUM(AF16:AF112)</f>
      </c>
      <c r="AG114" s="22">
        <f>SUM(AG16:AG112)</f>
      </c>
      <c r="AH114" s="22">
        <f>SUM(AH16:AH112)</f>
      </c>
      <c r="AI114" s="22">
        <f>SUM(AI16:AI112)</f>
      </c>
      <c r="AJ114" s="22">
        <f>SUM(AJ16:AJ112)</f>
      </c>
      <c r="AK114" s="22">
        <f>SUM(AK16:AK112)</f>
      </c>
      <c r="AL114" s="22">
        <f>SUM(AL16:AL112)</f>
      </c>
      <c r="AM114" s="23"/>
    </row>
    <row r="116" ht="13.5" customHeight="1" spans="2:39" x14ac:dyDescent="0.25">
      <c r="B116" s="46"/>
      <c r="C116" s="28"/>
      <c r="D116" s="47" t="s">
        <v>43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9"/>
    </row>
    <row r="117" ht="13.5" customHeight="1" spans="2:39" x14ac:dyDescent="0.25">
      <c r="B117" s="48" t="s">
        <v>3</v>
      </c>
      <c r="C117" s="49" t="s">
        <v>2853</v>
      </c>
      <c r="D117" s="50" t="s">
        <v>43</v>
      </c>
      <c r="E117" s="32" t="s">
        <v>3</v>
      </c>
      <c r="F117" s="32" t="s">
        <v>2953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3">
        <f>1321.87+5.59+2288.59</f>
        <v>3616.05</v>
      </c>
      <c r="X117" s="33">
        <f>1200.04+5.57+1722.12</f>
        <v>2927.7299999999996</v>
      </c>
      <c r="Y117" s="33">
        <f>1097.35+5.57+1597.16</f>
        <v>2700.08</v>
      </c>
      <c r="Z117" s="33">
        <f>1089.72+5.57+1586.47</f>
        <v>2681.76</v>
      </c>
      <c r="AA117" s="33">
        <f>1116.41+5.57+1623.91</f>
        <v>2745.8900000000003</v>
      </c>
      <c r="AB117" s="33">
        <f>1078.28+5.57+1570.42</f>
        <v>2654.27</v>
      </c>
      <c r="AC117" s="33">
        <f>1272.76+5.57+1843.19</f>
        <v>3121.52</v>
      </c>
      <c r="AD117" s="33">
        <f>1374.89+5.58+2140.23</f>
        <v>3520.7</v>
      </c>
      <c r="AE117" s="33">
        <f>1286.26+5.58+2078.21</f>
        <v>3370.05</v>
      </c>
      <c r="AF117" s="33">
        <f>1475.20+5.58+2372.89</f>
        <v>3853.67</v>
      </c>
      <c r="AG117" s="33">
        <f>1400.41+5.59+2256.24</f>
        <v>3662.24</v>
      </c>
      <c r="AH117" s="33">
        <f>1502.75+5.58+2415.86</f>
        <v>3924.19</v>
      </c>
      <c r="AI117" s="33">
        <f>1577.54+5.58+2532.50</f>
        <v>4115.62</v>
      </c>
      <c r="AJ117" s="33">
        <f>1590.77+5.58+2563.40</f>
        <v>4159.75</v>
      </c>
      <c r="AK117" s="32"/>
      <c r="AL117" s="34">
        <f>SUM(G117:AK117)</f>
      </c>
      <c r="AM117" s="35"/>
    </row>
    <row r="118" ht="13.5" customHeight="1" spans="2:39" x14ac:dyDescent="0.25">
      <c r="B118" s="48" t="s">
        <v>3</v>
      </c>
      <c r="C118" s="49" t="s">
        <v>2853</v>
      </c>
      <c r="D118" s="50" t="s">
        <v>43</v>
      </c>
      <c r="E118" s="32" t="s">
        <v>3</v>
      </c>
      <c r="F118" s="32" t="s">
        <v>2954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3">
        <f>1998.26+5.60+3567.40</f>
        <v>5571.26</v>
      </c>
      <c r="X118" s="33">
        <f>1998.99+5.60+3637.86</f>
        <v>5642.45</v>
      </c>
      <c r="Y118" s="33">
        <f>1990.19+5.57+2886.92</f>
        <v>4882.68</v>
      </c>
      <c r="Z118" s="33">
        <f>1783.75+5.57+2559.89</f>
        <v>4349.21</v>
      </c>
      <c r="AA118" s="33">
        <f>1791.37+5.57+2570.59</f>
        <v>4367.53</v>
      </c>
      <c r="AB118" s="33">
        <f>1631.22+5.57+2345.95</f>
        <v>3982.74</v>
      </c>
      <c r="AC118" s="33">
        <f>2199.40+5.57+3142.88</f>
        <v>5347.85</v>
      </c>
      <c r="AD118" s="33">
        <f>2183.94+5.58+3359.75</f>
        <v>5549.27</v>
      </c>
      <c r="AE118" s="33">
        <f>1916.04+5.59+3060.45</f>
        <v>4982.08</v>
      </c>
      <c r="AF118" s="33">
        <f>1998.71+5.58+3189.37</f>
        <v>5193.66</v>
      </c>
      <c r="AG118" s="33">
        <f>2553.71+5.58+4054.98</f>
        <v>6614.27</v>
      </c>
      <c r="AH118" s="33">
        <f>2301.80+5.58+3662.08</f>
        <v>5969.46</v>
      </c>
      <c r="AI118" s="33">
        <f>2467.11+5.58+3919.92</f>
        <v>6392.610000000001</v>
      </c>
      <c r="AJ118" s="33">
        <f>2557.65+5.58+4061.11</f>
        <v>6624.34</v>
      </c>
      <c r="AK118" s="32"/>
      <c r="AL118" s="34">
        <f>SUM(G118:AK118)</f>
      </c>
      <c r="AM118" s="35"/>
    </row>
    <row r="119" ht="13.5" customHeight="1" spans="2:39" x14ac:dyDescent="0.25">
      <c r="B119" s="48" t="s">
        <v>3</v>
      </c>
      <c r="C119" s="49" t="s">
        <v>2853</v>
      </c>
      <c r="D119" s="50" t="s">
        <v>43</v>
      </c>
      <c r="E119" s="32" t="s">
        <v>3</v>
      </c>
      <c r="F119" s="32" t="s">
        <v>2955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3">
        <f>636.41+5.61+1359.27</f>
        <v>2001.29</v>
      </c>
      <c r="X119" s="33">
        <f>498.52+5.58+749.51</f>
        <v>1253.61</v>
      </c>
      <c r="Y119" s="33">
        <f>452.88+5.58+693.28</f>
        <v>1151.74</v>
      </c>
      <c r="Z119" s="33">
        <f>460.49+5.58+703.98</f>
        <v>1170.05</v>
      </c>
      <c r="AA119" s="33">
        <f>414.74+5.58+639.79</f>
        <v>1060.11</v>
      </c>
      <c r="AB119" s="33">
        <f>399.48+5.58+618.41</f>
        <v>1023.47</v>
      </c>
      <c r="AC119" s="33">
        <f>563.47+5.58+848.38</f>
        <v>1417.43</v>
      </c>
      <c r="AD119" s="33">
        <f>581.46+5.58+944.24</f>
        <v>1531.2800000000002</v>
      </c>
      <c r="AE119" s="33">
        <f>542.30+5.59+917.94</f>
        <v>1465.83</v>
      </c>
      <c r="AF119" s="33">
        <f>849.34+5.59+1396.78</f>
        <v>2251.71</v>
      </c>
      <c r="AG119" s="33">
        <f>869.77+5.62+1910.92</f>
        <v>2786.31</v>
      </c>
      <c r="AH119" s="33">
        <f>849.34+5.59+1396.78</f>
        <v>2251.71</v>
      </c>
      <c r="AI119" s="33">
        <f>865.51+5.59+1458.93</f>
        <v>2330.03</v>
      </c>
      <c r="AJ119" s="33">
        <f>865.58+5.59+1465.19</f>
        <v>2336.36</v>
      </c>
      <c r="AK119" s="32"/>
      <c r="AL119" s="34">
        <f>SUM(G119:AK119)</f>
      </c>
      <c r="AM119" s="35"/>
    </row>
    <row r="120" ht="13.5" customHeight="1" spans="2:39" x14ac:dyDescent="0.25">
      <c r="B120" s="48" t="s">
        <v>3</v>
      </c>
      <c r="C120" s="49" t="s">
        <v>2853</v>
      </c>
      <c r="D120" s="50" t="s">
        <v>43</v>
      </c>
      <c r="E120" s="32" t="s">
        <v>3</v>
      </c>
      <c r="F120" s="32" t="s">
        <v>2956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3">
        <f>1890.71+5.57+2723.07</f>
        <v>4619.35</v>
      </c>
      <c r="X120" s="33">
        <f>1892.96+5.58+2894.79</f>
        <v>4793.33</v>
      </c>
      <c r="Y120" s="33">
        <f>1741.80+5.57+2501.06</f>
        <v>4248.43</v>
      </c>
      <c r="Z120" s="33">
        <f>1673.17+5.57+2404.78</f>
        <v>4083.5200000000004</v>
      </c>
      <c r="AA120" s="33">
        <f>1787.57+5.57+2565.24</f>
        <v>4358.379999999999</v>
      </c>
      <c r="AB120" s="33">
        <f>1444.37+5.57+2083.87</f>
        <v>3533.8099999999995</v>
      </c>
      <c r="AC120" s="33">
        <f>1856.21+5.57+2661.51</f>
        <v>4523.29</v>
      </c>
      <c r="AD120" s="33">
        <f>1894.71+5.58+2923.79</f>
        <v>4824.08</v>
      </c>
      <c r="AE120" s="33">
        <f>1699.56+5.58+2722.81</f>
        <v>4427.95</v>
      </c>
      <c r="AF120" s="33">
        <f>1805.84+5.58+2888.56</f>
        <v>4699.98</v>
      </c>
      <c r="AG120" s="33">
        <f>1975.09+5.58+3152.54</f>
        <v>5133.21</v>
      </c>
      <c r="AH120" s="33">
        <f>1955.41+5.58+3121.84</f>
        <v>5082.83</v>
      </c>
      <c r="AI120" s="33">
        <f>1951.48+5.58+3115.71</f>
        <v>5072.77</v>
      </c>
      <c r="AJ120" s="33">
        <f>1971.16+5.59+3146.40</f>
        <v>5123.15</v>
      </c>
      <c r="AK120" s="32"/>
      <c r="AL120" s="34">
        <f>SUM(G120:AK120)</f>
      </c>
      <c r="AM120" s="35"/>
    </row>
    <row r="121" ht="13.5" customHeight="1" spans="2:39" x14ac:dyDescent="0.25">
      <c r="B121" s="51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40"/>
    </row>
    <row r="122" ht="13.5" customHeight="1" spans="2:39" x14ac:dyDescent="0.25">
      <c r="B122" s="20"/>
      <c r="C122" s="21"/>
      <c r="D122" s="21" t="s">
        <v>89</v>
      </c>
      <c r="E122" s="21"/>
      <c r="F122" s="21"/>
      <c r="G122" s="22">
        <f>SUM(G117:G120)</f>
      </c>
      <c r="H122" s="22">
        <f>SUM(H117:H120)</f>
      </c>
      <c r="I122" s="22">
        <f>SUM(I117:I120)</f>
      </c>
      <c r="J122" s="22">
        <f>SUM(J117:J120)</f>
      </c>
      <c r="K122" s="22">
        <f>SUM(K117:K120)</f>
      </c>
      <c r="L122" s="22">
        <f>SUM(L117:L120)</f>
      </c>
      <c r="M122" s="22">
        <f>SUM(M117:M120)</f>
      </c>
      <c r="N122" s="22">
        <f>SUM(N117:N120)</f>
      </c>
      <c r="O122" s="22">
        <f>SUM(O117:O120)</f>
      </c>
      <c r="P122" s="22">
        <f>SUM(P117:P120)</f>
      </c>
      <c r="Q122" s="22">
        <f>SUM(Q117:Q120)</f>
      </c>
      <c r="R122" s="22">
        <f>SUM(R117:R120)</f>
      </c>
      <c r="S122" s="22">
        <f>SUM(S117:S120)</f>
      </c>
      <c r="T122" s="22">
        <f>SUM(T117:T120)</f>
      </c>
      <c r="U122" s="22">
        <f>SUM(U117:U120)</f>
      </c>
      <c r="V122" s="22">
        <f>SUM(V117:V120)</f>
      </c>
      <c r="W122" s="22">
        <f>SUM(W117:W120)</f>
      </c>
      <c r="X122" s="22">
        <f>SUM(X117:X120)</f>
      </c>
      <c r="Y122" s="22">
        <f>SUM(Y117:Y120)</f>
      </c>
      <c r="Z122" s="22">
        <f>SUM(Z117:Z120)</f>
      </c>
      <c r="AA122" s="22">
        <f>SUM(AA117:AA120)</f>
      </c>
      <c r="AB122" s="22">
        <f>SUM(AB117:AB120)</f>
      </c>
      <c r="AC122" s="22">
        <f>SUM(AC117:AC120)</f>
      </c>
      <c r="AD122" s="22">
        <f>SUM(AD117:AD120)</f>
      </c>
      <c r="AE122" s="22">
        <f>SUM(AE117:AE120)</f>
      </c>
      <c r="AF122" s="22">
        <f>SUM(AF117:AF120)</f>
      </c>
      <c r="AG122" s="22">
        <f>SUM(AG117:AG120)</f>
      </c>
      <c r="AH122" s="22">
        <f>SUM(AH117:AH120)</f>
      </c>
      <c r="AI122" s="22">
        <f>SUM(AI117:AI120)</f>
      </c>
      <c r="AJ122" s="22">
        <f>SUM(AJ117:AJ120)</f>
      </c>
      <c r="AK122" s="22">
        <f>SUM(AK117:AK120)</f>
      </c>
      <c r="AL122" s="22">
        <f>SUM(AL117:AL120)</f>
      </c>
      <c r="AM122" s="23"/>
    </row>
    <row r="124" ht="13.5" customHeight="1" spans="2:39" x14ac:dyDescent="0.25">
      <c r="B124" s="46"/>
      <c r="C124" s="28"/>
      <c r="D124" s="47" t="s">
        <v>44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9"/>
    </row>
    <row r="125" ht="13.5" customHeight="1" spans="2:39" x14ac:dyDescent="0.25">
      <c r="B125" s="51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40"/>
    </row>
    <row r="126" ht="13.5" customHeight="1" spans="2:39" x14ac:dyDescent="0.25">
      <c r="B126" s="20"/>
      <c r="C126" s="21"/>
      <c r="D126" s="21" t="s">
        <v>90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3"/>
    </row>
    <row r="129" ht="12.75" customHeight="1" spans="2:39" x14ac:dyDescent="0.25">
      <c r="B129" s="11" t="s">
        <v>40</v>
      </c>
      <c r="C129" s="12"/>
      <c r="D129" s="12"/>
      <c r="E129" s="12"/>
      <c r="F129" s="12"/>
      <c r="G129" s="52" t="s">
        <v>7</v>
      </c>
      <c r="H129" s="52" t="s">
        <v>8</v>
      </c>
      <c r="I129" s="52" t="s">
        <v>9</v>
      </c>
      <c r="J129" s="52" t="s">
        <v>10</v>
      </c>
      <c r="K129" s="52" t="s">
        <v>11</v>
      </c>
      <c r="L129" s="52" t="s">
        <v>12</v>
      </c>
      <c r="M129" s="52" t="s">
        <v>13</v>
      </c>
      <c r="N129" s="52" t="s">
        <v>14</v>
      </c>
      <c r="O129" s="52" t="s">
        <v>15</v>
      </c>
      <c r="P129" s="52" t="s">
        <v>16</v>
      </c>
      <c r="Q129" s="52" t="s">
        <v>17</v>
      </c>
      <c r="R129" s="52" t="s">
        <v>18</v>
      </c>
      <c r="S129" s="52" t="s">
        <v>19</v>
      </c>
      <c r="T129" s="52" t="s">
        <v>20</v>
      </c>
      <c r="U129" s="52" t="s">
        <v>21</v>
      </c>
      <c r="V129" s="52" t="s">
        <v>22</v>
      </c>
      <c r="W129" s="52" t="s">
        <v>23</v>
      </c>
      <c r="X129" s="52" t="s">
        <v>24</v>
      </c>
      <c r="Y129" s="52" t="s">
        <v>25</v>
      </c>
      <c r="Z129" s="52" t="s">
        <v>26</v>
      </c>
      <c r="AA129" s="52" t="s">
        <v>27</v>
      </c>
      <c r="AB129" s="52" t="s">
        <v>28</v>
      </c>
      <c r="AC129" s="52" t="s">
        <v>29</v>
      </c>
      <c r="AD129" s="52" t="s">
        <v>30</v>
      </c>
      <c r="AE129" s="52" t="s">
        <v>31</v>
      </c>
      <c r="AF129" s="52" t="s">
        <v>32</v>
      </c>
      <c r="AG129" s="52" t="s">
        <v>33</v>
      </c>
      <c r="AH129" s="52" t="s">
        <v>34</v>
      </c>
      <c r="AI129" s="52" t="s">
        <v>35</v>
      </c>
      <c r="AJ129" s="52" t="s">
        <v>36</v>
      </c>
      <c r="AK129" s="52" t="s">
        <v>37</v>
      </c>
      <c r="AL129" s="52" t="s">
        <v>38</v>
      </c>
      <c r="AM129" s="15"/>
    </row>
    <row r="130" ht="12.75" customHeight="1" spans="2:39" x14ac:dyDescent="0.25">
      <c r="B130" s="16"/>
      <c r="C130" s="17"/>
      <c r="D130" s="17" t="s">
        <v>41</v>
      </c>
      <c r="E130" s="17"/>
      <c r="F130" s="17"/>
      <c r="G130" s="18">
        <f>G13</f>
      </c>
      <c r="H130" s="18">
        <f>H13</f>
      </c>
      <c r="I130" s="18">
        <f>I13</f>
      </c>
      <c r="J130" s="18">
        <f>J13</f>
      </c>
      <c r="K130" s="18">
        <f>K13</f>
      </c>
      <c r="L130" s="18">
        <f>L13</f>
      </c>
      <c r="M130" s="18">
        <f>M13</f>
      </c>
      <c r="N130" s="18">
        <f>N13</f>
      </c>
      <c r="O130" s="18">
        <f>O13</f>
      </c>
      <c r="P130" s="18">
        <f>P13</f>
      </c>
      <c r="Q130" s="18">
        <f>Q13</f>
      </c>
      <c r="R130" s="18">
        <f>R13</f>
      </c>
      <c r="S130" s="18">
        <f>S13</f>
      </c>
      <c r="T130" s="18">
        <f>T13</f>
      </c>
      <c r="U130" s="18">
        <f>U13</f>
      </c>
      <c r="V130" s="18">
        <f>V13</f>
      </c>
      <c r="W130" s="18">
        <f>W13</f>
      </c>
      <c r="X130" s="18">
        <f>X13</f>
      </c>
      <c r="Y130" s="18">
        <f>Y13</f>
      </c>
      <c r="Z130" s="18">
        <f>Z13</f>
      </c>
      <c r="AA130" s="18">
        <f>AA13</f>
      </c>
      <c r="AB130" s="18">
        <f>AB13</f>
      </c>
      <c r="AC130" s="18">
        <f>AC13</f>
      </c>
      <c r="AD130" s="18">
        <f>AD13</f>
      </c>
      <c r="AE130" s="18">
        <f>AE13</f>
      </c>
      <c r="AF130" s="18">
        <f>AF13</f>
      </c>
      <c r="AG130" s="18">
        <f>AG13</f>
      </c>
      <c r="AH130" s="18">
        <f>AH13</f>
      </c>
      <c r="AI130" s="18">
        <f>AI13</f>
      </c>
      <c r="AJ130" s="18">
        <f>AJ13</f>
      </c>
      <c r="AK130" s="18">
        <f>AK13</f>
      </c>
      <c r="AL130" s="18">
        <f>AL13</f>
      </c>
      <c r="AM130" s="19"/>
    </row>
    <row r="131" ht="12.75" customHeight="1" spans="2:39" x14ac:dyDescent="0.25">
      <c r="B131" s="16"/>
      <c r="C131" s="17"/>
      <c r="D131" s="17" t="s">
        <v>42</v>
      </c>
      <c r="E131" s="17"/>
      <c r="F131" s="17"/>
      <c r="G131" s="18">
        <f>G114</f>
      </c>
      <c r="H131" s="18">
        <f>H114</f>
      </c>
      <c r="I131" s="18">
        <f>I114</f>
      </c>
      <c r="J131" s="18">
        <f>J114</f>
      </c>
      <c r="K131" s="18">
        <f>K114</f>
      </c>
      <c r="L131" s="18">
        <f>L114</f>
      </c>
      <c r="M131" s="18">
        <f>M114</f>
      </c>
      <c r="N131" s="18">
        <f>N114</f>
      </c>
      <c r="O131" s="18">
        <f>O114</f>
      </c>
      <c r="P131" s="18">
        <f>P114</f>
      </c>
      <c r="Q131" s="18">
        <f>Q114</f>
      </c>
      <c r="R131" s="18">
        <f>R114</f>
      </c>
      <c r="S131" s="18">
        <f>S114</f>
      </c>
      <c r="T131" s="18">
        <f>T114</f>
      </c>
      <c r="U131" s="18">
        <f>U114</f>
      </c>
      <c r="V131" s="18">
        <f>V114</f>
      </c>
      <c r="W131" s="18">
        <f>W114</f>
      </c>
      <c r="X131" s="18">
        <f>X114</f>
      </c>
      <c r="Y131" s="18">
        <f>Y114</f>
      </c>
      <c r="Z131" s="18">
        <f>Z114</f>
      </c>
      <c r="AA131" s="18">
        <f>AA114</f>
      </c>
      <c r="AB131" s="18">
        <f>AB114</f>
      </c>
      <c r="AC131" s="18">
        <f>AC114</f>
      </c>
      <c r="AD131" s="18">
        <f>AD114</f>
      </c>
      <c r="AE131" s="18">
        <f>AE114</f>
      </c>
      <c r="AF131" s="18">
        <f>AF114</f>
      </c>
      <c r="AG131" s="18">
        <f>AG114</f>
      </c>
      <c r="AH131" s="18">
        <f>AH114</f>
      </c>
      <c r="AI131" s="18">
        <f>AI114</f>
      </c>
      <c r="AJ131" s="18">
        <f>AJ114</f>
      </c>
      <c r="AK131" s="18">
        <f>AK114</f>
      </c>
      <c r="AL131" s="18">
        <f>AL114</f>
      </c>
      <c r="AM131" s="19"/>
    </row>
    <row r="132" ht="12.75" customHeight="1" spans="2:39" x14ac:dyDescent="0.25">
      <c r="B132" s="16"/>
      <c r="C132" s="17"/>
      <c r="D132" s="17" t="s">
        <v>43</v>
      </c>
      <c r="E132" s="17"/>
      <c r="F132" s="17"/>
      <c r="G132" s="18">
        <f>G122</f>
      </c>
      <c r="H132" s="18">
        <f>H122</f>
      </c>
      <c r="I132" s="18">
        <f>I122</f>
      </c>
      <c r="J132" s="18">
        <f>J122</f>
      </c>
      <c r="K132" s="18">
        <f>K122</f>
      </c>
      <c r="L132" s="18">
        <f>L122</f>
      </c>
      <c r="M132" s="18">
        <f>M122</f>
      </c>
      <c r="N132" s="18">
        <f>N122</f>
      </c>
      <c r="O132" s="18">
        <f>O122</f>
      </c>
      <c r="P132" s="18">
        <f>P122</f>
      </c>
      <c r="Q132" s="18">
        <f>Q122</f>
      </c>
      <c r="R132" s="18">
        <f>R122</f>
      </c>
      <c r="S132" s="18">
        <f>S122</f>
      </c>
      <c r="T132" s="18">
        <f>T122</f>
      </c>
      <c r="U132" s="18">
        <f>U122</f>
      </c>
      <c r="V132" s="18">
        <f>V122</f>
      </c>
      <c r="W132" s="18">
        <f>W122</f>
      </c>
      <c r="X132" s="18">
        <f>X122</f>
      </c>
      <c r="Y132" s="18">
        <f>Y122</f>
      </c>
      <c r="Z132" s="18">
        <f>Z122</f>
      </c>
      <c r="AA132" s="18">
        <f>AA122</f>
      </c>
      <c r="AB132" s="18">
        <f>AB122</f>
      </c>
      <c r="AC132" s="18">
        <f>AC122</f>
      </c>
      <c r="AD132" s="18">
        <f>AD122</f>
      </c>
      <c r="AE132" s="18">
        <f>AE122</f>
      </c>
      <c r="AF132" s="18">
        <f>AF122</f>
      </c>
      <c r="AG132" s="18">
        <f>AG122</f>
      </c>
      <c r="AH132" s="18">
        <f>AH122</f>
      </c>
      <c r="AI132" s="18">
        <f>AI122</f>
      </c>
      <c r="AJ132" s="18">
        <f>AJ122</f>
      </c>
      <c r="AK132" s="18">
        <f>AK122</f>
      </c>
      <c r="AL132" s="18">
        <f>AL122</f>
      </c>
      <c r="AM132" s="19"/>
    </row>
    <row r="133" ht="12.75" customHeight="1" spans="2:39" x14ac:dyDescent="0.25">
      <c r="B133" s="16"/>
      <c r="C133" s="17"/>
      <c r="D133" s="17" t="s">
        <v>44</v>
      </c>
      <c r="E133" s="17"/>
      <c r="F133" s="17"/>
      <c r="G133" s="18">
        <f>G126</f>
      </c>
      <c r="H133" s="18">
        <f>H126</f>
      </c>
      <c r="I133" s="18">
        <f>I126</f>
      </c>
      <c r="J133" s="18">
        <f>J126</f>
      </c>
      <c r="K133" s="18">
        <f>K126</f>
      </c>
      <c r="L133" s="18">
        <f>L126</f>
      </c>
      <c r="M133" s="18">
        <f>M126</f>
      </c>
      <c r="N133" s="18">
        <f>N126</f>
      </c>
      <c r="O133" s="18">
        <f>O126</f>
      </c>
      <c r="P133" s="18">
        <f>P126</f>
      </c>
      <c r="Q133" s="18">
        <f>Q126</f>
      </c>
      <c r="R133" s="18">
        <f>R126</f>
      </c>
      <c r="S133" s="18">
        <f>S126</f>
      </c>
      <c r="T133" s="18">
        <f>T126</f>
      </c>
      <c r="U133" s="18">
        <f>U126</f>
      </c>
      <c r="V133" s="18">
        <f>V126</f>
      </c>
      <c r="W133" s="18">
        <f>W126</f>
      </c>
      <c r="X133" s="18">
        <f>X126</f>
      </c>
      <c r="Y133" s="18">
        <f>Y126</f>
      </c>
      <c r="Z133" s="18">
        <f>Z126</f>
      </c>
      <c r="AA133" s="18">
        <f>AA126</f>
      </c>
      <c r="AB133" s="18">
        <f>AB126</f>
      </c>
      <c r="AC133" s="18">
        <f>AC126</f>
      </c>
      <c r="AD133" s="18">
        <f>AD126</f>
      </c>
      <c r="AE133" s="18">
        <f>AE126</f>
      </c>
      <c r="AF133" s="18">
        <f>AF126</f>
      </c>
      <c r="AG133" s="18">
        <f>AG126</f>
      </c>
      <c r="AH133" s="18">
        <f>AH126</f>
      </c>
      <c r="AI133" s="18">
        <f>AI126</f>
      </c>
      <c r="AJ133" s="18">
        <f>AJ126</f>
      </c>
      <c r="AK133" s="18">
        <f>AK126</f>
      </c>
      <c r="AL133" s="18">
        <f>AL126</f>
      </c>
      <c r="AM133" s="19"/>
    </row>
    <row r="134" ht="12.75" customHeight="1" spans="2:39" x14ac:dyDescent="0.25">
      <c r="B134" s="20"/>
      <c r="C134" s="21"/>
      <c r="D134" s="21" t="s">
        <v>45</v>
      </c>
      <c r="E134" s="21"/>
      <c r="F134" s="21"/>
      <c r="G134" s="22">
        <f>G130+G131+G132+G133</f>
      </c>
      <c r="H134" s="22">
        <f>H130+H131+H132+H133</f>
      </c>
      <c r="I134" s="22">
        <f>I130+I131+I132+I133</f>
      </c>
      <c r="J134" s="22">
        <f>J130+J131+J132+J133</f>
      </c>
      <c r="K134" s="22">
        <f>K130+K131+K132+K133</f>
      </c>
      <c r="L134" s="22">
        <f>L130+L131+L132+L133</f>
      </c>
      <c r="M134" s="22">
        <f>M130+M131+M132+M133</f>
      </c>
      <c r="N134" s="22">
        <f>N130+N131+N132+N133</f>
      </c>
      <c r="O134" s="22">
        <f>O130+O131+O132+O133</f>
      </c>
      <c r="P134" s="22">
        <f>P130+P131+P132+P133</f>
      </c>
      <c r="Q134" s="22">
        <f>Q130+Q131+Q132+Q133</f>
      </c>
      <c r="R134" s="22">
        <f>R130+R131+R132+R133</f>
      </c>
      <c r="S134" s="22">
        <f>S130+S131+S132+S133</f>
      </c>
      <c r="T134" s="22">
        <f>T130+T131+T132+T133</f>
      </c>
      <c r="U134" s="22">
        <f>U130+U131+U132+U133</f>
      </c>
      <c r="V134" s="22">
        <f>V130+V131+V132+V133</f>
      </c>
      <c r="W134" s="22">
        <f>W130+W131+W132+W133</f>
      </c>
      <c r="X134" s="22">
        <f>X130+X131+X132+X133</f>
      </c>
      <c r="Y134" s="22">
        <f>Y130+Y131+Y132+Y133</f>
      </c>
      <c r="Z134" s="22">
        <f>Z130+Z131+Z132+Z133</f>
      </c>
      <c r="AA134" s="22">
        <f>AA130+AA131+AA132+AA133</f>
      </c>
      <c r="AB134" s="22">
        <f>AB130+AB131+AB132+AB133</f>
      </c>
      <c r="AC134" s="22">
        <f>AC130+AC131+AC132+AC133</f>
      </c>
      <c r="AD134" s="22">
        <f>AD130+AD131+AD132+AD133</f>
      </c>
      <c r="AE134" s="22">
        <f>AE130+AE131+AE132+AE133</f>
      </c>
      <c r="AF134" s="22">
        <f>AF130+AF131+AF132+AF133</f>
      </c>
      <c r="AG134" s="22">
        <f>AG130+AG131+AG132+AG133</f>
      </c>
      <c r="AH134" s="22">
        <f>AH130+AH131+AH132+AH133</f>
      </c>
      <c r="AI134" s="22">
        <f>AI130+AI131+AI132+AI133</f>
      </c>
      <c r="AJ134" s="22">
        <f>AJ130+AJ131+AJ132+AJ133</f>
      </c>
      <c r="AK134" s="22">
        <f>AK130+AK131+AK132+AK133</f>
      </c>
      <c r="AL134" s="22">
        <f>AL130+AL131+AL132+AL133</f>
      </c>
      <c r="AM134" s="23"/>
    </row>
    <row r="136" ht="12.75" customHeight="1" spans="2:39" x14ac:dyDescent="0.25">
      <c r="B136" s="11" t="s">
        <v>46</v>
      </c>
      <c r="C136" s="12"/>
      <c r="D136" s="12"/>
      <c r="E136" s="12"/>
      <c r="F136" s="12"/>
      <c r="G136" s="52" t="s">
        <v>7</v>
      </c>
      <c r="H136" s="52" t="s">
        <v>8</v>
      </c>
      <c r="I136" s="52" t="s">
        <v>9</v>
      </c>
      <c r="J136" s="52" t="s">
        <v>10</v>
      </c>
      <c r="K136" s="52" t="s">
        <v>11</v>
      </c>
      <c r="L136" s="52" t="s">
        <v>12</v>
      </c>
      <c r="M136" s="52" t="s">
        <v>13</v>
      </c>
      <c r="N136" s="52" t="s">
        <v>14</v>
      </c>
      <c r="O136" s="52" t="s">
        <v>15</v>
      </c>
      <c r="P136" s="52" t="s">
        <v>16</v>
      </c>
      <c r="Q136" s="52" t="s">
        <v>17</v>
      </c>
      <c r="R136" s="52" t="s">
        <v>18</v>
      </c>
      <c r="S136" s="52" t="s">
        <v>19</v>
      </c>
      <c r="T136" s="52" t="s">
        <v>20</v>
      </c>
      <c r="U136" s="52" t="s">
        <v>21</v>
      </c>
      <c r="V136" s="52" t="s">
        <v>22</v>
      </c>
      <c r="W136" s="52" t="s">
        <v>23</v>
      </c>
      <c r="X136" s="52" t="s">
        <v>24</v>
      </c>
      <c r="Y136" s="52" t="s">
        <v>25</v>
      </c>
      <c r="Z136" s="52" t="s">
        <v>26</v>
      </c>
      <c r="AA136" s="52" t="s">
        <v>27</v>
      </c>
      <c r="AB136" s="52" t="s">
        <v>28</v>
      </c>
      <c r="AC136" s="52" t="s">
        <v>29</v>
      </c>
      <c r="AD136" s="52" t="s">
        <v>30</v>
      </c>
      <c r="AE136" s="52" t="s">
        <v>31</v>
      </c>
      <c r="AF136" s="52" t="s">
        <v>32</v>
      </c>
      <c r="AG136" s="52" t="s">
        <v>33</v>
      </c>
      <c r="AH136" s="52" t="s">
        <v>34</v>
      </c>
      <c r="AI136" s="52" t="s">
        <v>35</v>
      </c>
      <c r="AJ136" s="52" t="s">
        <v>36</v>
      </c>
      <c r="AK136" s="52" t="s">
        <v>37</v>
      </c>
      <c r="AL136" s="52" t="s">
        <v>38</v>
      </c>
      <c r="AM136" s="15"/>
    </row>
    <row r="137" ht="12.75" customHeight="1" spans="2:39" x14ac:dyDescent="0.25">
      <c r="B137" s="16"/>
      <c r="C137" s="17"/>
      <c r="D137" s="17" t="s">
        <v>41</v>
      </c>
      <c r="E137" s="17"/>
      <c r="F137" s="1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9"/>
    </row>
    <row r="138" ht="12.75" customHeight="1" spans="2:39" x14ac:dyDescent="0.25">
      <c r="B138" s="16"/>
      <c r="C138" s="17"/>
      <c r="D138" s="17" t="s">
        <v>42</v>
      </c>
      <c r="E138" s="17"/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9"/>
    </row>
    <row r="139" ht="12.75" customHeight="1" spans="2:39" x14ac:dyDescent="0.25">
      <c r="B139" s="16"/>
      <c r="C139" s="17"/>
      <c r="D139" s="17" t="s">
        <v>43</v>
      </c>
      <c r="E139" s="17"/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9"/>
    </row>
    <row r="140" ht="12.75" customHeight="1" spans="2:39" x14ac:dyDescent="0.25">
      <c r="B140" s="16"/>
      <c r="C140" s="17"/>
      <c r="D140" s="17" t="s">
        <v>44</v>
      </c>
      <c r="E140" s="17"/>
      <c r="F140" s="1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9"/>
    </row>
    <row r="141" ht="12.75" customHeight="1" spans="2:39" x14ac:dyDescent="0.25">
      <c r="B141" s="20"/>
      <c r="C141" s="21"/>
      <c r="D141" s="21" t="s">
        <v>45</v>
      </c>
      <c r="E141" s="21"/>
      <c r="F141" s="21"/>
      <c r="G141" s="22">
        <f>G137+G138+G139+G140</f>
      </c>
      <c r="H141" s="22">
        <f>H137+H138+H139+H140</f>
      </c>
      <c r="I141" s="22">
        <f>I137+I138+I139+I140</f>
      </c>
      <c r="J141" s="22">
        <f>J137+J138+J139+J140</f>
      </c>
      <c r="K141" s="22">
        <f>K137+K138+K139+K140</f>
      </c>
      <c r="L141" s="22">
        <f>L137+L138+L139+L140</f>
      </c>
      <c r="M141" s="22">
        <f>M137+M138+M139+M140</f>
      </c>
      <c r="N141" s="22">
        <f>N137+N138+N139+N140</f>
      </c>
      <c r="O141" s="22">
        <f>O137+O138+O139+O140</f>
      </c>
      <c r="P141" s="22">
        <f>P137+P138+P139+P140</f>
      </c>
      <c r="Q141" s="22">
        <f>Q137+Q138+Q139+Q140</f>
      </c>
      <c r="R141" s="22">
        <f>R137+R138+R139+R140</f>
      </c>
      <c r="S141" s="22">
        <f>S137+S138+S139+S140</f>
      </c>
      <c r="T141" s="22">
        <f>T137+T138+T139+T140</f>
      </c>
      <c r="U141" s="22">
        <f>U137+U138+U139+U140</f>
      </c>
      <c r="V141" s="22">
        <f>V137+V138+V139+V140</f>
      </c>
      <c r="W141" s="22">
        <f>W137+W138+W139+W140</f>
      </c>
      <c r="X141" s="22">
        <f>X137+X138+X139+X140</f>
      </c>
      <c r="Y141" s="22">
        <f>Y137+Y138+Y139+Y140</f>
      </c>
      <c r="Z141" s="22">
        <f>Z137+Z138+Z139+Z140</f>
      </c>
      <c r="AA141" s="22">
        <f>AA137+AA138+AA139+AA140</f>
      </c>
      <c r="AB141" s="22">
        <f>AB137+AB138+AB139+AB140</f>
      </c>
      <c r="AC141" s="22">
        <f>AC137+AC138+AC139+AC140</f>
      </c>
      <c r="AD141" s="22">
        <f>AD137+AD138+AD139+AD140</f>
      </c>
      <c r="AE141" s="22">
        <f>AE137+AE138+AE139+AE140</f>
      </c>
      <c r="AF141" s="22">
        <f>AF137+AF138+AF139+AF140</f>
      </c>
      <c r="AG141" s="22">
        <f>AG137+AG138+AG139+AG140</f>
      </c>
      <c r="AH141" s="22">
        <f>AH137+AH138+AH139+AH140</f>
      </c>
      <c r="AI141" s="22">
        <f>AI137+AI138+AI139+AI140</f>
      </c>
      <c r="AJ141" s="22">
        <f>AJ137+AJ138+AJ139+AJ140</f>
      </c>
      <c r="AK141" s="22">
        <f>AK137+AK138+AK139+AK140</f>
      </c>
      <c r="AL141" s="22">
        <f>AL137+AL138+AL139+AL140</f>
      </c>
      <c r="AM141" s="23"/>
    </row>
    <row r="143" ht="12.75" customHeight="1" spans="2:39" x14ac:dyDescent="0.25">
      <c r="B143" s="11" t="s">
        <v>47</v>
      </c>
      <c r="C143" s="12"/>
      <c r="D143" s="12"/>
      <c r="E143" s="12"/>
      <c r="F143" s="12"/>
      <c r="G143" s="52" t="s">
        <v>7</v>
      </c>
      <c r="H143" s="52" t="s">
        <v>8</v>
      </c>
      <c r="I143" s="52" t="s">
        <v>9</v>
      </c>
      <c r="J143" s="52" t="s">
        <v>10</v>
      </c>
      <c r="K143" s="52" t="s">
        <v>11</v>
      </c>
      <c r="L143" s="52" t="s">
        <v>12</v>
      </c>
      <c r="M143" s="52" t="s">
        <v>13</v>
      </c>
      <c r="N143" s="52" t="s">
        <v>14</v>
      </c>
      <c r="O143" s="52" t="s">
        <v>15</v>
      </c>
      <c r="P143" s="52" t="s">
        <v>16</v>
      </c>
      <c r="Q143" s="52" t="s">
        <v>17</v>
      </c>
      <c r="R143" s="52" t="s">
        <v>18</v>
      </c>
      <c r="S143" s="52" t="s">
        <v>19</v>
      </c>
      <c r="T143" s="52" t="s">
        <v>20</v>
      </c>
      <c r="U143" s="52" t="s">
        <v>21</v>
      </c>
      <c r="V143" s="52" t="s">
        <v>22</v>
      </c>
      <c r="W143" s="52" t="s">
        <v>23</v>
      </c>
      <c r="X143" s="52" t="s">
        <v>24</v>
      </c>
      <c r="Y143" s="52" t="s">
        <v>25</v>
      </c>
      <c r="Z143" s="52" t="s">
        <v>26</v>
      </c>
      <c r="AA143" s="52" t="s">
        <v>27</v>
      </c>
      <c r="AB143" s="52" t="s">
        <v>28</v>
      </c>
      <c r="AC143" s="52" t="s">
        <v>29</v>
      </c>
      <c r="AD143" s="52" t="s">
        <v>30</v>
      </c>
      <c r="AE143" s="52" t="s">
        <v>31</v>
      </c>
      <c r="AF143" s="52" t="s">
        <v>32</v>
      </c>
      <c r="AG143" s="52" t="s">
        <v>33</v>
      </c>
      <c r="AH143" s="52" t="s">
        <v>34</v>
      </c>
      <c r="AI143" s="52" t="s">
        <v>35</v>
      </c>
      <c r="AJ143" s="52" t="s">
        <v>36</v>
      </c>
      <c r="AK143" s="52" t="s">
        <v>37</v>
      </c>
      <c r="AL143" s="52" t="s">
        <v>38</v>
      </c>
      <c r="AM143" s="15"/>
    </row>
    <row r="144" ht="12.75" customHeight="1" spans="2:39" x14ac:dyDescent="0.25">
      <c r="B144" s="16"/>
      <c r="C144" s="17"/>
      <c r="D144" s="17" t="s">
        <v>41</v>
      </c>
      <c r="E144" s="17"/>
      <c r="F144" s="17"/>
      <c r="G144" s="24">
        <f>G137-G130</f>
      </c>
      <c r="H144" s="24">
        <f>H137-H130</f>
      </c>
      <c r="I144" s="24">
        <f>I137-I130</f>
      </c>
      <c r="J144" s="24">
        <f>J137-J130</f>
      </c>
      <c r="K144" s="24">
        <f>K137-K130</f>
      </c>
      <c r="L144" s="24">
        <f>L137-L130</f>
      </c>
      <c r="M144" s="24">
        <f>M137-M130</f>
      </c>
      <c r="N144" s="24">
        <f>N137-N130</f>
      </c>
      <c r="O144" s="24">
        <f>O137-O130</f>
      </c>
      <c r="P144" s="24">
        <f>P137-P130</f>
      </c>
      <c r="Q144" s="24">
        <f>Q137-Q130</f>
      </c>
      <c r="R144" s="24">
        <f>R137-R130</f>
      </c>
      <c r="S144" s="24">
        <f>S137-S130</f>
      </c>
      <c r="T144" s="24">
        <f>T137-T130</f>
      </c>
      <c r="U144" s="24">
        <f>U137-U130</f>
      </c>
      <c r="V144" s="24">
        <f>V137-V130</f>
      </c>
      <c r="W144" s="24">
        <f>W137-W130</f>
      </c>
      <c r="X144" s="24">
        <f>X137-X130</f>
      </c>
      <c r="Y144" s="24">
        <f>Y137-Y130</f>
      </c>
      <c r="Z144" s="24">
        <f>Z137-Z130</f>
      </c>
      <c r="AA144" s="24">
        <f>AA137-AA130</f>
      </c>
      <c r="AB144" s="24">
        <f>AB137-AB130</f>
      </c>
      <c r="AC144" s="24">
        <f>AC137-AC130</f>
      </c>
      <c r="AD144" s="24">
        <f>AD137-AD130</f>
      </c>
      <c r="AE144" s="24">
        <f>AE137-AE130</f>
      </c>
      <c r="AF144" s="24">
        <f>AF137-AF130</f>
      </c>
      <c r="AG144" s="24">
        <f>AG137-AG130</f>
      </c>
      <c r="AH144" s="24">
        <f>AH137-AH130</f>
      </c>
      <c r="AI144" s="24">
        <f>AI137-AI130</f>
      </c>
      <c r="AJ144" s="24">
        <f>AJ137-AJ130</f>
      </c>
      <c r="AK144" s="24">
        <f>AK137-AK130</f>
      </c>
      <c r="AL144" s="24">
        <f>AL137-AL130</f>
      </c>
      <c r="AM144" s="19"/>
    </row>
    <row r="145" ht="12.75" customHeight="1" spans="2:39" x14ac:dyDescent="0.25">
      <c r="B145" s="16"/>
      <c r="C145" s="17"/>
      <c r="D145" s="17" t="s">
        <v>42</v>
      </c>
      <c r="E145" s="17"/>
      <c r="F145" s="17"/>
      <c r="G145" s="24">
        <f>G138-G131</f>
      </c>
      <c r="H145" s="24">
        <f>H138-H131</f>
      </c>
      <c r="I145" s="24">
        <f>I138-I131</f>
      </c>
      <c r="J145" s="24">
        <f>J138-J131</f>
      </c>
      <c r="K145" s="24">
        <f>K138-K131</f>
      </c>
      <c r="L145" s="24">
        <f>L138-L131</f>
      </c>
      <c r="M145" s="24">
        <f>M138-M131</f>
      </c>
      <c r="N145" s="24">
        <f>N138-N131</f>
      </c>
      <c r="O145" s="24">
        <f>O138-O131</f>
      </c>
      <c r="P145" s="24">
        <f>P138-P131</f>
      </c>
      <c r="Q145" s="24">
        <f>Q138-Q131</f>
      </c>
      <c r="R145" s="24">
        <f>R138-R131</f>
      </c>
      <c r="S145" s="24">
        <f>S138-S131</f>
      </c>
      <c r="T145" s="24">
        <f>T138-T131</f>
      </c>
      <c r="U145" s="24">
        <f>U138-U131</f>
      </c>
      <c r="V145" s="24">
        <f>V138-V131</f>
      </c>
      <c r="W145" s="24">
        <f>W138-W131</f>
      </c>
      <c r="X145" s="24">
        <f>X138-X131</f>
      </c>
      <c r="Y145" s="24">
        <f>Y138-Y131</f>
      </c>
      <c r="Z145" s="24">
        <f>Z138-Z131</f>
      </c>
      <c r="AA145" s="24">
        <f>AA138-AA131</f>
      </c>
      <c r="AB145" s="24">
        <f>AB138-AB131</f>
      </c>
      <c r="AC145" s="24">
        <f>AC138-AC131</f>
      </c>
      <c r="AD145" s="24">
        <f>AD138-AD131</f>
      </c>
      <c r="AE145" s="24">
        <f>AE138-AE131</f>
      </c>
      <c r="AF145" s="24">
        <f>AF138-AF131</f>
      </c>
      <c r="AG145" s="24">
        <f>AG138-AG131</f>
      </c>
      <c r="AH145" s="24">
        <f>AH138-AH131</f>
      </c>
      <c r="AI145" s="24">
        <f>AI138-AI131</f>
      </c>
      <c r="AJ145" s="24">
        <f>AJ138-AJ131</f>
      </c>
      <c r="AK145" s="24">
        <f>AK138-AK131</f>
      </c>
      <c r="AL145" s="24">
        <f>AL138-AL131</f>
      </c>
      <c r="AM145" s="19"/>
    </row>
    <row r="146" ht="12.75" customHeight="1" spans="2:39" x14ac:dyDescent="0.25">
      <c r="B146" s="16"/>
      <c r="C146" s="17"/>
      <c r="D146" s="17" t="s">
        <v>43</v>
      </c>
      <c r="E146" s="17"/>
      <c r="F146" s="17"/>
      <c r="G146" s="24">
        <f>G139-G132</f>
      </c>
      <c r="H146" s="24">
        <f>H139-H132</f>
      </c>
      <c r="I146" s="24">
        <f>I139-I132</f>
      </c>
      <c r="J146" s="24">
        <f>J139-J132</f>
      </c>
      <c r="K146" s="24">
        <f>K139-K132</f>
      </c>
      <c r="L146" s="24">
        <f>L139-L132</f>
      </c>
      <c r="M146" s="24">
        <f>M139-M132</f>
      </c>
      <c r="N146" s="24">
        <f>N139-N132</f>
      </c>
      <c r="O146" s="24">
        <f>O139-O132</f>
      </c>
      <c r="P146" s="24">
        <f>P139-P132</f>
      </c>
      <c r="Q146" s="24">
        <f>Q139-Q132</f>
      </c>
      <c r="R146" s="24">
        <f>R139-R132</f>
      </c>
      <c r="S146" s="24">
        <f>S139-S132</f>
      </c>
      <c r="T146" s="24">
        <f>T139-T132</f>
      </c>
      <c r="U146" s="24">
        <f>U139-U132</f>
      </c>
      <c r="V146" s="24">
        <f>V139-V132</f>
      </c>
      <c r="W146" s="24">
        <f>W139-W132</f>
      </c>
      <c r="X146" s="24">
        <f>X139-X132</f>
      </c>
      <c r="Y146" s="24">
        <f>Y139-Y132</f>
      </c>
      <c r="Z146" s="24">
        <f>Z139-Z132</f>
      </c>
      <c r="AA146" s="24">
        <f>AA139-AA132</f>
      </c>
      <c r="AB146" s="24">
        <f>AB139-AB132</f>
      </c>
      <c r="AC146" s="24">
        <f>AC139-AC132</f>
      </c>
      <c r="AD146" s="24">
        <f>AD139-AD132</f>
      </c>
      <c r="AE146" s="24">
        <f>AE139-AE132</f>
      </c>
      <c r="AF146" s="24">
        <f>AF139-AF132</f>
      </c>
      <c r="AG146" s="24">
        <f>AG139-AG132</f>
      </c>
      <c r="AH146" s="24">
        <f>AH139-AH132</f>
      </c>
      <c r="AI146" s="24">
        <f>AI139-AI132</f>
      </c>
      <c r="AJ146" s="24">
        <f>AJ139-AJ132</f>
      </c>
      <c r="AK146" s="24">
        <f>AK139-AK132</f>
      </c>
      <c r="AL146" s="24">
        <f>AL139-AL132</f>
      </c>
      <c r="AM146" s="19"/>
    </row>
    <row r="147" ht="12.75" customHeight="1" spans="2:39" x14ac:dyDescent="0.25">
      <c r="B147" s="16"/>
      <c r="C147" s="17"/>
      <c r="D147" s="17" t="s">
        <v>44</v>
      </c>
      <c r="E147" s="17"/>
      <c r="F147" s="17"/>
      <c r="G147" s="24">
        <f>G140-G133</f>
      </c>
      <c r="H147" s="24">
        <f>H140-H133</f>
      </c>
      <c r="I147" s="24">
        <f>I140-I133</f>
      </c>
      <c r="J147" s="24">
        <f>J140-J133</f>
      </c>
      <c r="K147" s="24">
        <f>K140-K133</f>
      </c>
      <c r="L147" s="24">
        <f>L140-L133</f>
      </c>
      <c r="M147" s="24">
        <f>M140-M133</f>
      </c>
      <c r="N147" s="24">
        <f>N140-N133</f>
      </c>
      <c r="O147" s="24">
        <f>O140-O133</f>
      </c>
      <c r="P147" s="24">
        <f>P140-P133</f>
      </c>
      <c r="Q147" s="24">
        <f>Q140-Q133</f>
      </c>
      <c r="R147" s="24">
        <f>R140-R133</f>
      </c>
      <c r="S147" s="24">
        <f>S140-S133</f>
      </c>
      <c r="T147" s="24">
        <f>T140-T133</f>
      </c>
      <c r="U147" s="24">
        <f>U140-U133</f>
      </c>
      <c r="V147" s="24">
        <f>V140-V133</f>
      </c>
      <c r="W147" s="24">
        <f>W140-W133</f>
      </c>
      <c r="X147" s="24">
        <f>X140-X133</f>
      </c>
      <c r="Y147" s="24">
        <f>Y140-Y133</f>
      </c>
      <c r="Z147" s="24">
        <f>Z140-Z133</f>
      </c>
      <c r="AA147" s="24">
        <f>AA140-AA133</f>
      </c>
      <c r="AB147" s="24">
        <f>AB140-AB133</f>
      </c>
      <c r="AC147" s="24">
        <f>AC140-AC133</f>
      </c>
      <c r="AD147" s="24">
        <f>AD140-AD133</f>
      </c>
      <c r="AE147" s="24">
        <f>AE140-AE133</f>
      </c>
      <c r="AF147" s="24">
        <f>AF140-AF133</f>
      </c>
      <c r="AG147" s="24">
        <f>AG140-AG133</f>
      </c>
      <c r="AH147" s="24">
        <f>AH140-AH133</f>
      </c>
      <c r="AI147" s="24">
        <f>AI140-AI133</f>
      </c>
      <c r="AJ147" s="24">
        <f>AJ140-AJ133</f>
      </c>
      <c r="AK147" s="24">
        <f>AK140-AK133</f>
      </c>
      <c r="AL147" s="24">
        <f>AL140-AL133</f>
      </c>
      <c r="AM147" s="19"/>
    </row>
    <row r="148" ht="12.75" customHeight="1" spans="2:39" x14ac:dyDescent="0.25">
      <c r="B148" s="20"/>
      <c r="C148" s="21"/>
      <c r="D148" s="21" t="s">
        <v>45</v>
      </c>
      <c r="E148" s="21"/>
      <c r="F148" s="21"/>
      <c r="G148" s="25">
        <f>G144+G145+G146+G147</f>
      </c>
      <c r="H148" s="25">
        <f>H144+H145+H146+H147</f>
      </c>
      <c r="I148" s="25">
        <f>I144+I145+I146+I147</f>
      </c>
      <c r="J148" s="25">
        <f>J144+J145+J146+J147</f>
      </c>
      <c r="K148" s="25">
        <f>K144+K145+K146+K147</f>
      </c>
      <c r="L148" s="25">
        <f>L144+L145+L146+L147</f>
      </c>
      <c r="M148" s="25">
        <f>M144+M145+M146+M147</f>
      </c>
      <c r="N148" s="25">
        <f>N144+N145+N146+N147</f>
      </c>
      <c r="O148" s="25">
        <f>O144+O145+O146+O147</f>
      </c>
      <c r="P148" s="25">
        <f>P144+P145+P146+P147</f>
      </c>
      <c r="Q148" s="25">
        <f>Q144+Q145+Q146+Q147</f>
      </c>
      <c r="R148" s="25">
        <f>R144+R145+R146+R147</f>
      </c>
      <c r="S148" s="25">
        <f>S144+S145+S146+S147</f>
      </c>
      <c r="T148" s="25">
        <f>T144+T145+T146+T147</f>
      </c>
      <c r="U148" s="25">
        <f>U144+U145+U146+U147</f>
      </c>
      <c r="V148" s="25">
        <f>V144+V145+V146+V147</f>
      </c>
      <c r="W148" s="25">
        <f>W144+W145+W146+W147</f>
      </c>
      <c r="X148" s="25">
        <f>X144+X145+X146+X147</f>
      </c>
      <c r="Y148" s="25">
        <f>Y144+Y145+Y146+Y147</f>
      </c>
      <c r="Z148" s="25">
        <f>Z144+Z145+Z146+Z147</f>
      </c>
      <c r="AA148" s="25">
        <f>AA144+AA145+AA146+AA147</f>
      </c>
      <c r="AB148" s="25">
        <f>AB144+AB145+AB146+AB147</f>
      </c>
      <c r="AC148" s="25">
        <f>AC144+AC145+AC146+AC147</f>
      </c>
      <c r="AD148" s="25">
        <f>AD144+AD145+AD146+AD147</f>
      </c>
      <c r="AE148" s="25">
        <f>AE144+AE145+AE146+AE147</f>
      </c>
      <c r="AF148" s="25">
        <f>AF144+AF145+AF146+AF147</f>
      </c>
      <c r="AG148" s="25">
        <f>AG144+AG145+AG146+AG147</f>
      </c>
      <c r="AH148" s="25">
        <f>AH144+AH145+AH146+AH147</f>
      </c>
      <c r="AI148" s="25">
        <f>AI144+AI145+AI146+AI147</f>
      </c>
      <c r="AJ148" s="25">
        <f>AJ144+AJ145+AJ146+AJ147</f>
      </c>
      <c r="AK148" s="25">
        <f>AK144+AK145+AK146+AK147</f>
      </c>
      <c r="AL148" s="25">
        <f>AL144+AL145+AL146+AL147</f>
      </c>
      <c r="AM148" s="23"/>
    </row>
  </sheetData>
  <autoFilter ref="B6:AM6"/>
  <mergeCells count="3">
    <mergeCell ref="B5:C5"/>
    <mergeCell ref="D5:E5"/>
    <mergeCell ref="F5:AM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27"/>
  <sheetViews>
    <sheetView workbookViewId="0" showGridLines="0" zoomScale="85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33" customWidth="1"/>
    <col min="4" max="4" width="23" customWidth="1"/>
    <col min="5" max="35" width="13.14" customWidth="1"/>
    <col min="36" max="36" width="11.43" customWidth="1"/>
    <col min="37" max="37" width="16.43" customWidth="1"/>
  </cols>
  <sheetData>
    <row r="1" ht="18.75" customHeight="1" spans="2:3" x14ac:dyDescent="0.25">
      <c r="B1" s="1" t="s">
        <v>0</v>
      </c>
      <c r="C1" s="1" t="s">
        <v>1</v>
      </c>
    </row>
    <row r="2" ht="12.75" customHeight="1" spans="2:35" x14ac:dyDescent="0.25">
      <c r="B2" s="2" t="s">
        <v>2</v>
      </c>
      <c r="C2" s="3" t="s">
        <v>3</v>
      </c>
      <c r="E2" s="4">
        <v>12</v>
      </c>
      <c r="F2" s="4">
        <v>1</v>
      </c>
      <c r="G2" s="4">
        <v>11</v>
      </c>
      <c r="H2" s="4">
        <v>12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11</v>
      </c>
      <c r="T2" s="4">
        <v>12</v>
      </c>
      <c r="U2" s="4">
        <v>1</v>
      </c>
      <c r="V2" s="4">
        <v>2</v>
      </c>
      <c r="W2" s="4">
        <v>3</v>
      </c>
      <c r="X2" s="4">
        <v>4</v>
      </c>
      <c r="Y2" s="4">
        <v>5</v>
      </c>
      <c r="Z2" s="4">
        <v>6</v>
      </c>
      <c r="AA2" s="4">
        <v>7</v>
      </c>
      <c r="AB2" s="4">
        <v>8</v>
      </c>
      <c r="AC2" s="4">
        <v>9</v>
      </c>
      <c r="AD2" s="4">
        <v>10</v>
      </c>
      <c r="AE2" s="4">
        <v>11</v>
      </c>
      <c r="AF2" s="4">
        <v>12</v>
      </c>
      <c r="AG2" s="4">
        <v>1</v>
      </c>
      <c r="AH2" s="4">
        <v>2</v>
      </c>
      <c r="AI2" s="4">
        <v>3</v>
      </c>
    </row>
    <row r="3" ht="12.75" customHeight="1" spans="5:35" x14ac:dyDescent="0.25">
      <c r="E3" s="4">
        <v>1899</v>
      </c>
      <c r="F3" s="4">
        <v>2023</v>
      </c>
      <c r="G3" s="4">
        <v>2023</v>
      </c>
      <c r="H3" s="4">
        <v>2023</v>
      </c>
      <c r="I3" s="4">
        <v>2024</v>
      </c>
      <c r="J3" s="4">
        <v>2024</v>
      </c>
      <c r="K3" s="4">
        <v>2024</v>
      </c>
      <c r="L3" s="4">
        <v>2024</v>
      </c>
      <c r="M3" s="4">
        <v>2024</v>
      </c>
      <c r="N3" s="4">
        <v>2024</v>
      </c>
      <c r="O3" s="4">
        <v>2024</v>
      </c>
      <c r="P3" s="4">
        <v>2024</v>
      </c>
      <c r="Q3" s="4">
        <v>2024</v>
      </c>
      <c r="R3" s="4">
        <v>2024</v>
      </c>
      <c r="S3" s="4">
        <v>2024</v>
      </c>
      <c r="T3" s="4">
        <v>2024</v>
      </c>
      <c r="U3" s="4">
        <v>2025</v>
      </c>
      <c r="V3" s="4">
        <v>2025</v>
      </c>
      <c r="W3" s="4">
        <v>2025</v>
      </c>
      <c r="X3" s="4">
        <v>2025</v>
      </c>
      <c r="Y3" s="4">
        <v>2025</v>
      </c>
      <c r="Z3" s="4">
        <v>2025</v>
      </c>
      <c r="AA3" s="4">
        <v>2025</v>
      </c>
      <c r="AB3" s="4">
        <v>2025</v>
      </c>
      <c r="AC3" s="4">
        <v>2025</v>
      </c>
      <c r="AD3" s="4">
        <v>2025</v>
      </c>
      <c r="AE3" s="4">
        <v>2025</v>
      </c>
      <c r="AF3" s="4">
        <v>2025</v>
      </c>
      <c r="AG3" s="4">
        <v>2026</v>
      </c>
      <c r="AH3" s="4">
        <v>2026</v>
      </c>
      <c r="AI3" s="4">
        <v>2026</v>
      </c>
    </row>
    <row r="4" ht="12.75" customHeight="1" x14ac:dyDescent="0.25"/>
    <row r="5" ht="13.5" customHeight="1" spans="2:37" x14ac:dyDescent="0.25"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6.5" customHeight="1" spans="2:37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32</v>
      </c>
      <c r="AE6" s="8" t="s">
        <v>33</v>
      </c>
      <c r="AF6" s="8" t="s">
        <v>34</v>
      </c>
      <c r="AG6" s="8" t="s">
        <v>35</v>
      </c>
      <c r="AH6" s="8" t="s">
        <v>36</v>
      </c>
      <c r="AI6" s="8" t="s">
        <v>37</v>
      </c>
      <c r="AJ6" s="9" t="s">
        <v>38</v>
      </c>
      <c r="AK6" s="10" t="s">
        <v>39</v>
      </c>
    </row>
    <row r="7" ht="12.75" customHeight="1" x14ac:dyDescent="0.25"/>
    <row r="8" ht="12.75" customHeight="1" spans="2:37" x14ac:dyDescent="0.25">
      <c r="B8" s="11" t="s">
        <v>40</v>
      </c>
      <c r="C8" s="12"/>
      <c r="D8" s="13"/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4" t="s">
        <v>14</v>
      </c>
      <c r="M8" s="14" t="s">
        <v>15</v>
      </c>
      <c r="N8" s="14" t="s">
        <v>16</v>
      </c>
      <c r="O8" s="14" t="s">
        <v>17</v>
      </c>
      <c r="P8" s="14" t="s">
        <v>18</v>
      </c>
      <c r="Q8" s="14" t="s">
        <v>19</v>
      </c>
      <c r="R8" s="14" t="s">
        <v>20</v>
      </c>
      <c r="S8" s="14" t="s">
        <v>21</v>
      </c>
      <c r="T8" s="14" t="s">
        <v>22</v>
      </c>
      <c r="U8" s="14" t="s">
        <v>23</v>
      </c>
      <c r="V8" s="14" t="s">
        <v>24</v>
      </c>
      <c r="W8" s="14" t="s">
        <v>25</v>
      </c>
      <c r="X8" s="14" t="s">
        <v>26</v>
      </c>
      <c r="Y8" s="14" t="s">
        <v>27</v>
      </c>
      <c r="Z8" s="14" t="s">
        <v>28</v>
      </c>
      <c r="AA8" s="14" t="s">
        <v>29</v>
      </c>
      <c r="AB8" s="14" t="s">
        <v>30</v>
      </c>
      <c r="AC8" s="14" t="s">
        <v>31</v>
      </c>
      <c r="AD8" s="14" t="s">
        <v>32</v>
      </c>
      <c r="AE8" s="14" t="s">
        <v>33</v>
      </c>
      <c r="AF8" s="14" t="s">
        <v>34</v>
      </c>
      <c r="AG8" s="14" t="s">
        <v>35</v>
      </c>
      <c r="AH8" s="14" t="s">
        <v>36</v>
      </c>
      <c r="AI8" s="14" t="s">
        <v>37</v>
      </c>
      <c r="AJ8" s="14" t="s">
        <v>38</v>
      </c>
      <c r="AK8" s="15"/>
    </row>
    <row r="9" ht="12.75" customHeight="1" spans="2:37" x14ac:dyDescent="0.25">
      <c r="B9" s="16" t="s">
        <v>41</v>
      </c>
      <c r="C9" s="17"/>
      <c r="D9" s="17"/>
      <c r="E9" s="18">
        <f>'Agave Village (ag011)'!E62+'Agave Village LLC'!E51+'Brookhaven Estates (bo260)'!E44+'Brookhaven RV Resort'!E40+'Courtly Manor'!E33+'Courtly Manor Park (co669)'!E34+'Cross Creek RV'!E129+'Cross Creek RV Resort (cr994)'!E135+'El Rio De Oro (el289)'!E31+'El Rio del Oro'!E34+'Endless Summer RV Resort'!E52+'Endless Summer RV Resort (en079'!E44+Evergreen!E31+'Far Horizons'!E31+'Far Horizons (fa105)'!E31+'Floridian Sandalwood (fl356)'!E28+'Floridian Sandalwood MHC'!E32+Glenhaven!E36+'Glenhaven Estates (gl317)'!E36+'Harbor Lights (ha310)'!E37+'Harbor Lights MHC'!E35+'Harvest Gate'!E45+'Hunter Run RV Estates'!E86+'Hunters Run RV Estates (hu116)'!E199+'Jade Isle (ja068)'!E28+'Jade Isle MHC'!E30+'Kakusha Estates (ka045)'!E34+'Kakusha MHC'!E33+'Lakeside Village'!E39+'Lakeside Village (la482)'!E41+'Lakewood Village (la481)'!E100+'Lakewood Village MHC LLC'!E120+'Maple Corner'!E53+'Maple Corner (ma490)'!E43+'Marlboro Court (ma489)'!E31+'Marlboro Court MHC LLC'!E31+'May Manor'!E135+'May Manor (ma488)'!E67+'Mobiland by the Sea (mo320)'!E36+'Mobiland By The Sea MHC'!E37+'Moss Landing'!E64+'Moss Landing (mo321)'!E56+'Oak Springs'!E68+'Oak Springs MHC (oa150)'!E44+'Orange Manor East'!E33+'Orange Manor East (or125)'!E36+'Pacific Manor'!E42+'Pacific Manor (pa602)'!E44+Parkhaven!E99+Ridgecrest!E49+Riverest!E43+'Riverview MHRV LLC'!E46+Rosehaven!E111+'Sanctuary RV Resort'!E223+'Shadow Mountain MHC'!E30+Springhaven!E30+'Star Valley Ranch'!E41+Sunhaven!E37+'Sunny Grove'!E36+Tarponaire!E40+'Val Vista RV Resort'!E69+'Webster RV Resort LLC'!E56+'Wekiva Falls RV Resort'!E80+'West Jupiter RV Resort'!E37+'Western Way RV Resort LLC'!E129</f>
      </c>
      <c r="F9" s="18">
        <f>'Agave Village (ag011)'!F62+'Agave Village LLC'!F51+'Brookhaven Estates (bo260)'!F44+'Brookhaven RV Resort'!F40+'Courtly Manor'!F33+'Courtly Manor Park (co669)'!F34+'Cross Creek RV'!F129+'Cross Creek RV Resort (cr994)'!F135+'El Rio De Oro (el289)'!F31+'El Rio del Oro'!F34+'Endless Summer RV Resort'!F52+'Endless Summer RV Resort (en079'!F44+Evergreen!F31+'Far Horizons'!F31+'Far Horizons (fa105)'!F31+'Floridian Sandalwood (fl356)'!F28+'Floridian Sandalwood MHC'!F32+Glenhaven!F36+'Glenhaven Estates (gl317)'!F36+'Harbor Lights (ha310)'!F37+'Harbor Lights MHC'!F35+'Harvest Gate'!F45+'Hunter Run RV Estates'!F86+'Hunters Run RV Estates (hu116)'!F199+'Jade Isle (ja068)'!F28+'Jade Isle MHC'!F30+'Kakusha Estates (ka045)'!F34+'Kakusha MHC'!F33+'Lakeside Village'!F39+'Lakeside Village (la482)'!F41+'Lakewood Village (la481)'!F100+'Lakewood Village MHC LLC'!F120+'Maple Corner'!F53+'Maple Corner (ma490)'!F43+'Marlboro Court (ma489)'!F31+'Marlboro Court MHC LLC'!F31+'May Manor'!F135+'May Manor (ma488)'!F67+'Mobiland by the Sea (mo320)'!F36+'Mobiland By The Sea MHC'!F37+'Moss Landing'!F64+'Moss Landing (mo321)'!F56+'Oak Springs'!F68+'Oak Springs MHC (oa150)'!F44+'Orange Manor East'!F33+'Orange Manor East (or125)'!F36+'Pacific Manor'!F42+'Pacific Manor (pa602)'!F44+Parkhaven!F99+Ridgecrest!F49+Riverest!F43+'Riverview MHRV LLC'!F46+Rosehaven!F111+'Sanctuary RV Resort'!F223+'Shadow Mountain MHC'!F30+Springhaven!F30+'Star Valley Ranch'!F41+Sunhaven!F37+'Sunny Grove'!F36+Tarponaire!F40+'Val Vista RV Resort'!F69+'Webster RV Resort LLC'!F56+'Wekiva Falls RV Resort'!F80+'West Jupiter RV Resort'!F37+'Western Way RV Resort LLC'!F129</f>
      </c>
      <c r="G9" s="18">
        <f>'Agave Village (ag011)'!G62+'Agave Village LLC'!G51+'Brookhaven Estates (bo260)'!G44+'Brookhaven RV Resort'!G40+'Courtly Manor'!G33+'Courtly Manor Park (co669)'!G34+'Cross Creek RV'!G129+'Cross Creek RV Resort (cr994)'!G135+'El Rio De Oro (el289)'!G31+'El Rio del Oro'!G34+'Endless Summer RV Resort'!G52+'Endless Summer RV Resort (en079'!G44+Evergreen!G31+'Far Horizons'!G31+'Far Horizons (fa105)'!G31+'Floridian Sandalwood (fl356)'!G28+'Floridian Sandalwood MHC'!G32+Glenhaven!G36+'Glenhaven Estates (gl317)'!G36+'Harbor Lights (ha310)'!G37+'Harbor Lights MHC'!G35+'Harvest Gate'!G45+'Hunter Run RV Estates'!G86+'Hunters Run RV Estates (hu116)'!G199+'Jade Isle (ja068)'!G28+'Jade Isle MHC'!G30+'Kakusha Estates (ka045)'!G34+'Kakusha MHC'!G33+'Lakeside Village'!G39+'Lakeside Village (la482)'!G41+'Lakewood Village (la481)'!G100+'Lakewood Village MHC LLC'!G120+'Maple Corner'!G53+'Maple Corner (ma490)'!G43+'Marlboro Court (ma489)'!G31+'Marlboro Court MHC LLC'!G31+'May Manor'!G135+'May Manor (ma488)'!G67+'Mobiland by the Sea (mo320)'!G36+'Mobiland By The Sea MHC'!G37+'Moss Landing'!G64+'Moss Landing (mo321)'!G56+'Oak Springs'!G68+'Oak Springs MHC (oa150)'!G44+'Orange Manor East'!G33+'Orange Manor East (or125)'!G36+'Pacific Manor'!G42+'Pacific Manor (pa602)'!G44+Parkhaven!G99+Ridgecrest!G49+Riverest!G43+'Riverview MHRV LLC'!G46+Rosehaven!G111+'Sanctuary RV Resort'!G223+'Shadow Mountain MHC'!G30+Springhaven!G30+'Star Valley Ranch'!G41+Sunhaven!G37+'Sunny Grove'!G36+Tarponaire!G40+'Val Vista RV Resort'!G69+'Webster RV Resort LLC'!G56+'Wekiva Falls RV Resort'!G80+'West Jupiter RV Resort'!G37+'Western Way RV Resort LLC'!G129</f>
      </c>
      <c r="H9" s="18">
        <f>'Agave Village (ag011)'!H62+'Agave Village LLC'!H51+'Brookhaven Estates (bo260)'!H44+'Brookhaven RV Resort'!H40+'Courtly Manor'!H33+'Courtly Manor Park (co669)'!H34+'Cross Creek RV'!H129+'Cross Creek RV Resort (cr994)'!H135+'El Rio De Oro (el289)'!H31+'El Rio del Oro'!H34+'Endless Summer RV Resort'!H52+'Endless Summer RV Resort (en079'!H44+Evergreen!H31+'Far Horizons'!H31+'Far Horizons (fa105)'!H31+'Floridian Sandalwood (fl356)'!H28+'Floridian Sandalwood MHC'!H32+Glenhaven!H36+'Glenhaven Estates (gl317)'!H36+'Harbor Lights (ha310)'!H37+'Harbor Lights MHC'!H35+'Harvest Gate'!H45+'Hunter Run RV Estates'!H86+'Hunters Run RV Estates (hu116)'!H199+'Jade Isle (ja068)'!H28+'Jade Isle MHC'!H30+'Kakusha Estates (ka045)'!H34+'Kakusha MHC'!H33+'Lakeside Village'!H39+'Lakeside Village (la482)'!H41+'Lakewood Village (la481)'!H100+'Lakewood Village MHC LLC'!H120+'Maple Corner'!H53+'Maple Corner (ma490)'!H43+'Marlboro Court (ma489)'!H31+'Marlboro Court MHC LLC'!H31+'May Manor'!H135+'May Manor (ma488)'!H67+'Mobiland by the Sea (mo320)'!H36+'Mobiland By The Sea MHC'!H37+'Moss Landing'!H64+'Moss Landing (mo321)'!H56+'Oak Springs'!H68+'Oak Springs MHC (oa150)'!H44+'Orange Manor East'!H33+'Orange Manor East (or125)'!H36+'Pacific Manor'!H42+'Pacific Manor (pa602)'!H44+Parkhaven!H99+Ridgecrest!H49+Riverest!H43+'Riverview MHRV LLC'!H46+Rosehaven!H111+'Sanctuary RV Resort'!H223+'Shadow Mountain MHC'!H30+Springhaven!H30+'Star Valley Ranch'!H41+Sunhaven!H37+'Sunny Grove'!H36+Tarponaire!H40+'Val Vista RV Resort'!H69+'Webster RV Resort LLC'!H56+'Wekiva Falls RV Resort'!H80+'West Jupiter RV Resort'!H37+'Western Way RV Resort LLC'!H129</f>
      </c>
      <c r="I9" s="18">
        <f>'Agave Village (ag011)'!I62+'Agave Village LLC'!I51+'Brookhaven Estates (bo260)'!I44+'Brookhaven RV Resort'!I40+'Courtly Manor'!I33+'Courtly Manor Park (co669)'!I34+'Cross Creek RV'!I129+'Cross Creek RV Resort (cr994)'!I135+'El Rio De Oro (el289)'!I31+'El Rio del Oro'!I34+'Endless Summer RV Resort'!I52+'Endless Summer RV Resort (en079'!I44+Evergreen!I31+'Far Horizons'!I31+'Far Horizons (fa105)'!I31+'Floridian Sandalwood (fl356)'!I28+'Floridian Sandalwood MHC'!I32+Glenhaven!I36+'Glenhaven Estates (gl317)'!I36+'Harbor Lights (ha310)'!I37+'Harbor Lights MHC'!I35+'Harvest Gate'!I45+'Hunter Run RV Estates'!I86+'Hunters Run RV Estates (hu116)'!I199+'Jade Isle (ja068)'!I28+'Jade Isle MHC'!I30+'Kakusha Estates (ka045)'!I34+'Kakusha MHC'!I33+'Lakeside Village'!I39+'Lakeside Village (la482)'!I41+'Lakewood Village (la481)'!I100+'Lakewood Village MHC LLC'!I120+'Maple Corner'!I53+'Maple Corner (ma490)'!I43+'Marlboro Court (ma489)'!I31+'Marlboro Court MHC LLC'!I31+'May Manor'!I135+'May Manor (ma488)'!I67+'Mobiland by the Sea (mo320)'!I36+'Mobiland By The Sea MHC'!I37+'Moss Landing'!I64+'Moss Landing (mo321)'!I56+'Oak Springs'!I68+'Oak Springs MHC (oa150)'!I44+'Orange Manor East'!I33+'Orange Manor East (or125)'!I36+'Pacific Manor'!I42+'Pacific Manor (pa602)'!I44+Parkhaven!I99+Ridgecrest!I49+Riverest!I43+'Riverview MHRV LLC'!I46+Rosehaven!I111+'Sanctuary RV Resort'!I223+'Shadow Mountain MHC'!I30+Springhaven!I30+'Star Valley Ranch'!I41+Sunhaven!I37+'Sunny Grove'!I36+Tarponaire!I40+'Val Vista RV Resort'!I69+'Webster RV Resort LLC'!I56+'Wekiva Falls RV Resort'!I80+'West Jupiter RV Resort'!I37+'Western Way RV Resort LLC'!I129</f>
      </c>
      <c r="J9" s="18">
        <f>'Agave Village (ag011)'!J62+'Agave Village LLC'!J51+'Brookhaven Estates (bo260)'!J44+'Brookhaven RV Resort'!J40+'Courtly Manor'!J33+'Courtly Manor Park (co669)'!J34+'Cross Creek RV'!J129+'Cross Creek RV Resort (cr994)'!J135+'El Rio De Oro (el289)'!J31+'El Rio del Oro'!J34+'Endless Summer RV Resort'!J52+'Endless Summer RV Resort (en079'!J44+Evergreen!J31+'Far Horizons'!J31+'Far Horizons (fa105)'!J31+'Floridian Sandalwood (fl356)'!J28+'Floridian Sandalwood MHC'!J32+Glenhaven!J36+'Glenhaven Estates (gl317)'!J36+'Harbor Lights (ha310)'!J37+'Harbor Lights MHC'!J35+'Harvest Gate'!J45+'Hunter Run RV Estates'!J86+'Hunters Run RV Estates (hu116)'!J199+'Jade Isle (ja068)'!J28+'Jade Isle MHC'!J30+'Kakusha Estates (ka045)'!J34+'Kakusha MHC'!J33+'Lakeside Village'!J39+'Lakeside Village (la482)'!J41+'Lakewood Village (la481)'!J100+'Lakewood Village MHC LLC'!J120+'Maple Corner'!J53+'Maple Corner (ma490)'!J43+'Marlboro Court (ma489)'!J31+'Marlboro Court MHC LLC'!J31+'May Manor'!J135+'May Manor (ma488)'!J67+'Mobiland by the Sea (mo320)'!J36+'Mobiland By The Sea MHC'!J37+'Moss Landing'!J64+'Moss Landing (mo321)'!J56+'Oak Springs'!J68+'Oak Springs MHC (oa150)'!J44+'Orange Manor East'!J33+'Orange Manor East (or125)'!J36+'Pacific Manor'!J42+'Pacific Manor (pa602)'!J44+Parkhaven!J99+Ridgecrest!J49+Riverest!J43+'Riverview MHRV LLC'!J46+Rosehaven!J111+'Sanctuary RV Resort'!J223+'Shadow Mountain MHC'!J30+Springhaven!J30+'Star Valley Ranch'!J41+Sunhaven!J37+'Sunny Grove'!J36+Tarponaire!J40+'Val Vista RV Resort'!J69+'Webster RV Resort LLC'!J56+'Wekiva Falls RV Resort'!J80+'West Jupiter RV Resort'!J37+'Western Way RV Resort LLC'!J129</f>
      </c>
      <c r="K9" s="18">
        <f>'Agave Village (ag011)'!K62+'Agave Village LLC'!K51+'Brookhaven Estates (bo260)'!K44+'Brookhaven RV Resort'!K40+'Courtly Manor'!K33+'Courtly Manor Park (co669)'!K34+'Cross Creek RV'!K129+'Cross Creek RV Resort (cr994)'!K135+'El Rio De Oro (el289)'!K31+'El Rio del Oro'!K34+'Endless Summer RV Resort'!K52+'Endless Summer RV Resort (en079'!K44+Evergreen!K31+'Far Horizons'!K31+'Far Horizons (fa105)'!K31+'Floridian Sandalwood (fl356)'!K28+'Floridian Sandalwood MHC'!K32+Glenhaven!K36+'Glenhaven Estates (gl317)'!K36+'Harbor Lights (ha310)'!K37+'Harbor Lights MHC'!K35+'Harvest Gate'!K45+'Hunter Run RV Estates'!K86+'Hunters Run RV Estates (hu116)'!K199+'Jade Isle (ja068)'!K28+'Jade Isle MHC'!K30+'Kakusha Estates (ka045)'!K34+'Kakusha MHC'!K33+'Lakeside Village'!K39+'Lakeside Village (la482)'!K41+'Lakewood Village (la481)'!K100+'Lakewood Village MHC LLC'!K120+'Maple Corner'!K53+'Maple Corner (ma490)'!K43+'Marlboro Court (ma489)'!K31+'Marlboro Court MHC LLC'!K31+'May Manor'!K135+'May Manor (ma488)'!K67+'Mobiland by the Sea (mo320)'!K36+'Mobiland By The Sea MHC'!K37+'Moss Landing'!K64+'Moss Landing (mo321)'!K56+'Oak Springs'!K68+'Oak Springs MHC (oa150)'!K44+'Orange Manor East'!K33+'Orange Manor East (or125)'!K36+'Pacific Manor'!K42+'Pacific Manor (pa602)'!K44+Parkhaven!K99+Ridgecrest!K49+Riverest!K43+'Riverview MHRV LLC'!K46+Rosehaven!K111+'Sanctuary RV Resort'!K223+'Shadow Mountain MHC'!K30+Springhaven!K30+'Star Valley Ranch'!K41+Sunhaven!K37+'Sunny Grove'!K36+Tarponaire!K40+'Val Vista RV Resort'!K69+'Webster RV Resort LLC'!K56+'Wekiva Falls RV Resort'!K80+'West Jupiter RV Resort'!K37+'Western Way RV Resort LLC'!K129</f>
      </c>
      <c r="L9" s="18">
        <f>'Agave Village (ag011)'!L62+'Agave Village LLC'!L51+'Brookhaven Estates (bo260)'!L44+'Brookhaven RV Resort'!L40+'Courtly Manor'!L33+'Courtly Manor Park (co669)'!L34+'Cross Creek RV'!L129+'Cross Creek RV Resort (cr994)'!L135+'El Rio De Oro (el289)'!L31+'El Rio del Oro'!L34+'Endless Summer RV Resort'!L52+'Endless Summer RV Resort (en079'!L44+Evergreen!L31+'Far Horizons'!L31+'Far Horizons (fa105)'!L31+'Floridian Sandalwood (fl356)'!L28+'Floridian Sandalwood MHC'!L32+Glenhaven!L36+'Glenhaven Estates (gl317)'!L36+'Harbor Lights (ha310)'!L37+'Harbor Lights MHC'!L35+'Harvest Gate'!L45+'Hunter Run RV Estates'!L86+'Hunters Run RV Estates (hu116)'!L199+'Jade Isle (ja068)'!L28+'Jade Isle MHC'!L30+'Kakusha Estates (ka045)'!L34+'Kakusha MHC'!L33+'Lakeside Village'!L39+'Lakeside Village (la482)'!L41+'Lakewood Village (la481)'!L100+'Lakewood Village MHC LLC'!L120+'Maple Corner'!L53+'Maple Corner (ma490)'!L43+'Marlboro Court (ma489)'!L31+'Marlboro Court MHC LLC'!L31+'May Manor'!L135+'May Manor (ma488)'!L67+'Mobiland by the Sea (mo320)'!L36+'Mobiland By The Sea MHC'!L37+'Moss Landing'!L64+'Moss Landing (mo321)'!L56+'Oak Springs'!L68+'Oak Springs MHC (oa150)'!L44+'Orange Manor East'!L33+'Orange Manor East (or125)'!L36+'Pacific Manor'!L42+'Pacific Manor (pa602)'!L44+Parkhaven!L99+Ridgecrest!L49+Riverest!L43+'Riverview MHRV LLC'!L46+Rosehaven!L111+'Sanctuary RV Resort'!L223+'Shadow Mountain MHC'!L30+Springhaven!L30+'Star Valley Ranch'!L41+Sunhaven!L37+'Sunny Grove'!L36+Tarponaire!L40+'Val Vista RV Resort'!L69+'Webster RV Resort LLC'!L56+'Wekiva Falls RV Resort'!L80+'West Jupiter RV Resort'!L37+'Western Way RV Resort LLC'!L129</f>
      </c>
      <c r="M9" s="18">
        <f>'Agave Village (ag011)'!M62+'Agave Village LLC'!M51+'Brookhaven Estates (bo260)'!M44+'Brookhaven RV Resort'!M40+'Courtly Manor'!M33+'Courtly Manor Park (co669)'!M34+'Cross Creek RV'!M129+'Cross Creek RV Resort (cr994)'!M135+'El Rio De Oro (el289)'!M31+'El Rio del Oro'!M34+'Endless Summer RV Resort'!M52+'Endless Summer RV Resort (en079'!M44+Evergreen!M31+'Far Horizons'!M31+'Far Horizons (fa105)'!M31+'Floridian Sandalwood (fl356)'!M28+'Floridian Sandalwood MHC'!M32+Glenhaven!M36+'Glenhaven Estates (gl317)'!M36+'Harbor Lights (ha310)'!M37+'Harbor Lights MHC'!M35+'Harvest Gate'!M45+'Hunter Run RV Estates'!M86+'Hunters Run RV Estates (hu116)'!M199+'Jade Isle (ja068)'!M28+'Jade Isle MHC'!M30+'Kakusha Estates (ka045)'!M34+'Kakusha MHC'!M33+'Lakeside Village'!M39+'Lakeside Village (la482)'!M41+'Lakewood Village (la481)'!M100+'Lakewood Village MHC LLC'!M120+'Maple Corner'!M53+'Maple Corner (ma490)'!M43+'Marlboro Court (ma489)'!M31+'Marlboro Court MHC LLC'!M31+'May Manor'!M135+'May Manor (ma488)'!M67+'Mobiland by the Sea (mo320)'!M36+'Mobiland By The Sea MHC'!M37+'Moss Landing'!M64+'Moss Landing (mo321)'!M56+'Oak Springs'!M68+'Oak Springs MHC (oa150)'!M44+'Orange Manor East'!M33+'Orange Manor East (or125)'!M36+'Pacific Manor'!M42+'Pacific Manor (pa602)'!M44+Parkhaven!M99+Ridgecrest!M49+Riverest!M43+'Riverview MHRV LLC'!M46+Rosehaven!M111+'Sanctuary RV Resort'!M223+'Shadow Mountain MHC'!M30+Springhaven!M30+'Star Valley Ranch'!M41+Sunhaven!M37+'Sunny Grove'!M36+Tarponaire!M40+'Val Vista RV Resort'!M69+'Webster RV Resort LLC'!M56+'Wekiva Falls RV Resort'!M80+'West Jupiter RV Resort'!M37+'Western Way RV Resort LLC'!M129</f>
      </c>
      <c r="N9" s="18">
        <f>'Agave Village (ag011)'!N62+'Agave Village LLC'!N51+'Brookhaven Estates (bo260)'!N44+'Brookhaven RV Resort'!N40+'Courtly Manor'!N33+'Courtly Manor Park (co669)'!N34+'Cross Creek RV'!N129+'Cross Creek RV Resort (cr994)'!N135+'El Rio De Oro (el289)'!N31+'El Rio del Oro'!N34+'Endless Summer RV Resort'!N52+'Endless Summer RV Resort (en079'!N44+Evergreen!N31+'Far Horizons'!N31+'Far Horizons (fa105)'!N31+'Floridian Sandalwood (fl356)'!N28+'Floridian Sandalwood MHC'!N32+Glenhaven!N36+'Glenhaven Estates (gl317)'!N36+'Harbor Lights (ha310)'!N37+'Harbor Lights MHC'!N35+'Harvest Gate'!N45+'Hunter Run RV Estates'!N86+'Hunters Run RV Estates (hu116)'!N199+'Jade Isle (ja068)'!N28+'Jade Isle MHC'!N30+'Kakusha Estates (ka045)'!N34+'Kakusha MHC'!N33+'Lakeside Village'!N39+'Lakeside Village (la482)'!N41+'Lakewood Village (la481)'!N100+'Lakewood Village MHC LLC'!N120+'Maple Corner'!N53+'Maple Corner (ma490)'!N43+'Marlboro Court (ma489)'!N31+'Marlboro Court MHC LLC'!N31+'May Manor'!N135+'May Manor (ma488)'!N67+'Mobiland by the Sea (mo320)'!N36+'Mobiland By The Sea MHC'!N37+'Moss Landing'!N64+'Moss Landing (mo321)'!N56+'Oak Springs'!N68+'Oak Springs MHC (oa150)'!N44+'Orange Manor East'!N33+'Orange Manor East (or125)'!N36+'Pacific Manor'!N42+'Pacific Manor (pa602)'!N44+Parkhaven!N99+Ridgecrest!N49+Riverest!N43+'Riverview MHRV LLC'!N46+Rosehaven!N111+'Sanctuary RV Resort'!N223+'Shadow Mountain MHC'!N30+Springhaven!N30+'Star Valley Ranch'!N41+Sunhaven!N37+'Sunny Grove'!N36+Tarponaire!N40+'Val Vista RV Resort'!N69+'Webster RV Resort LLC'!N56+'Wekiva Falls RV Resort'!N80+'West Jupiter RV Resort'!N37+'Western Way RV Resort LLC'!N129</f>
      </c>
      <c r="O9" s="18">
        <f>'Agave Village (ag011)'!O62+'Agave Village LLC'!O51+'Brookhaven Estates (bo260)'!O44+'Brookhaven RV Resort'!O40+'Courtly Manor'!O33+'Courtly Manor Park (co669)'!O34+'Cross Creek RV'!O129+'Cross Creek RV Resort (cr994)'!O135+'El Rio De Oro (el289)'!O31+'El Rio del Oro'!O34+'Endless Summer RV Resort'!O52+'Endless Summer RV Resort (en079'!O44+Evergreen!O31+'Far Horizons'!O31+'Far Horizons (fa105)'!O31+'Floridian Sandalwood (fl356)'!O28+'Floridian Sandalwood MHC'!O32+Glenhaven!O36+'Glenhaven Estates (gl317)'!O36+'Harbor Lights (ha310)'!O37+'Harbor Lights MHC'!O35+'Harvest Gate'!O45+'Hunter Run RV Estates'!O86+'Hunters Run RV Estates (hu116)'!O199+'Jade Isle (ja068)'!O28+'Jade Isle MHC'!O30+'Kakusha Estates (ka045)'!O34+'Kakusha MHC'!O33+'Lakeside Village'!O39+'Lakeside Village (la482)'!O41+'Lakewood Village (la481)'!O100+'Lakewood Village MHC LLC'!O120+'Maple Corner'!O53+'Maple Corner (ma490)'!O43+'Marlboro Court (ma489)'!O31+'Marlboro Court MHC LLC'!O31+'May Manor'!O135+'May Manor (ma488)'!O67+'Mobiland by the Sea (mo320)'!O36+'Mobiland By The Sea MHC'!O37+'Moss Landing'!O64+'Moss Landing (mo321)'!O56+'Oak Springs'!O68+'Oak Springs MHC (oa150)'!O44+'Orange Manor East'!O33+'Orange Manor East (or125)'!O36+'Pacific Manor'!O42+'Pacific Manor (pa602)'!O44+Parkhaven!O99+Ridgecrest!O49+Riverest!O43+'Riverview MHRV LLC'!O46+Rosehaven!O111+'Sanctuary RV Resort'!O223+'Shadow Mountain MHC'!O30+Springhaven!O30+'Star Valley Ranch'!O41+Sunhaven!O37+'Sunny Grove'!O36+Tarponaire!O40+'Val Vista RV Resort'!O69+'Webster RV Resort LLC'!O56+'Wekiva Falls RV Resort'!O80+'West Jupiter RV Resort'!O37+'Western Way RV Resort LLC'!O129</f>
      </c>
      <c r="P9" s="18">
        <f>'Agave Village (ag011)'!P62+'Agave Village LLC'!P51+'Brookhaven Estates (bo260)'!P44+'Brookhaven RV Resort'!P40+'Courtly Manor'!P33+'Courtly Manor Park (co669)'!P34+'Cross Creek RV'!P129+'Cross Creek RV Resort (cr994)'!P135+'El Rio De Oro (el289)'!P31+'El Rio del Oro'!P34+'Endless Summer RV Resort'!P52+'Endless Summer RV Resort (en079'!P44+Evergreen!P31+'Far Horizons'!P31+'Far Horizons (fa105)'!P31+'Floridian Sandalwood (fl356)'!P28+'Floridian Sandalwood MHC'!P32+Glenhaven!P36+'Glenhaven Estates (gl317)'!P36+'Harbor Lights (ha310)'!P37+'Harbor Lights MHC'!P35+'Harvest Gate'!P45+'Hunter Run RV Estates'!P86+'Hunters Run RV Estates (hu116)'!P199+'Jade Isle (ja068)'!P28+'Jade Isle MHC'!P30+'Kakusha Estates (ka045)'!P34+'Kakusha MHC'!P33+'Lakeside Village'!P39+'Lakeside Village (la482)'!P41+'Lakewood Village (la481)'!P100+'Lakewood Village MHC LLC'!P120+'Maple Corner'!P53+'Maple Corner (ma490)'!P43+'Marlboro Court (ma489)'!P31+'Marlboro Court MHC LLC'!P31+'May Manor'!P135+'May Manor (ma488)'!P67+'Mobiland by the Sea (mo320)'!P36+'Mobiland By The Sea MHC'!P37+'Moss Landing'!P64+'Moss Landing (mo321)'!P56+'Oak Springs'!P68+'Oak Springs MHC (oa150)'!P44+'Orange Manor East'!P33+'Orange Manor East (or125)'!P36+'Pacific Manor'!P42+'Pacific Manor (pa602)'!P44+Parkhaven!P99+Ridgecrest!P49+Riverest!P43+'Riverview MHRV LLC'!P46+Rosehaven!P111+'Sanctuary RV Resort'!P223+'Shadow Mountain MHC'!P30+Springhaven!P30+'Star Valley Ranch'!P41+Sunhaven!P37+'Sunny Grove'!P36+Tarponaire!P40+'Val Vista RV Resort'!P69+'Webster RV Resort LLC'!P56+'Wekiva Falls RV Resort'!P80+'West Jupiter RV Resort'!P37+'Western Way RV Resort LLC'!P129</f>
      </c>
      <c r="Q9" s="18">
        <f>'Agave Village (ag011)'!Q62+'Agave Village LLC'!Q51+'Brookhaven Estates (bo260)'!Q44+'Brookhaven RV Resort'!Q40+'Courtly Manor'!Q33+'Courtly Manor Park (co669)'!Q34+'Cross Creek RV'!Q129+'Cross Creek RV Resort (cr994)'!Q135+'El Rio De Oro (el289)'!Q31+'El Rio del Oro'!Q34+'Endless Summer RV Resort'!Q52+'Endless Summer RV Resort (en079'!Q44+Evergreen!Q31+'Far Horizons'!Q31+'Far Horizons (fa105)'!Q31+'Floridian Sandalwood (fl356)'!Q28+'Floridian Sandalwood MHC'!Q32+Glenhaven!Q36+'Glenhaven Estates (gl317)'!Q36+'Harbor Lights (ha310)'!Q37+'Harbor Lights MHC'!Q35+'Harvest Gate'!Q45+'Hunter Run RV Estates'!Q86+'Hunters Run RV Estates (hu116)'!Q199+'Jade Isle (ja068)'!Q28+'Jade Isle MHC'!Q30+'Kakusha Estates (ka045)'!Q34+'Kakusha MHC'!Q33+'Lakeside Village'!Q39+'Lakeside Village (la482)'!Q41+'Lakewood Village (la481)'!Q100+'Lakewood Village MHC LLC'!Q120+'Maple Corner'!Q53+'Maple Corner (ma490)'!Q43+'Marlboro Court (ma489)'!Q31+'Marlboro Court MHC LLC'!Q31+'May Manor'!Q135+'May Manor (ma488)'!Q67+'Mobiland by the Sea (mo320)'!Q36+'Mobiland By The Sea MHC'!Q37+'Moss Landing'!Q64+'Moss Landing (mo321)'!Q56+'Oak Springs'!Q68+'Oak Springs MHC (oa150)'!Q44+'Orange Manor East'!Q33+'Orange Manor East (or125)'!Q36+'Pacific Manor'!Q42+'Pacific Manor (pa602)'!Q44+Parkhaven!Q99+Ridgecrest!Q49+Riverest!Q43+'Riverview MHRV LLC'!Q46+Rosehaven!Q111+'Sanctuary RV Resort'!Q223+'Shadow Mountain MHC'!Q30+Springhaven!Q30+'Star Valley Ranch'!Q41+Sunhaven!Q37+'Sunny Grove'!Q36+Tarponaire!Q40+'Val Vista RV Resort'!Q69+'Webster RV Resort LLC'!Q56+'Wekiva Falls RV Resort'!Q80+'West Jupiter RV Resort'!Q37+'Western Way RV Resort LLC'!Q129</f>
      </c>
      <c r="R9" s="18">
        <f>'Agave Village (ag011)'!R62+'Agave Village LLC'!R51+'Brookhaven Estates (bo260)'!R44+'Brookhaven RV Resort'!R40+'Courtly Manor'!R33+'Courtly Manor Park (co669)'!R34+'Cross Creek RV'!R129+'Cross Creek RV Resort (cr994)'!R135+'El Rio De Oro (el289)'!R31+'El Rio del Oro'!R34+'Endless Summer RV Resort'!R52+'Endless Summer RV Resort (en079'!R44+Evergreen!R31+'Far Horizons'!R31+'Far Horizons (fa105)'!R31+'Floridian Sandalwood (fl356)'!R28+'Floridian Sandalwood MHC'!R32+Glenhaven!R36+'Glenhaven Estates (gl317)'!R36+'Harbor Lights (ha310)'!R37+'Harbor Lights MHC'!R35+'Harvest Gate'!R45+'Hunter Run RV Estates'!R86+'Hunters Run RV Estates (hu116)'!R199+'Jade Isle (ja068)'!R28+'Jade Isle MHC'!R30+'Kakusha Estates (ka045)'!R34+'Kakusha MHC'!R33+'Lakeside Village'!R39+'Lakeside Village (la482)'!R41+'Lakewood Village (la481)'!R100+'Lakewood Village MHC LLC'!R120+'Maple Corner'!R53+'Maple Corner (ma490)'!R43+'Marlboro Court (ma489)'!R31+'Marlboro Court MHC LLC'!R31+'May Manor'!R135+'May Manor (ma488)'!R67+'Mobiland by the Sea (mo320)'!R36+'Mobiland By The Sea MHC'!R37+'Moss Landing'!R64+'Moss Landing (mo321)'!R56+'Oak Springs'!R68+'Oak Springs MHC (oa150)'!R44+'Orange Manor East'!R33+'Orange Manor East (or125)'!R36+'Pacific Manor'!R42+'Pacific Manor (pa602)'!R44+Parkhaven!R99+Ridgecrest!R49+Riverest!R43+'Riverview MHRV LLC'!R46+Rosehaven!R111+'Sanctuary RV Resort'!R223+'Shadow Mountain MHC'!R30+Springhaven!R30+'Star Valley Ranch'!R41+Sunhaven!R37+'Sunny Grove'!R36+Tarponaire!R40+'Val Vista RV Resort'!R69+'Webster RV Resort LLC'!R56+'Wekiva Falls RV Resort'!R80+'West Jupiter RV Resort'!R37+'Western Way RV Resort LLC'!R129</f>
      </c>
      <c r="S9" s="18">
        <f>'Agave Village (ag011)'!S62+'Agave Village LLC'!S51+'Brookhaven Estates (bo260)'!S44+'Brookhaven RV Resort'!S40+'Courtly Manor'!S33+'Courtly Manor Park (co669)'!S34+'Cross Creek RV'!S129+'Cross Creek RV Resort (cr994)'!S135+'El Rio De Oro (el289)'!S31+'El Rio del Oro'!S34+'Endless Summer RV Resort'!S52+'Endless Summer RV Resort (en079'!S44+Evergreen!S31+'Far Horizons'!S31+'Far Horizons (fa105)'!S31+'Floridian Sandalwood (fl356)'!S28+'Floridian Sandalwood MHC'!S32+Glenhaven!S36+'Glenhaven Estates (gl317)'!S36+'Harbor Lights (ha310)'!S37+'Harbor Lights MHC'!S35+'Harvest Gate'!S45+'Hunter Run RV Estates'!S86+'Hunters Run RV Estates (hu116)'!S199+'Jade Isle (ja068)'!S28+'Jade Isle MHC'!S30+'Kakusha Estates (ka045)'!S34+'Kakusha MHC'!S33+'Lakeside Village'!S39+'Lakeside Village (la482)'!S41+'Lakewood Village (la481)'!S100+'Lakewood Village MHC LLC'!S120+'Maple Corner'!S53+'Maple Corner (ma490)'!S43+'Marlboro Court (ma489)'!S31+'Marlboro Court MHC LLC'!S31+'May Manor'!S135+'May Manor (ma488)'!S67+'Mobiland by the Sea (mo320)'!S36+'Mobiland By The Sea MHC'!S37+'Moss Landing'!S64+'Moss Landing (mo321)'!S56+'Oak Springs'!S68+'Oak Springs MHC (oa150)'!S44+'Orange Manor East'!S33+'Orange Manor East (or125)'!S36+'Pacific Manor'!S42+'Pacific Manor (pa602)'!S44+Parkhaven!S99+Ridgecrest!S49+Riverest!S43+'Riverview MHRV LLC'!S46+Rosehaven!S111+'Sanctuary RV Resort'!S223+'Shadow Mountain MHC'!S30+Springhaven!S30+'Star Valley Ranch'!S41+Sunhaven!S37+'Sunny Grove'!S36+Tarponaire!S40+'Val Vista RV Resort'!S69+'Webster RV Resort LLC'!S56+'Wekiva Falls RV Resort'!S80+'West Jupiter RV Resort'!S37+'Western Way RV Resort LLC'!S129</f>
      </c>
      <c r="T9" s="18">
        <f>'Agave Village (ag011)'!T62+'Agave Village LLC'!T51+'Brookhaven Estates (bo260)'!T44+'Brookhaven RV Resort'!T40+'Courtly Manor'!T33+'Courtly Manor Park (co669)'!T34+'Cross Creek RV'!T129+'Cross Creek RV Resort (cr994)'!T135+'El Rio De Oro (el289)'!T31+'El Rio del Oro'!T34+'Endless Summer RV Resort'!T52+'Endless Summer RV Resort (en079'!T44+Evergreen!T31+'Far Horizons'!T31+'Far Horizons (fa105)'!T31+'Floridian Sandalwood (fl356)'!T28+'Floridian Sandalwood MHC'!T32+Glenhaven!T36+'Glenhaven Estates (gl317)'!T36+'Harbor Lights (ha310)'!T37+'Harbor Lights MHC'!T35+'Harvest Gate'!T45+'Hunter Run RV Estates'!T86+'Hunters Run RV Estates (hu116)'!T199+'Jade Isle (ja068)'!T28+'Jade Isle MHC'!T30+'Kakusha Estates (ka045)'!T34+'Kakusha MHC'!T33+'Lakeside Village'!T39+'Lakeside Village (la482)'!T41+'Lakewood Village (la481)'!T100+'Lakewood Village MHC LLC'!T120+'Maple Corner'!T53+'Maple Corner (ma490)'!T43+'Marlboro Court (ma489)'!T31+'Marlboro Court MHC LLC'!T31+'May Manor'!T135+'May Manor (ma488)'!T67+'Mobiland by the Sea (mo320)'!T36+'Mobiland By The Sea MHC'!T37+'Moss Landing'!T64+'Moss Landing (mo321)'!T56+'Oak Springs'!T68+'Oak Springs MHC (oa150)'!T44+'Orange Manor East'!T33+'Orange Manor East (or125)'!T36+'Pacific Manor'!T42+'Pacific Manor (pa602)'!T44+Parkhaven!T99+Ridgecrest!T49+Riverest!T43+'Riverview MHRV LLC'!T46+Rosehaven!T111+'Sanctuary RV Resort'!T223+'Shadow Mountain MHC'!T30+Springhaven!T30+'Star Valley Ranch'!T41+Sunhaven!T37+'Sunny Grove'!T36+Tarponaire!T40+'Val Vista RV Resort'!T69+'Webster RV Resort LLC'!T56+'Wekiva Falls RV Resort'!T80+'West Jupiter RV Resort'!T37+'Western Way RV Resort LLC'!T129</f>
      </c>
      <c r="U9" s="18">
        <f>'Agave Village (ag011)'!U62+'Agave Village LLC'!U51+'Brookhaven Estates (bo260)'!U44+'Brookhaven RV Resort'!U40+'Courtly Manor'!U33+'Courtly Manor Park (co669)'!U34+'Cross Creek RV'!U129+'Cross Creek RV Resort (cr994)'!U135+'El Rio De Oro (el289)'!U31+'El Rio del Oro'!U34+'Endless Summer RV Resort'!U52+'Endless Summer RV Resort (en079'!U44+Evergreen!U31+'Far Horizons'!U31+'Far Horizons (fa105)'!U31+'Floridian Sandalwood (fl356)'!U28+'Floridian Sandalwood MHC'!U32+Glenhaven!U36+'Glenhaven Estates (gl317)'!U36+'Harbor Lights (ha310)'!U37+'Harbor Lights MHC'!U35+'Harvest Gate'!U45+'Hunter Run RV Estates'!U86+'Hunters Run RV Estates (hu116)'!U199+'Jade Isle (ja068)'!U28+'Jade Isle MHC'!U30+'Kakusha Estates (ka045)'!U34+'Kakusha MHC'!U33+'Lakeside Village'!U39+'Lakeside Village (la482)'!U41+'Lakewood Village (la481)'!U100+'Lakewood Village MHC LLC'!U120+'Maple Corner'!U53+'Maple Corner (ma490)'!U43+'Marlboro Court (ma489)'!U31+'Marlboro Court MHC LLC'!U31+'May Manor'!U135+'May Manor (ma488)'!U67+'Mobiland by the Sea (mo320)'!U36+'Mobiland By The Sea MHC'!U37+'Moss Landing'!U64+'Moss Landing (mo321)'!U56+'Oak Springs'!U68+'Oak Springs MHC (oa150)'!U44+'Orange Manor East'!U33+'Orange Manor East (or125)'!U36+'Pacific Manor'!U42+'Pacific Manor (pa602)'!U44+Parkhaven!U99+Ridgecrest!U49+Riverest!U43+'Riverview MHRV LLC'!U46+Rosehaven!U111+'Sanctuary RV Resort'!U223+'Shadow Mountain MHC'!U30+Springhaven!U30+'Star Valley Ranch'!U41+Sunhaven!U37+'Sunny Grove'!U36+Tarponaire!U40+'Val Vista RV Resort'!U69+'Webster RV Resort LLC'!U56+'Wekiva Falls RV Resort'!U80+'West Jupiter RV Resort'!U37+'Western Way RV Resort LLC'!U129</f>
      </c>
      <c r="V9" s="18">
        <f>'Agave Village (ag011)'!V62+'Agave Village LLC'!V51+'Brookhaven Estates (bo260)'!V44+'Brookhaven RV Resort'!V40+'Courtly Manor'!V33+'Courtly Manor Park (co669)'!V34+'Cross Creek RV'!V129+'Cross Creek RV Resort (cr994)'!V135+'El Rio De Oro (el289)'!V31+'El Rio del Oro'!V34+'Endless Summer RV Resort'!V52+'Endless Summer RV Resort (en079'!V44+Evergreen!V31+'Far Horizons'!V31+'Far Horizons (fa105)'!V31+'Floridian Sandalwood (fl356)'!V28+'Floridian Sandalwood MHC'!V32+Glenhaven!V36+'Glenhaven Estates (gl317)'!V36+'Harbor Lights (ha310)'!V37+'Harbor Lights MHC'!V35+'Harvest Gate'!V45+'Hunter Run RV Estates'!V86+'Hunters Run RV Estates (hu116)'!V199+'Jade Isle (ja068)'!V28+'Jade Isle MHC'!V30+'Kakusha Estates (ka045)'!V34+'Kakusha MHC'!V33+'Lakeside Village'!V39+'Lakeside Village (la482)'!V41+'Lakewood Village (la481)'!V100+'Lakewood Village MHC LLC'!V120+'Maple Corner'!V53+'Maple Corner (ma490)'!V43+'Marlboro Court (ma489)'!V31+'Marlboro Court MHC LLC'!V31+'May Manor'!V135+'May Manor (ma488)'!V67+'Mobiland by the Sea (mo320)'!V36+'Mobiland By The Sea MHC'!V37+'Moss Landing'!V64+'Moss Landing (mo321)'!V56+'Oak Springs'!V68+'Oak Springs MHC (oa150)'!V44+'Orange Manor East'!V33+'Orange Manor East (or125)'!V36+'Pacific Manor'!V42+'Pacific Manor (pa602)'!V44+Parkhaven!V99+Ridgecrest!V49+Riverest!V43+'Riverview MHRV LLC'!V46+Rosehaven!V111+'Sanctuary RV Resort'!V223+'Shadow Mountain MHC'!V30+Springhaven!V30+'Star Valley Ranch'!V41+Sunhaven!V37+'Sunny Grove'!V36+Tarponaire!V40+'Val Vista RV Resort'!V69+'Webster RV Resort LLC'!V56+'Wekiva Falls RV Resort'!V80+'West Jupiter RV Resort'!V37+'Western Way RV Resort LLC'!V129</f>
      </c>
      <c r="W9" s="18">
        <f>'Agave Village (ag011)'!W62+'Agave Village LLC'!W51+'Brookhaven Estates (bo260)'!W44+'Brookhaven RV Resort'!W40+'Courtly Manor'!W33+'Courtly Manor Park (co669)'!W34+'Cross Creek RV'!W129+'Cross Creek RV Resort (cr994)'!W135+'El Rio De Oro (el289)'!W31+'El Rio del Oro'!W34+'Endless Summer RV Resort'!W52+'Endless Summer RV Resort (en079'!W44+Evergreen!W31+'Far Horizons'!W31+'Far Horizons (fa105)'!W31+'Floridian Sandalwood (fl356)'!W28+'Floridian Sandalwood MHC'!W32+Glenhaven!W36+'Glenhaven Estates (gl317)'!W36+'Harbor Lights (ha310)'!W37+'Harbor Lights MHC'!W35+'Harvest Gate'!W45+'Hunter Run RV Estates'!W86+'Hunters Run RV Estates (hu116)'!W199+'Jade Isle (ja068)'!W28+'Jade Isle MHC'!W30+'Kakusha Estates (ka045)'!W34+'Kakusha MHC'!W33+'Lakeside Village'!W39+'Lakeside Village (la482)'!W41+'Lakewood Village (la481)'!W100+'Lakewood Village MHC LLC'!W120+'Maple Corner'!W53+'Maple Corner (ma490)'!W43+'Marlboro Court (ma489)'!W31+'Marlboro Court MHC LLC'!W31+'May Manor'!W135+'May Manor (ma488)'!W67+'Mobiland by the Sea (mo320)'!W36+'Mobiland By The Sea MHC'!W37+'Moss Landing'!W64+'Moss Landing (mo321)'!W56+'Oak Springs'!W68+'Oak Springs MHC (oa150)'!W44+'Orange Manor East'!W33+'Orange Manor East (or125)'!W36+'Pacific Manor'!W42+'Pacific Manor (pa602)'!W44+Parkhaven!W99+Ridgecrest!W49+Riverest!W43+'Riverview MHRV LLC'!W46+Rosehaven!W111+'Sanctuary RV Resort'!W223+'Shadow Mountain MHC'!W30+Springhaven!W30+'Star Valley Ranch'!W41+Sunhaven!W37+'Sunny Grove'!W36+Tarponaire!W40+'Val Vista RV Resort'!W69+'Webster RV Resort LLC'!W56+'Wekiva Falls RV Resort'!W80+'West Jupiter RV Resort'!W37+'Western Way RV Resort LLC'!W129</f>
      </c>
      <c r="X9" s="18">
        <f>'Agave Village (ag011)'!X62+'Agave Village LLC'!X51+'Brookhaven Estates (bo260)'!X44+'Brookhaven RV Resort'!X40+'Courtly Manor'!X33+'Courtly Manor Park (co669)'!X34+'Cross Creek RV'!X129+'Cross Creek RV Resort (cr994)'!X135+'El Rio De Oro (el289)'!X31+'El Rio del Oro'!X34+'Endless Summer RV Resort'!X52+'Endless Summer RV Resort (en079'!X44+Evergreen!X31+'Far Horizons'!X31+'Far Horizons (fa105)'!X31+'Floridian Sandalwood (fl356)'!X28+'Floridian Sandalwood MHC'!X32+Glenhaven!X36+'Glenhaven Estates (gl317)'!X36+'Harbor Lights (ha310)'!X37+'Harbor Lights MHC'!X35+'Harvest Gate'!X45+'Hunter Run RV Estates'!X86+'Hunters Run RV Estates (hu116)'!X199+'Jade Isle (ja068)'!X28+'Jade Isle MHC'!X30+'Kakusha Estates (ka045)'!X34+'Kakusha MHC'!X33+'Lakeside Village'!X39+'Lakeside Village (la482)'!X41+'Lakewood Village (la481)'!X100+'Lakewood Village MHC LLC'!X120+'Maple Corner'!X53+'Maple Corner (ma490)'!X43+'Marlboro Court (ma489)'!X31+'Marlboro Court MHC LLC'!X31+'May Manor'!X135+'May Manor (ma488)'!X67+'Mobiland by the Sea (mo320)'!X36+'Mobiland By The Sea MHC'!X37+'Moss Landing'!X64+'Moss Landing (mo321)'!X56+'Oak Springs'!X68+'Oak Springs MHC (oa150)'!X44+'Orange Manor East'!X33+'Orange Manor East (or125)'!X36+'Pacific Manor'!X42+'Pacific Manor (pa602)'!X44+Parkhaven!X99+Ridgecrest!X49+Riverest!X43+'Riverview MHRV LLC'!X46+Rosehaven!X111+'Sanctuary RV Resort'!X223+'Shadow Mountain MHC'!X30+Springhaven!X30+'Star Valley Ranch'!X41+Sunhaven!X37+'Sunny Grove'!X36+Tarponaire!X40+'Val Vista RV Resort'!X69+'Webster RV Resort LLC'!X56+'Wekiva Falls RV Resort'!X80+'West Jupiter RV Resort'!X37+'Western Way RV Resort LLC'!X129</f>
      </c>
      <c r="Y9" s="18">
        <f>'Agave Village (ag011)'!Y62+'Agave Village LLC'!Y51+'Brookhaven Estates (bo260)'!Y44+'Brookhaven RV Resort'!Y40+'Courtly Manor'!Y33+'Courtly Manor Park (co669)'!Y34+'Cross Creek RV'!Y129+'Cross Creek RV Resort (cr994)'!Y135+'El Rio De Oro (el289)'!Y31+'El Rio del Oro'!Y34+'Endless Summer RV Resort'!Y52+'Endless Summer RV Resort (en079'!Y44+Evergreen!Y31+'Far Horizons'!Y31+'Far Horizons (fa105)'!Y31+'Floridian Sandalwood (fl356)'!Y28+'Floridian Sandalwood MHC'!Y32+Glenhaven!Y36+'Glenhaven Estates (gl317)'!Y36+'Harbor Lights (ha310)'!Y37+'Harbor Lights MHC'!Y35+'Harvest Gate'!Y45+'Hunter Run RV Estates'!Y86+'Hunters Run RV Estates (hu116)'!Y199+'Jade Isle (ja068)'!Y28+'Jade Isle MHC'!Y30+'Kakusha Estates (ka045)'!Y34+'Kakusha MHC'!Y33+'Lakeside Village'!Y39+'Lakeside Village (la482)'!Y41+'Lakewood Village (la481)'!Y100+'Lakewood Village MHC LLC'!Y120+'Maple Corner'!Y53+'Maple Corner (ma490)'!Y43+'Marlboro Court (ma489)'!Y31+'Marlboro Court MHC LLC'!Y31+'May Manor'!Y135+'May Manor (ma488)'!Y67+'Mobiland by the Sea (mo320)'!Y36+'Mobiland By The Sea MHC'!Y37+'Moss Landing'!Y64+'Moss Landing (mo321)'!Y56+'Oak Springs'!Y68+'Oak Springs MHC (oa150)'!Y44+'Orange Manor East'!Y33+'Orange Manor East (or125)'!Y36+'Pacific Manor'!Y42+'Pacific Manor (pa602)'!Y44+Parkhaven!Y99+Ridgecrest!Y49+Riverest!Y43+'Riverview MHRV LLC'!Y46+Rosehaven!Y111+'Sanctuary RV Resort'!Y223+'Shadow Mountain MHC'!Y30+Springhaven!Y30+'Star Valley Ranch'!Y41+Sunhaven!Y37+'Sunny Grove'!Y36+Tarponaire!Y40+'Val Vista RV Resort'!Y69+'Webster RV Resort LLC'!Y56+'Wekiva Falls RV Resort'!Y80+'West Jupiter RV Resort'!Y37+'Western Way RV Resort LLC'!Y129</f>
      </c>
      <c r="Z9" s="18">
        <f>'Agave Village (ag011)'!Z62+'Agave Village LLC'!Z51+'Brookhaven Estates (bo260)'!Z44+'Brookhaven RV Resort'!Z40+'Courtly Manor'!Z33+'Courtly Manor Park (co669)'!Z34+'Cross Creek RV'!Z129+'Cross Creek RV Resort (cr994)'!Z135+'El Rio De Oro (el289)'!Z31+'El Rio del Oro'!Z34+'Endless Summer RV Resort'!Z52+'Endless Summer RV Resort (en079'!Z44+Evergreen!Z31+'Far Horizons'!Z31+'Far Horizons (fa105)'!Z31+'Floridian Sandalwood (fl356)'!Z28+'Floridian Sandalwood MHC'!Z32+Glenhaven!Z36+'Glenhaven Estates (gl317)'!Z36+'Harbor Lights (ha310)'!Z37+'Harbor Lights MHC'!Z35+'Harvest Gate'!Z45+'Hunter Run RV Estates'!Z86+'Hunters Run RV Estates (hu116)'!Z199+'Jade Isle (ja068)'!Z28+'Jade Isle MHC'!Z30+'Kakusha Estates (ka045)'!Z34+'Kakusha MHC'!Z33+'Lakeside Village'!Z39+'Lakeside Village (la482)'!Z41+'Lakewood Village (la481)'!Z100+'Lakewood Village MHC LLC'!Z120+'Maple Corner'!Z53+'Maple Corner (ma490)'!Z43+'Marlboro Court (ma489)'!Z31+'Marlboro Court MHC LLC'!Z31+'May Manor'!Z135+'May Manor (ma488)'!Z67+'Mobiland by the Sea (mo320)'!Z36+'Mobiland By The Sea MHC'!Z37+'Moss Landing'!Z64+'Moss Landing (mo321)'!Z56+'Oak Springs'!Z68+'Oak Springs MHC (oa150)'!Z44+'Orange Manor East'!Z33+'Orange Manor East (or125)'!Z36+'Pacific Manor'!Z42+'Pacific Manor (pa602)'!Z44+Parkhaven!Z99+Ridgecrest!Z49+Riverest!Z43+'Riverview MHRV LLC'!Z46+Rosehaven!Z111+'Sanctuary RV Resort'!Z223+'Shadow Mountain MHC'!Z30+Springhaven!Z30+'Star Valley Ranch'!Z41+Sunhaven!Z37+'Sunny Grove'!Z36+Tarponaire!Z40+'Val Vista RV Resort'!Z69+'Webster RV Resort LLC'!Z56+'Wekiva Falls RV Resort'!Z80+'West Jupiter RV Resort'!Z37+'Western Way RV Resort LLC'!Z129</f>
      </c>
      <c r="AA9" s="18">
        <f>'Agave Village (ag011)'!AA62+'Agave Village LLC'!AA51+'Brookhaven Estates (bo260)'!AA44+'Brookhaven RV Resort'!AA40+'Courtly Manor'!AA33+'Courtly Manor Park (co669)'!AA34+'Cross Creek RV'!AA129+'Cross Creek RV Resort (cr994)'!AA135+'El Rio De Oro (el289)'!AA31+'El Rio del Oro'!AA34+'Endless Summer RV Resort'!AA52+'Endless Summer RV Resort (en079'!AA44+Evergreen!AA31+'Far Horizons'!AA31+'Far Horizons (fa105)'!AA31+'Floridian Sandalwood (fl356)'!AA28+'Floridian Sandalwood MHC'!AA32+Glenhaven!AA36+'Glenhaven Estates (gl317)'!AA36+'Harbor Lights (ha310)'!AA37+'Harbor Lights MHC'!AA35+'Harvest Gate'!AA45+'Hunter Run RV Estates'!AA86+'Hunters Run RV Estates (hu116)'!AA199+'Jade Isle (ja068)'!AA28+'Jade Isle MHC'!AA30+'Kakusha Estates (ka045)'!AA34+'Kakusha MHC'!AA33+'Lakeside Village'!AA39+'Lakeside Village (la482)'!AA41+'Lakewood Village (la481)'!AA100+'Lakewood Village MHC LLC'!AA120+'Maple Corner'!AA53+'Maple Corner (ma490)'!AA43+'Marlboro Court (ma489)'!AA31+'Marlboro Court MHC LLC'!AA31+'May Manor'!AA135+'May Manor (ma488)'!AA67+'Mobiland by the Sea (mo320)'!AA36+'Mobiland By The Sea MHC'!AA37+'Moss Landing'!AA64+'Moss Landing (mo321)'!AA56+'Oak Springs'!AA68+'Oak Springs MHC (oa150)'!AA44+'Orange Manor East'!AA33+'Orange Manor East (or125)'!AA36+'Pacific Manor'!AA42+'Pacific Manor (pa602)'!AA44+Parkhaven!AA99+Ridgecrest!AA49+Riverest!AA43+'Riverview MHRV LLC'!AA46+Rosehaven!AA111+'Sanctuary RV Resort'!AA223+'Shadow Mountain MHC'!AA30+Springhaven!AA30+'Star Valley Ranch'!AA41+Sunhaven!AA37+'Sunny Grove'!AA36+Tarponaire!AA40+'Val Vista RV Resort'!AA69+'Webster RV Resort LLC'!AA56+'Wekiva Falls RV Resort'!AA80+'West Jupiter RV Resort'!AA37+'Western Way RV Resort LLC'!AA129</f>
      </c>
      <c r="AB9" s="18">
        <f>'Agave Village (ag011)'!AB62+'Agave Village LLC'!AB51+'Brookhaven Estates (bo260)'!AB44+'Brookhaven RV Resort'!AB40+'Courtly Manor'!AB33+'Courtly Manor Park (co669)'!AB34+'Cross Creek RV'!AB129+'Cross Creek RV Resort (cr994)'!AB135+'El Rio De Oro (el289)'!AB31+'El Rio del Oro'!AB34+'Endless Summer RV Resort'!AB52+'Endless Summer RV Resort (en079'!AB44+Evergreen!AB31+'Far Horizons'!AB31+'Far Horizons (fa105)'!AB31+'Floridian Sandalwood (fl356)'!AB28+'Floridian Sandalwood MHC'!AB32+Glenhaven!AB36+'Glenhaven Estates (gl317)'!AB36+'Harbor Lights (ha310)'!AB37+'Harbor Lights MHC'!AB35+'Harvest Gate'!AB45+'Hunter Run RV Estates'!AB86+'Hunters Run RV Estates (hu116)'!AB199+'Jade Isle (ja068)'!AB28+'Jade Isle MHC'!AB30+'Kakusha Estates (ka045)'!AB34+'Kakusha MHC'!AB33+'Lakeside Village'!AB39+'Lakeside Village (la482)'!AB41+'Lakewood Village (la481)'!AB100+'Lakewood Village MHC LLC'!AB120+'Maple Corner'!AB53+'Maple Corner (ma490)'!AB43+'Marlboro Court (ma489)'!AB31+'Marlboro Court MHC LLC'!AB31+'May Manor'!AB135+'May Manor (ma488)'!AB67+'Mobiland by the Sea (mo320)'!AB36+'Mobiland By The Sea MHC'!AB37+'Moss Landing'!AB64+'Moss Landing (mo321)'!AB56+'Oak Springs'!AB68+'Oak Springs MHC (oa150)'!AB44+'Orange Manor East'!AB33+'Orange Manor East (or125)'!AB36+'Pacific Manor'!AB42+'Pacific Manor (pa602)'!AB44+Parkhaven!AB99+Ridgecrest!AB49+Riverest!AB43+'Riverview MHRV LLC'!AB46+Rosehaven!AB111+'Sanctuary RV Resort'!AB223+'Shadow Mountain MHC'!AB30+Springhaven!AB30+'Star Valley Ranch'!AB41+Sunhaven!AB37+'Sunny Grove'!AB36+Tarponaire!AB40+'Val Vista RV Resort'!AB69+'Webster RV Resort LLC'!AB56+'Wekiva Falls RV Resort'!AB80+'West Jupiter RV Resort'!AB37+'Western Way RV Resort LLC'!AB129</f>
      </c>
      <c r="AC9" s="18">
        <f>'Agave Village (ag011)'!AC62+'Agave Village LLC'!AC51+'Brookhaven Estates (bo260)'!AC44+'Brookhaven RV Resort'!AC40+'Courtly Manor'!AC33+'Courtly Manor Park (co669)'!AC34+'Cross Creek RV'!AC129+'Cross Creek RV Resort (cr994)'!AC135+'El Rio De Oro (el289)'!AC31+'El Rio del Oro'!AC34+'Endless Summer RV Resort'!AC52+'Endless Summer RV Resort (en079'!AC44+Evergreen!AC31+'Far Horizons'!AC31+'Far Horizons (fa105)'!AC31+'Floridian Sandalwood (fl356)'!AC28+'Floridian Sandalwood MHC'!AC32+Glenhaven!AC36+'Glenhaven Estates (gl317)'!AC36+'Harbor Lights (ha310)'!AC37+'Harbor Lights MHC'!AC35+'Harvest Gate'!AC45+'Hunter Run RV Estates'!AC86+'Hunters Run RV Estates (hu116)'!AC199+'Jade Isle (ja068)'!AC28+'Jade Isle MHC'!AC30+'Kakusha Estates (ka045)'!AC34+'Kakusha MHC'!AC33+'Lakeside Village'!AC39+'Lakeside Village (la482)'!AC41+'Lakewood Village (la481)'!AC100+'Lakewood Village MHC LLC'!AC120+'Maple Corner'!AC53+'Maple Corner (ma490)'!AC43+'Marlboro Court (ma489)'!AC31+'Marlboro Court MHC LLC'!AC31+'May Manor'!AC135+'May Manor (ma488)'!AC67+'Mobiland by the Sea (mo320)'!AC36+'Mobiland By The Sea MHC'!AC37+'Moss Landing'!AC64+'Moss Landing (mo321)'!AC56+'Oak Springs'!AC68+'Oak Springs MHC (oa150)'!AC44+'Orange Manor East'!AC33+'Orange Manor East (or125)'!AC36+'Pacific Manor'!AC42+'Pacific Manor (pa602)'!AC44+Parkhaven!AC99+Ridgecrest!AC49+Riverest!AC43+'Riverview MHRV LLC'!AC46+Rosehaven!AC111+'Sanctuary RV Resort'!AC223+'Shadow Mountain MHC'!AC30+Springhaven!AC30+'Star Valley Ranch'!AC41+Sunhaven!AC37+'Sunny Grove'!AC36+Tarponaire!AC40+'Val Vista RV Resort'!AC69+'Webster RV Resort LLC'!AC56+'Wekiva Falls RV Resort'!AC80+'West Jupiter RV Resort'!AC37+'Western Way RV Resort LLC'!AC129</f>
      </c>
      <c r="AD9" s="18">
        <f>'Agave Village (ag011)'!AD62+'Agave Village LLC'!AD51+'Brookhaven Estates (bo260)'!AD44+'Brookhaven RV Resort'!AD40+'Courtly Manor'!AD33+'Courtly Manor Park (co669)'!AD34+'Cross Creek RV'!AD129+'Cross Creek RV Resort (cr994)'!AD135+'El Rio De Oro (el289)'!AD31+'El Rio del Oro'!AD34+'Endless Summer RV Resort'!AD52+'Endless Summer RV Resort (en079'!AD44+Evergreen!AD31+'Far Horizons'!AD31+'Far Horizons (fa105)'!AD31+'Floridian Sandalwood (fl356)'!AD28+'Floridian Sandalwood MHC'!AD32+Glenhaven!AD36+'Glenhaven Estates (gl317)'!AD36+'Harbor Lights (ha310)'!AD37+'Harbor Lights MHC'!AD35+'Harvest Gate'!AD45+'Hunter Run RV Estates'!AD86+'Hunters Run RV Estates (hu116)'!AD199+'Jade Isle (ja068)'!AD28+'Jade Isle MHC'!AD30+'Kakusha Estates (ka045)'!AD34+'Kakusha MHC'!AD33+'Lakeside Village'!AD39+'Lakeside Village (la482)'!AD41+'Lakewood Village (la481)'!AD100+'Lakewood Village MHC LLC'!AD120+'Maple Corner'!AD53+'Maple Corner (ma490)'!AD43+'Marlboro Court (ma489)'!AD31+'Marlboro Court MHC LLC'!AD31+'May Manor'!AD135+'May Manor (ma488)'!AD67+'Mobiland by the Sea (mo320)'!AD36+'Mobiland By The Sea MHC'!AD37+'Moss Landing'!AD64+'Moss Landing (mo321)'!AD56+'Oak Springs'!AD68+'Oak Springs MHC (oa150)'!AD44+'Orange Manor East'!AD33+'Orange Manor East (or125)'!AD36+'Pacific Manor'!AD42+'Pacific Manor (pa602)'!AD44+Parkhaven!AD99+Ridgecrest!AD49+Riverest!AD43+'Riverview MHRV LLC'!AD46+Rosehaven!AD111+'Sanctuary RV Resort'!AD223+'Shadow Mountain MHC'!AD30+Springhaven!AD30+'Star Valley Ranch'!AD41+Sunhaven!AD37+'Sunny Grove'!AD36+Tarponaire!AD40+'Val Vista RV Resort'!AD69+'Webster RV Resort LLC'!AD56+'Wekiva Falls RV Resort'!AD80+'West Jupiter RV Resort'!AD37+'Western Way RV Resort LLC'!AD129</f>
      </c>
      <c r="AE9" s="18">
        <f>'Agave Village (ag011)'!AE62+'Agave Village LLC'!AE51+'Brookhaven Estates (bo260)'!AE44+'Brookhaven RV Resort'!AE40+'Courtly Manor'!AE33+'Courtly Manor Park (co669)'!AE34+'Cross Creek RV'!AE129+'Cross Creek RV Resort (cr994)'!AE135+'El Rio De Oro (el289)'!AE31+'El Rio del Oro'!AE34+'Endless Summer RV Resort'!AE52+'Endless Summer RV Resort (en079'!AE44+Evergreen!AE31+'Far Horizons'!AE31+'Far Horizons (fa105)'!AE31+'Floridian Sandalwood (fl356)'!AE28+'Floridian Sandalwood MHC'!AE32+Glenhaven!AE36+'Glenhaven Estates (gl317)'!AE36+'Harbor Lights (ha310)'!AE37+'Harbor Lights MHC'!AE35+'Harvest Gate'!AE45+'Hunter Run RV Estates'!AE86+'Hunters Run RV Estates (hu116)'!AE199+'Jade Isle (ja068)'!AE28+'Jade Isle MHC'!AE30+'Kakusha Estates (ka045)'!AE34+'Kakusha MHC'!AE33+'Lakeside Village'!AE39+'Lakeside Village (la482)'!AE41+'Lakewood Village (la481)'!AE100+'Lakewood Village MHC LLC'!AE120+'Maple Corner'!AE53+'Maple Corner (ma490)'!AE43+'Marlboro Court (ma489)'!AE31+'Marlboro Court MHC LLC'!AE31+'May Manor'!AE135+'May Manor (ma488)'!AE67+'Mobiland by the Sea (mo320)'!AE36+'Mobiland By The Sea MHC'!AE37+'Moss Landing'!AE64+'Moss Landing (mo321)'!AE56+'Oak Springs'!AE68+'Oak Springs MHC (oa150)'!AE44+'Orange Manor East'!AE33+'Orange Manor East (or125)'!AE36+'Pacific Manor'!AE42+'Pacific Manor (pa602)'!AE44+Parkhaven!AE99+Ridgecrest!AE49+Riverest!AE43+'Riverview MHRV LLC'!AE46+Rosehaven!AE111+'Sanctuary RV Resort'!AE223+'Shadow Mountain MHC'!AE30+Springhaven!AE30+'Star Valley Ranch'!AE41+Sunhaven!AE37+'Sunny Grove'!AE36+Tarponaire!AE40+'Val Vista RV Resort'!AE69+'Webster RV Resort LLC'!AE56+'Wekiva Falls RV Resort'!AE80+'West Jupiter RV Resort'!AE37+'Western Way RV Resort LLC'!AE129</f>
      </c>
      <c r="AF9" s="18">
        <f>'Agave Village (ag011)'!AF62+'Agave Village LLC'!AF51+'Brookhaven Estates (bo260)'!AF44+'Brookhaven RV Resort'!AF40+'Courtly Manor'!AF33+'Courtly Manor Park (co669)'!AF34+'Cross Creek RV'!AF129+'Cross Creek RV Resort (cr994)'!AF135+'El Rio De Oro (el289)'!AF31+'El Rio del Oro'!AF34+'Endless Summer RV Resort'!AF52+'Endless Summer RV Resort (en079'!AF44+Evergreen!AF31+'Far Horizons'!AF31+'Far Horizons (fa105)'!AF31+'Floridian Sandalwood (fl356)'!AF28+'Floridian Sandalwood MHC'!AF32+Glenhaven!AF36+'Glenhaven Estates (gl317)'!AF36+'Harbor Lights (ha310)'!AF37+'Harbor Lights MHC'!AF35+'Harvest Gate'!AF45+'Hunter Run RV Estates'!AF86+'Hunters Run RV Estates (hu116)'!AF199+'Jade Isle (ja068)'!AF28+'Jade Isle MHC'!AF30+'Kakusha Estates (ka045)'!AF34+'Kakusha MHC'!AF33+'Lakeside Village'!AF39+'Lakeside Village (la482)'!AF41+'Lakewood Village (la481)'!AF100+'Lakewood Village MHC LLC'!AF120+'Maple Corner'!AF53+'Maple Corner (ma490)'!AF43+'Marlboro Court (ma489)'!AF31+'Marlboro Court MHC LLC'!AF31+'May Manor'!AF135+'May Manor (ma488)'!AF67+'Mobiland by the Sea (mo320)'!AF36+'Mobiland By The Sea MHC'!AF37+'Moss Landing'!AF64+'Moss Landing (mo321)'!AF56+'Oak Springs'!AF68+'Oak Springs MHC (oa150)'!AF44+'Orange Manor East'!AF33+'Orange Manor East (or125)'!AF36+'Pacific Manor'!AF42+'Pacific Manor (pa602)'!AF44+Parkhaven!AF99+Ridgecrest!AF49+Riverest!AF43+'Riverview MHRV LLC'!AF46+Rosehaven!AF111+'Sanctuary RV Resort'!AF223+'Shadow Mountain MHC'!AF30+Springhaven!AF30+'Star Valley Ranch'!AF41+Sunhaven!AF37+'Sunny Grove'!AF36+Tarponaire!AF40+'Val Vista RV Resort'!AF69+'Webster RV Resort LLC'!AF56+'Wekiva Falls RV Resort'!AF80+'West Jupiter RV Resort'!AF37+'Western Way RV Resort LLC'!AF129</f>
      </c>
      <c r="AG9" s="18">
        <f>'Agave Village (ag011)'!AG62+'Agave Village LLC'!AG51+'Brookhaven Estates (bo260)'!AG44+'Brookhaven RV Resort'!AG40+'Courtly Manor'!AG33+'Courtly Manor Park (co669)'!AG34+'Cross Creek RV'!AG129+'Cross Creek RV Resort (cr994)'!AG135+'El Rio De Oro (el289)'!AG31+'El Rio del Oro'!AG34+'Endless Summer RV Resort'!AG52+'Endless Summer RV Resort (en079'!AG44+Evergreen!AG31+'Far Horizons'!AG31+'Far Horizons (fa105)'!AG31+'Floridian Sandalwood (fl356)'!AG28+'Floridian Sandalwood MHC'!AG32+Glenhaven!AG36+'Glenhaven Estates (gl317)'!AG36+'Harbor Lights (ha310)'!AG37+'Harbor Lights MHC'!AG35+'Harvest Gate'!AG45+'Hunter Run RV Estates'!AG86+'Hunters Run RV Estates (hu116)'!AG199+'Jade Isle (ja068)'!AG28+'Jade Isle MHC'!AG30+'Kakusha Estates (ka045)'!AG34+'Kakusha MHC'!AG33+'Lakeside Village'!AG39+'Lakeside Village (la482)'!AG41+'Lakewood Village (la481)'!AG100+'Lakewood Village MHC LLC'!AG120+'Maple Corner'!AG53+'Maple Corner (ma490)'!AG43+'Marlboro Court (ma489)'!AG31+'Marlboro Court MHC LLC'!AG31+'May Manor'!AG135+'May Manor (ma488)'!AG67+'Mobiland by the Sea (mo320)'!AG36+'Mobiland By The Sea MHC'!AG37+'Moss Landing'!AG64+'Moss Landing (mo321)'!AG56+'Oak Springs'!AG68+'Oak Springs MHC (oa150)'!AG44+'Orange Manor East'!AG33+'Orange Manor East (or125)'!AG36+'Pacific Manor'!AG42+'Pacific Manor (pa602)'!AG44+Parkhaven!AG99+Ridgecrest!AG49+Riverest!AG43+'Riverview MHRV LLC'!AG46+Rosehaven!AG111+'Sanctuary RV Resort'!AG223+'Shadow Mountain MHC'!AG30+Springhaven!AG30+'Star Valley Ranch'!AG41+Sunhaven!AG37+'Sunny Grove'!AG36+Tarponaire!AG40+'Val Vista RV Resort'!AG69+'Webster RV Resort LLC'!AG56+'Wekiva Falls RV Resort'!AG80+'West Jupiter RV Resort'!AG37+'Western Way RV Resort LLC'!AG129</f>
      </c>
      <c r="AH9" s="18">
        <f>'Agave Village (ag011)'!AH62+'Agave Village LLC'!AH51+'Brookhaven Estates (bo260)'!AH44+'Brookhaven RV Resort'!AH40+'Courtly Manor'!AH33+'Courtly Manor Park (co669)'!AH34+'Cross Creek RV'!AH129+'Cross Creek RV Resort (cr994)'!AH135+'El Rio De Oro (el289)'!AH31+'El Rio del Oro'!AH34+'Endless Summer RV Resort'!AH52+'Endless Summer RV Resort (en079'!AH44+Evergreen!AH31+'Far Horizons'!AH31+'Far Horizons (fa105)'!AH31+'Floridian Sandalwood (fl356)'!AH28+'Floridian Sandalwood MHC'!AH32+Glenhaven!AH36+'Glenhaven Estates (gl317)'!AH36+'Harbor Lights (ha310)'!AH37+'Harbor Lights MHC'!AH35+'Harvest Gate'!AH45+'Hunter Run RV Estates'!AH86+'Hunters Run RV Estates (hu116)'!AH199+'Jade Isle (ja068)'!AH28+'Jade Isle MHC'!AH30+'Kakusha Estates (ka045)'!AH34+'Kakusha MHC'!AH33+'Lakeside Village'!AH39+'Lakeside Village (la482)'!AH41+'Lakewood Village (la481)'!AH100+'Lakewood Village MHC LLC'!AH120+'Maple Corner'!AH53+'Maple Corner (ma490)'!AH43+'Marlboro Court (ma489)'!AH31+'Marlboro Court MHC LLC'!AH31+'May Manor'!AH135+'May Manor (ma488)'!AH67+'Mobiland by the Sea (mo320)'!AH36+'Mobiland By The Sea MHC'!AH37+'Moss Landing'!AH64+'Moss Landing (mo321)'!AH56+'Oak Springs'!AH68+'Oak Springs MHC (oa150)'!AH44+'Orange Manor East'!AH33+'Orange Manor East (or125)'!AH36+'Pacific Manor'!AH42+'Pacific Manor (pa602)'!AH44+Parkhaven!AH99+Ridgecrest!AH49+Riverest!AH43+'Riverview MHRV LLC'!AH46+Rosehaven!AH111+'Sanctuary RV Resort'!AH223+'Shadow Mountain MHC'!AH30+Springhaven!AH30+'Star Valley Ranch'!AH41+Sunhaven!AH37+'Sunny Grove'!AH36+Tarponaire!AH40+'Val Vista RV Resort'!AH69+'Webster RV Resort LLC'!AH56+'Wekiva Falls RV Resort'!AH80+'West Jupiter RV Resort'!AH37+'Western Way RV Resort LLC'!AH129</f>
      </c>
      <c r="AI9" s="18">
        <f>'Agave Village (ag011)'!AI62+'Agave Village LLC'!AI51+'Brookhaven Estates (bo260)'!AI44+'Brookhaven RV Resort'!AI40+'Courtly Manor'!AI33+'Courtly Manor Park (co669)'!AI34+'Cross Creek RV'!AI129+'Cross Creek RV Resort (cr994)'!AI135+'El Rio De Oro (el289)'!AI31+'El Rio del Oro'!AI34+'Endless Summer RV Resort'!AI52+'Endless Summer RV Resort (en079'!AI44+Evergreen!AI31+'Far Horizons'!AI31+'Far Horizons (fa105)'!AI31+'Floridian Sandalwood (fl356)'!AI28+'Floridian Sandalwood MHC'!AI32+Glenhaven!AI36+'Glenhaven Estates (gl317)'!AI36+'Harbor Lights (ha310)'!AI37+'Harbor Lights MHC'!AI35+'Harvest Gate'!AI45+'Hunter Run RV Estates'!AI86+'Hunters Run RV Estates (hu116)'!AI199+'Jade Isle (ja068)'!AI28+'Jade Isle MHC'!AI30+'Kakusha Estates (ka045)'!AI34+'Kakusha MHC'!AI33+'Lakeside Village'!AI39+'Lakeside Village (la482)'!AI41+'Lakewood Village (la481)'!AI100+'Lakewood Village MHC LLC'!AI120+'Maple Corner'!AI53+'Maple Corner (ma490)'!AI43+'Marlboro Court (ma489)'!AI31+'Marlboro Court MHC LLC'!AI31+'May Manor'!AI135+'May Manor (ma488)'!AI67+'Mobiland by the Sea (mo320)'!AI36+'Mobiland By The Sea MHC'!AI37+'Moss Landing'!AI64+'Moss Landing (mo321)'!AI56+'Oak Springs'!AI68+'Oak Springs MHC (oa150)'!AI44+'Orange Manor East'!AI33+'Orange Manor East (or125)'!AI36+'Pacific Manor'!AI42+'Pacific Manor (pa602)'!AI44+Parkhaven!AI99+Ridgecrest!AI49+Riverest!AI43+'Riverview MHRV LLC'!AI46+Rosehaven!AI111+'Sanctuary RV Resort'!AI223+'Shadow Mountain MHC'!AI30+Springhaven!AI30+'Star Valley Ranch'!AI41+Sunhaven!AI37+'Sunny Grove'!AI36+Tarponaire!AI40+'Val Vista RV Resort'!AI69+'Webster RV Resort LLC'!AI56+'Wekiva Falls RV Resort'!AI80+'West Jupiter RV Resort'!AI37+'Western Way RV Resort LLC'!AI129</f>
      </c>
      <c r="AJ9" s="18">
        <f>'Agave Village (ag011)'!AJ62+'Agave Village LLC'!AJ51+'Brookhaven Estates (bo260)'!AJ44+'Brookhaven RV Resort'!AJ40+'Courtly Manor'!AJ33+'Courtly Manor Park (co669)'!AJ34+'Cross Creek RV'!AJ129+'Cross Creek RV Resort (cr994)'!AJ135+'El Rio De Oro (el289)'!AJ31+'El Rio del Oro'!AJ34+'Endless Summer RV Resort'!AJ52+'Endless Summer RV Resort (en079'!AJ44+Evergreen!AJ31+'Far Horizons'!AJ31+'Far Horizons (fa105)'!AJ31+'Floridian Sandalwood (fl356)'!AJ28+'Floridian Sandalwood MHC'!AJ32+Glenhaven!AJ36+'Glenhaven Estates (gl317)'!AJ36+'Harbor Lights (ha310)'!AJ37+'Harbor Lights MHC'!AJ35+'Harvest Gate'!AJ45+'Hunter Run RV Estates'!AJ86+'Hunters Run RV Estates (hu116)'!AJ199+'Jade Isle (ja068)'!AJ28+'Jade Isle MHC'!AJ30+'Kakusha Estates (ka045)'!AJ34+'Kakusha MHC'!AJ33+'Lakeside Village'!AJ39+'Lakeside Village (la482)'!AJ41+'Lakewood Village (la481)'!AJ100+'Lakewood Village MHC LLC'!AJ120+'Maple Corner'!AJ53+'Maple Corner (ma490)'!AJ43+'Marlboro Court (ma489)'!AJ31+'Marlboro Court MHC LLC'!AJ31+'May Manor'!AJ135+'May Manor (ma488)'!AJ67+'Mobiland by the Sea (mo320)'!AJ36+'Mobiland By The Sea MHC'!AJ37+'Moss Landing'!AJ64+'Moss Landing (mo321)'!AJ56+'Oak Springs'!AJ68+'Oak Springs MHC (oa150)'!AJ44+'Orange Manor East'!AJ33+'Orange Manor East (or125)'!AJ36+'Pacific Manor'!AJ42+'Pacific Manor (pa602)'!AJ44+Parkhaven!AJ99+Ridgecrest!AJ49+Riverest!AJ43+'Riverview MHRV LLC'!AJ46+Rosehaven!AJ111+'Sanctuary RV Resort'!AJ223+'Shadow Mountain MHC'!AJ30+Springhaven!AJ30+'Star Valley Ranch'!AJ41+Sunhaven!AJ37+'Sunny Grove'!AJ36+Tarponaire!AJ40+'Val Vista RV Resort'!AJ69+'Webster RV Resort LLC'!AJ56+'Wekiva Falls RV Resort'!AJ80+'West Jupiter RV Resort'!AJ37+'Western Way RV Resort LLC'!AJ129</f>
      </c>
      <c r="AK9" s="19"/>
    </row>
    <row r="10" ht="12.75" customHeight="1" spans="2:37" x14ac:dyDescent="0.25">
      <c r="B10" s="16" t="s">
        <v>42</v>
      </c>
      <c r="C10" s="17"/>
      <c r="D10" s="17"/>
      <c r="E10" s="18">
        <f>'Agave Village (ag011)'!E63+'Agave Village LLC'!E52+'Brookhaven Estates (bo260)'!E45+'Brookhaven RV Resort'!E41+'Courtly Manor'!E34+'Courtly Manor Park (co669)'!E35+'Cross Creek RV'!E130+'Cross Creek RV Resort (cr994)'!E136+'El Rio De Oro (el289)'!E32+'El Rio del Oro'!E35+'Endless Summer RV Resort'!E53+'Endless Summer RV Resort (en079'!E45+Evergreen!E32+'Far Horizons'!E32+'Far Horizons (fa105)'!E32+'Floridian Sandalwood (fl356)'!E29+'Floridian Sandalwood MHC'!E33+Glenhaven!E37+'Glenhaven Estates (gl317)'!E37+'Harbor Lights (ha310)'!E38+'Harbor Lights MHC'!E36+'Harvest Gate'!E46+'Hunter Run RV Estates'!E87+'Hunters Run RV Estates (hu116)'!E200+'Jade Isle (ja068)'!E29+'Jade Isle MHC'!E31+'Kakusha Estates (ka045)'!E35+'Kakusha MHC'!E34+'Lakeside Village'!E40+'Lakeside Village (la482)'!E42+'Lakewood Village (la481)'!E101+'Lakewood Village MHC LLC'!E121+'Maple Corner'!E54+'Maple Corner (ma490)'!E44+'Marlboro Court (ma489)'!E32+'Marlboro Court MHC LLC'!E32+'May Manor'!E136+'May Manor (ma488)'!E68+'Mobiland by the Sea (mo320)'!E37+'Mobiland By The Sea MHC'!E38+'Moss Landing'!E65+'Moss Landing (mo321)'!E57+'Oak Springs'!E69+'Oak Springs MHC (oa150)'!E45+'Orange Manor East'!E34+'Orange Manor East (or125)'!E37+'Pacific Manor'!E43+'Pacific Manor (pa602)'!E45+Parkhaven!E100+Ridgecrest!E50+Riverest!E44+'Riverview MHRV LLC'!E47+Rosehaven!E112+'Sanctuary RV Resort'!E224+'Shadow Mountain MHC'!E31+Springhaven!E31+'Star Valley Ranch'!E42+Sunhaven!E38+'Sunny Grove'!E37+Tarponaire!E41+'Val Vista RV Resort'!E70+'Webster RV Resort LLC'!E57+'Wekiva Falls RV Resort'!E81+'West Jupiter RV Resort'!E38+'Western Way RV Resort LLC'!E130</f>
      </c>
      <c r="F10" s="18">
        <f>'Agave Village (ag011)'!F63+'Agave Village LLC'!F52+'Brookhaven Estates (bo260)'!F45+'Brookhaven RV Resort'!F41+'Courtly Manor'!F34+'Courtly Manor Park (co669)'!F35+'Cross Creek RV'!F130+'Cross Creek RV Resort (cr994)'!F136+'El Rio De Oro (el289)'!F32+'El Rio del Oro'!F35+'Endless Summer RV Resort'!F53+'Endless Summer RV Resort (en079'!F45+Evergreen!F32+'Far Horizons'!F32+'Far Horizons (fa105)'!F32+'Floridian Sandalwood (fl356)'!F29+'Floridian Sandalwood MHC'!F33+Glenhaven!F37+'Glenhaven Estates (gl317)'!F37+'Harbor Lights (ha310)'!F38+'Harbor Lights MHC'!F36+'Harvest Gate'!F46+'Hunter Run RV Estates'!F87+'Hunters Run RV Estates (hu116)'!F200+'Jade Isle (ja068)'!F29+'Jade Isle MHC'!F31+'Kakusha Estates (ka045)'!F35+'Kakusha MHC'!F34+'Lakeside Village'!F40+'Lakeside Village (la482)'!F42+'Lakewood Village (la481)'!F101+'Lakewood Village MHC LLC'!F121+'Maple Corner'!F54+'Maple Corner (ma490)'!F44+'Marlboro Court (ma489)'!F32+'Marlboro Court MHC LLC'!F32+'May Manor'!F136+'May Manor (ma488)'!F68+'Mobiland by the Sea (mo320)'!F37+'Mobiland By The Sea MHC'!F38+'Moss Landing'!F65+'Moss Landing (mo321)'!F57+'Oak Springs'!F69+'Oak Springs MHC (oa150)'!F45+'Orange Manor East'!F34+'Orange Manor East (or125)'!F37+'Pacific Manor'!F43+'Pacific Manor (pa602)'!F45+Parkhaven!F100+Ridgecrest!F50+Riverest!F44+'Riverview MHRV LLC'!F47+Rosehaven!F112+'Sanctuary RV Resort'!F224+'Shadow Mountain MHC'!F31+Springhaven!F31+'Star Valley Ranch'!F42+Sunhaven!F38+'Sunny Grove'!F37+Tarponaire!F41+'Val Vista RV Resort'!F70+'Webster RV Resort LLC'!F57+'Wekiva Falls RV Resort'!F81+'West Jupiter RV Resort'!F38+'Western Way RV Resort LLC'!F130</f>
      </c>
      <c r="G10" s="18">
        <f>'Agave Village (ag011)'!G63+'Agave Village LLC'!G52+'Brookhaven Estates (bo260)'!G45+'Brookhaven RV Resort'!G41+'Courtly Manor'!G34+'Courtly Manor Park (co669)'!G35+'Cross Creek RV'!G130+'Cross Creek RV Resort (cr994)'!G136+'El Rio De Oro (el289)'!G32+'El Rio del Oro'!G35+'Endless Summer RV Resort'!G53+'Endless Summer RV Resort (en079'!G45+Evergreen!G32+'Far Horizons'!G32+'Far Horizons (fa105)'!G32+'Floridian Sandalwood (fl356)'!G29+'Floridian Sandalwood MHC'!G33+Glenhaven!G37+'Glenhaven Estates (gl317)'!G37+'Harbor Lights (ha310)'!G38+'Harbor Lights MHC'!G36+'Harvest Gate'!G46+'Hunter Run RV Estates'!G87+'Hunters Run RV Estates (hu116)'!G200+'Jade Isle (ja068)'!G29+'Jade Isle MHC'!G31+'Kakusha Estates (ka045)'!G35+'Kakusha MHC'!G34+'Lakeside Village'!G40+'Lakeside Village (la482)'!G42+'Lakewood Village (la481)'!G101+'Lakewood Village MHC LLC'!G121+'Maple Corner'!G54+'Maple Corner (ma490)'!G44+'Marlboro Court (ma489)'!G32+'Marlboro Court MHC LLC'!G32+'May Manor'!G136+'May Manor (ma488)'!G68+'Mobiland by the Sea (mo320)'!G37+'Mobiland By The Sea MHC'!G38+'Moss Landing'!G65+'Moss Landing (mo321)'!G57+'Oak Springs'!G69+'Oak Springs MHC (oa150)'!G45+'Orange Manor East'!G34+'Orange Manor East (or125)'!G37+'Pacific Manor'!G43+'Pacific Manor (pa602)'!G45+Parkhaven!G100+Ridgecrest!G50+Riverest!G44+'Riverview MHRV LLC'!G47+Rosehaven!G112+'Sanctuary RV Resort'!G224+'Shadow Mountain MHC'!G31+Springhaven!G31+'Star Valley Ranch'!G42+Sunhaven!G38+'Sunny Grove'!G37+Tarponaire!G41+'Val Vista RV Resort'!G70+'Webster RV Resort LLC'!G57+'Wekiva Falls RV Resort'!G81+'West Jupiter RV Resort'!G38+'Western Way RV Resort LLC'!G130</f>
      </c>
      <c r="H10" s="18">
        <f>'Agave Village (ag011)'!H63+'Agave Village LLC'!H52+'Brookhaven Estates (bo260)'!H45+'Brookhaven RV Resort'!H41+'Courtly Manor'!H34+'Courtly Manor Park (co669)'!H35+'Cross Creek RV'!H130+'Cross Creek RV Resort (cr994)'!H136+'El Rio De Oro (el289)'!H32+'El Rio del Oro'!H35+'Endless Summer RV Resort'!H53+'Endless Summer RV Resort (en079'!H45+Evergreen!H32+'Far Horizons'!H32+'Far Horizons (fa105)'!H32+'Floridian Sandalwood (fl356)'!H29+'Floridian Sandalwood MHC'!H33+Glenhaven!H37+'Glenhaven Estates (gl317)'!H37+'Harbor Lights (ha310)'!H38+'Harbor Lights MHC'!H36+'Harvest Gate'!H46+'Hunter Run RV Estates'!H87+'Hunters Run RV Estates (hu116)'!H200+'Jade Isle (ja068)'!H29+'Jade Isle MHC'!H31+'Kakusha Estates (ka045)'!H35+'Kakusha MHC'!H34+'Lakeside Village'!H40+'Lakeside Village (la482)'!H42+'Lakewood Village (la481)'!H101+'Lakewood Village MHC LLC'!H121+'Maple Corner'!H54+'Maple Corner (ma490)'!H44+'Marlboro Court (ma489)'!H32+'Marlboro Court MHC LLC'!H32+'May Manor'!H136+'May Manor (ma488)'!H68+'Mobiland by the Sea (mo320)'!H37+'Mobiland By The Sea MHC'!H38+'Moss Landing'!H65+'Moss Landing (mo321)'!H57+'Oak Springs'!H69+'Oak Springs MHC (oa150)'!H45+'Orange Manor East'!H34+'Orange Manor East (or125)'!H37+'Pacific Manor'!H43+'Pacific Manor (pa602)'!H45+Parkhaven!H100+Ridgecrest!H50+Riverest!H44+'Riverview MHRV LLC'!H47+Rosehaven!H112+'Sanctuary RV Resort'!H224+'Shadow Mountain MHC'!H31+Springhaven!H31+'Star Valley Ranch'!H42+Sunhaven!H38+'Sunny Grove'!H37+Tarponaire!H41+'Val Vista RV Resort'!H70+'Webster RV Resort LLC'!H57+'Wekiva Falls RV Resort'!H81+'West Jupiter RV Resort'!H38+'Western Way RV Resort LLC'!H130</f>
      </c>
      <c r="I10" s="18">
        <f>'Agave Village (ag011)'!I63+'Agave Village LLC'!I52+'Brookhaven Estates (bo260)'!I45+'Brookhaven RV Resort'!I41+'Courtly Manor'!I34+'Courtly Manor Park (co669)'!I35+'Cross Creek RV'!I130+'Cross Creek RV Resort (cr994)'!I136+'El Rio De Oro (el289)'!I32+'El Rio del Oro'!I35+'Endless Summer RV Resort'!I53+'Endless Summer RV Resort (en079'!I45+Evergreen!I32+'Far Horizons'!I32+'Far Horizons (fa105)'!I32+'Floridian Sandalwood (fl356)'!I29+'Floridian Sandalwood MHC'!I33+Glenhaven!I37+'Glenhaven Estates (gl317)'!I37+'Harbor Lights (ha310)'!I38+'Harbor Lights MHC'!I36+'Harvest Gate'!I46+'Hunter Run RV Estates'!I87+'Hunters Run RV Estates (hu116)'!I200+'Jade Isle (ja068)'!I29+'Jade Isle MHC'!I31+'Kakusha Estates (ka045)'!I35+'Kakusha MHC'!I34+'Lakeside Village'!I40+'Lakeside Village (la482)'!I42+'Lakewood Village (la481)'!I101+'Lakewood Village MHC LLC'!I121+'Maple Corner'!I54+'Maple Corner (ma490)'!I44+'Marlboro Court (ma489)'!I32+'Marlboro Court MHC LLC'!I32+'May Manor'!I136+'May Manor (ma488)'!I68+'Mobiland by the Sea (mo320)'!I37+'Mobiland By The Sea MHC'!I38+'Moss Landing'!I65+'Moss Landing (mo321)'!I57+'Oak Springs'!I69+'Oak Springs MHC (oa150)'!I45+'Orange Manor East'!I34+'Orange Manor East (or125)'!I37+'Pacific Manor'!I43+'Pacific Manor (pa602)'!I45+Parkhaven!I100+Ridgecrest!I50+Riverest!I44+'Riverview MHRV LLC'!I47+Rosehaven!I112+'Sanctuary RV Resort'!I224+'Shadow Mountain MHC'!I31+Springhaven!I31+'Star Valley Ranch'!I42+Sunhaven!I38+'Sunny Grove'!I37+Tarponaire!I41+'Val Vista RV Resort'!I70+'Webster RV Resort LLC'!I57+'Wekiva Falls RV Resort'!I81+'West Jupiter RV Resort'!I38+'Western Way RV Resort LLC'!I130</f>
      </c>
      <c r="J10" s="18">
        <f>'Agave Village (ag011)'!J63+'Agave Village LLC'!J52+'Brookhaven Estates (bo260)'!J45+'Brookhaven RV Resort'!J41+'Courtly Manor'!J34+'Courtly Manor Park (co669)'!J35+'Cross Creek RV'!J130+'Cross Creek RV Resort (cr994)'!J136+'El Rio De Oro (el289)'!J32+'El Rio del Oro'!J35+'Endless Summer RV Resort'!J53+'Endless Summer RV Resort (en079'!J45+Evergreen!J32+'Far Horizons'!J32+'Far Horizons (fa105)'!J32+'Floridian Sandalwood (fl356)'!J29+'Floridian Sandalwood MHC'!J33+Glenhaven!J37+'Glenhaven Estates (gl317)'!J37+'Harbor Lights (ha310)'!J38+'Harbor Lights MHC'!J36+'Harvest Gate'!J46+'Hunter Run RV Estates'!J87+'Hunters Run RV Estates (hu116)'!J200+'Jade Isle (ja068)'!J29+'Jade Isle MHC'!J31+'Kakusha Estates (ka045)'!J35+'Kakusha MHC'!J34+'Lakeside Village'!J40+'Lakeside Village (la482)'!J42+'Lakewood Village (la481)'!J101+'Lakewood Village MHC LLC'!J121+'Maple Corner'!J54+'Maple Corner (ma490)'!J44+'Marlboro Court (ma489)'!J32+'Marlboro Court MHC LLC'!J32+'May Manor'!J136+'May Manor (ma488)'!J68+'Mobiland by the Sea (mo320)'!J37+'Mobiland By The Sea MHC'!J38+'Moss Landing'!J65+'Moss Landing (mo321)'!J57+'Oak Springs'!J69+'Oak Springs MHC (oa150)'!J45+'Orange Manor East'!J34+'Orange Manor East (or125)'!J37+'Pacific Manor'!J43+'Pacific Manor (pa602)'!J45+Parkhaven!J100+Ridgecrest!J50+Riverest!J44+'Riverview MHRV LLC'!J47+Rosehaven!J112+'Sanctuary RV Resort'!J224+'Shadow Mountain MHC'!J31+Springhaven!J31+'Star Valley Ranch'!J42+Sunhaven!J38+'Sunny Grove'!J37+Tarponaire!J41+'Val Vista RV Resort'!J70+'Webster RV Resort LLC'!J57+'Wekiva Falls RV Resort'!J81+'West Jupiter RV Resort'!J38+'Western Way RV Resort LLC'!J130</f>
      </c>
      <c r="K10" s="18">
        <f>'Agave Village (ag011)'!K63+'Agave Village LLC'!K52+'Brookhaven Estates (bo260)'!K45+'Brookhaven RV Resort'!K41+'Courtly Manor'!K34+'Courtly Manor Park (co669)'!K35+'Cross Creek RV'!K130+'Cross Creek RV Resort (cr994)'!K136+'El Rio De Oro (el289)'!K32+'El Rio del Oro'!K35+'Endless Summer RV Resort'!K53+'Endless Summer RV Resort (en079'!K45+Evergreen!K32+'Far Horizons'!K32+'Far Horizons (fa105)'!K32+'Floridian Sandalwood (fl356)'!K29+'Floridian Sandalwood MHC'!K33+Glenhaven!K37+'Glenhaven Estates (gl317)'!K37+'Harbor Lights (ha310)'!K38+'Harbor Lights MHC'!K36+'Harvest Gate'!K46+'Hunter Run RV Estates'!K87+'Hunters Run RV Estates (hu116)'!K200+'Jade Isle (ja068)'!K29+'Jade Isle MHC'!K31+'Kakusha Estates (ka045)'!K35+'Kakusha MHC'!K34+'Lakeside Village'!K40+'Lakeside Village (la482)'!K42+'Lakewood Village (la481)'!K101+'Lakewood Village MHC LLC'!K121+'Maple Corner'!K54+'Maple Corner (ma490)'!K44+'Marlboro Court (ma489)'!K32+'Marlboro Court MHC LLC'!K32+'May Manor'!K136+'May Manor (ma488)'!K68+'Mobiland by the Sea (mo320)'!K37+'Mobiland By The Sea MHC'!K38+'Moss Landing'!K65+'Moss Landing (mo321)'!K57+'Oak Springs'!K69+'Oak Springs MHC (oa150)'!K45+'Orange Manor East'!K34+'Orange Manor East (or125)'!K37+'Pacific Manor'!K43+'Pacific Manor (pa602)'!K45+Parkhaven!K100+Ridgecrest!K50+Riverest!K44+'Riverview MHRV LLC'!K47+Rosehaven!K112+'Sanctuary RV Resort'!K224+'Shadow Mountain MHC'!K31+Springhaven!K31+'Star Valley Ranch'!K42+Sunhaven!K38+'Sunny Grove'!K37+Tarponaire!K41+'Val Vista RV Resort'!K70+'Webster RV Resort LLC'!K57+'Wekiva Falls RV Resort'!K81+'West Jupiter RV Resort'!K38+'Western Way RV Resort LLC'!K130</f>
      </c>
      <c r="L10" s="18">
        <f>'Agave Village (ag011)'!L63+'Agave Village LLC'!L52+'Brookhaven Estates (bo260)'!L45+'Brookhaven RV Resort'!L41+'Courtly Manor'!L34+'Courtly Manor Park (co669)'!L35+'Cross Creek RV'!L130+'Cross Creek RV Resort (cr994)'!L136+'El Rio De Oro (el289)'!L32+'El Rio del Oro'!L35+'Endless Summer RV Resort'!L53+'Endless Summer RV Resort (en079'!L45+Evergreen!L32+'Far Horizons'!L32+'Far Horizons (fa105)'!L32+'Floridian Sandalwood (fl356)'!L29+'Floridian Sandalwood MHC'!L33+Glenhaven!L37+'Glenhaven Estates (gl317)'!L37+'Harbor Lights (ha310)'!L38+'Harbor Lights MHC'!L36+'Harvest Gate'!L46+'Hunter Run RV Estates'!L87+'Hunters Run RV Estates (hu116)'!L200+'Jade Isle (ja068)'!L29+'Jade Isle MHC'!L31+'Kakusha Estates (ka045)'!L35+'Kakusha MHC'!L34+'Lakeside Village'!L40+'Lakeside Village (la482)'!L42+'Lakewood Village (la481)'!L101+'Lakewood Village MHC LLC'!L121+'Maple Corner'!L54+'Maple Corner (ma490)'!L44+'Marlboro Court (ma489)'!L32+'Marlboro Court MHC LLC'!L32+'May Manor'!L136+'May Manor (ma488)'!L68+'Mobiland by the Sea (mo320)'!L37+'Mobiland By The Sea MHC'!L38+'Moss Landing'!L65+'Moss Landing (mo321)'!L57+'Oak Springs'!L69+'Oak Springs MHC (oa150)'!L45+'Orange Manor East'!L34+'Orange Manor East (or125)'!L37+'Pacific Manor'!L43+'Pacific Manor (pa602)'!L45+Parkhaven!L100+Ridgecrest!L50+Riverest!L44+'Riverview MHRV LLC'!L47+Rosehaven!L112+'Sanctuary RV Resort'!L224+'Shadow Mountain MHC'!L31+Springhaven!L31+'Star Valley Ranch'!L42+Sunhaven!L38+'Sunny Grove'!L37+Tarponaire!L41+'Val Vista RV Resort'!L70+'Webster RV Resort LLC'!L57+'Wekiva Falls RV Resort'!L81+'West Jupiter RV Resort'!L38+'Western Way RV Resort LLC'!L130</f>
      </c>
      <c r="M10" s="18">
        <f>'Agave Village (ag011)'!M63+'Agave Village LLC'!M52+'Brookhaven Estates (bo260)'!M45+'Brookhaven RV Resort'!M41+'Courtly Manor'!M34+'Courtly Manor Park (co669)'!M35+'Cross Creek RV'!M130+'Cross Creek RV Resort (cr994)'!M136+'El Rio De Oro (el289)'!M32+'El Rio del Oro'!M35+'Endless Summer RV Resort'!M53+'Endless Summer RV Resort (en079'!M45+Evergreen!M32+'Far Horizons'!M32+'Far Horizons (fa105)'!M32+'Floridian Sandalwood (fl356)'!M29+'Floridian Sandalwood MHC'!M33+Glenhaven!M37+'Glenhaven Estates (gl317)'!M37+'Harbor Lights (ha310)'!M38+'Harbor Lights MHC'!M36+'Harvest Gate'!M46+'Hunter Run RV Estates'!M87+'Hunters Run RV Estates (hu116)'!M200+'Jade Isle (ja068)'!M29+'Jade Isle MHC'!M31+'Kakusha Estates (ka045)'!M35+'Kakusha MHC'!M34+'Lakeside Village'!M40+'Lakeside Village (la482)'!M42+'Lakewood Village (la481)'!M101+'Lakewood Village MHC LLC'!M121+'Maple Corner'!M54+'Maple Corner (ma490)'!M44+'Marlboro Court (ma489)'!M32+'Marlboro Court MHC LLC'!M32+'May Manor'!M136+'May Manor (ma488)'!M68+'Mobiland by the Sea (mo320)'!M37+'Mobiland By The Sea MHC'!M38+'Moss Landing'!M65+'Moss Landing (mo321)'!M57+'Oak Springs'!M69+'Oak Springs MHC (oa150)'!M45+'Orange Manor East'!M34+'Orange Manor East (or125)'!M37+'Pacific Manor'!M43+'Pacific Manor (pa602)'!M45+Parkhaven!M100+Ridgecrest!M50+Riverest!M44+'Riverview MHRV LLC'!M47+Rosehaven!M112+'Sanctuary RV Resort'!M224+'Shadow Mountain MHC'!M31+Springhaven!M31+'Star Valley Ranch'!M42+Sunhaven!M38+'Sunny Grove'!M37+Tarponaire!M41+'Val Vista RV Resort'!M70+'Webster RV Resort LLC'!M57+'Wekiva Falls RV Resort'!M81+'West Jupiter RV Resort'!M38+'Western Way RV Resort LLC'!M130</f>
      </c>
      <c r="N10" s="18">
        <f>'Agave Village (ag011)'!N63+'Agave Village LLC'!N52+'Brookhaven Estates (bo260)'!N45+'Brookhaven RV Resort'!N41+'Courtly Manor'!N34+'Courtly Manor Park (co669)'!N35+'Cross Creek RV'!N130+'Cross Creek RV Resort (cr994)'!N136+'El Rio De Oro (el289)'!N32+'El Rio del Oro'!N35+'Endless Summer RV Resort'!N53+'Endless Summer RV Resort (en079'!N45+Evergreen!N32+'Far Horizons'!N32+'Far Horizons (fa105)'!N32+'Floridian Sandalwood (fl356)'!N29+'Floridian Sandalwood MHC'!N33+Glenhaven!N37+'Glenhaven Estates (gl317)'!N37+'Harbor Lights (ha310)'!N38+'Harbor Lights MHC'!N36+'Harvest Gate'!N46+'Hunter Run RV Estates'!N87+'Hunters Run RV Estates (hu116)'!N200+'Jade Isle (ja068)'!N29+'Jade Isle MHC'!N31+'Kakusha Estates (ka045)'!N35+'Kakusha MHC'!N34+'Lakeside Village'!N40+'Lakeside Village (la482)'!N42+'Lakewood Village (la481)'!N101+'Lakewood Village MHC LLC'!N121+'Maple Corner'!N54+'Maple Corner (ma490)'!N44+'Marlboro Court (ma489)'!N32+'Marlboro Court MHC LLC'!N32+'May Manor'!N136+'May Manor (ma488)'!N68+'Mobiland by the Sea (mo320)'!N37+'Mobiland By The Sea MHC'!N38+'Moss Landing'!N65+'Moss Landing (mo321)'!N57+'Oak Springs'!N69+'Oak Springs MHC (oa150)'!N45+'Orange Manor East'!N34+'Orange Manor East (or125)'!N37+'Pacific Manor'!N43+'Pacific Manor (pa602)'!N45+Parkhaven!N100+Ridgecrest!N50+Riverest!N44+'Riverview MHRV LLC'!N47+Rosehaven!N112+'Sanctuary RV Resort'!N224+'Shadow Mountain MHC'!N31+Springhaven!N31+'Star Valley Ranch'!N42+Sunhaven!N38+'Sunny Grove'!N37+Tarponaire!N41+'Val Vista RV Resort'!N70+'Webster RV Resort LLC'!N57+'Wekiva Falls RV Resort'!N81+'West Jupiter RV Resort'!N38+'Western Way RV Resort LLC'!N130</f>
      </c>
      <c r="O10" s="18">
        <f>'Agave Village (ag011)'!O63+'Agave Village LLC'!O52+'Brookhaven Estates (bo260)'!O45+'Brookhaven RV Resort'!O41+'Courtly Manor'!O34+'Courtly Manor Park (co669)'!O35+'Cross Creek RV'!O130+'Cross Creek RV Resort (cr994)'!O136+'El Rio De Oro (el289)'!O32+'El Rio del Oro'!O35+'Endless Summer RV Resort'!O53+'Endless Summer RV Resort (en079'!O45+Evergreen!O32+'Far Horizons'!O32+'Far Horizons (fa105)'!O32+'Floridian Sandalwood (fl356)'!O29+'Floridian Sandalwood MHC'!O33+Glenhaven!O37+'Glenhaven Estates (gl317)'!O37+'Harbor Lights (ha310)'!O38+'Harbor Lights MHC'!O36+'Harvest Gate'!O46+'Hunter Run RV Estates'!O87+'Hunters Run RV Estates (hu116)'!O200+'Jade Isle (ja068)'!O29+'Jade Isle MHC'!O31+'Kakusha Estates (ka045)'!O35+'Kakusha MHC'!O34+'Lakeside Village'!O40+'Lakeside Village (la482)'!O42+'Lakewood Village (la481)'!O101+'Lakewood Village MHC LLC'!O121+'Maple Corner'!O54+'Maple Corner (ma490)'!O44+'Marlboro Court (ma489)'!O32+'Marlboro Court MHC LLC'!O32+'May Manor'!O136+'May Manor (ma488)'!O68+'Mobiland by the Sea (mo320)'!O37+'Mobiland By The Sea MHC'!O38+'Moss Landing'!O65+'Moss Landing (mo321)'!O57+'Oak Springs'!O69+'Oak Springs MHC (oa150)'!O45+'Orange Manor East'!O34+'Orange Manor East (or125)'!O37+'Pacific Manor'!O43+'Pacific Manor (pa602)'!O45+Parkhaven!O100+Ridgecrest!O50+Riverest!O44+'Riverview MHRV LLC'!O47+Rosehaven!O112+'Sanctuary RV Resort'!O224+'Shadow Mountain MHC'!O31+Springhaven!O31+'Star Valley Ranch'!O42+Sunhaven!O38+'Sunny Grove'!O37+Tarponaire!O41+'Val Vista RV Resort'!O70+'Webster RV Resort LLC'!O57+'Wekiva Falls RV Resort'!O81+'West Jupiter RV Resort'!O38+'Western Way RV Resort LLC'!O130</f>
      </c>
      <c r="P10" s="18">
        <f>'Agave Village (ag011)'!P63+'Agave Village LLC'!P52+'Brookhaven Estates (bo260)'!P45+'Brookhaven RV Resort'!P41+'Courtly Manor'!P34+'Courtly Manor Park (co669)'!P35+'Cross Creek RV'!P130+'Cross Creek RV Resort (cr994)'!P136+'El Rio De Oro (el289)'!P32+'El Rio del Oro'!P35+'Endless Summer RV Resort'!P53+'Endless Summer RV Resort (en079'!P45+Evergreen!P32+'Far Horizons'!P32+'Far Horizons (fa105)'!P32+'Floridian Sandalwood (fl356)'!P29+'Floridian Sandalwood MHC'!P33+Glenhaven!P37+'Glenhaven Estates (gl317)'!P37+'Harbor Lights (ha310)'!P38+'Harbor Lights MHC'!P36+'Harvest Gate'!P46+'Hunter Run RV Estates'!P87+'Hunters Run RV Estates (hu116)'!P200+'Jade Isle (ja068)'!P29+'Jade Isle MHC'!P31+'Kakusha Estates (ka045)'!P35+'Kakusha MHC'!P34+'Lakeside Village'!P40+'Lakeside Village (la482)'!P42+'Lakewood Village (la481)'!P101+'Lakewood Village MHC LLC'!P121+'Maple Corner'!P54+'Maple Corner (ma490)'!P44+'Marlboro Court (ma489)'!P32+'Marlboro Court MHC LLC'!P32+'May Manor'!P136+'May Manor (ma488)'!P68+'Mobiland by the Sea (mo320)'!P37+'Mobiland By The Sea MHC'!P38+'Moss Landing'!P65+'Moss Landing (mo321)'!P57+'Oak Springs'!P69+'Oak Springs MHC (oa150)'!P45+'Orange Manor East'!P34+'Orange Manor East (or125)'!P37+'Pacific Manor'!P43+'Pacific Manor (pa602)'!P45+Parkhaven!P100+Ridgecrest!P50+Riverest!P44+'Riverview MHRV LLC'!P47+Rosehaven!P112+'Sanctuary RV Resort'!P224+'Shadow Mountain MHC'!P31+Springhaven!P31+'Star Valley Ranch'!P42+Sunhaven!P38+'Sunny Grove'!P37+Tarponaire!P41+'Val Vista RV Resort'!P70+'Webster RV Resort LLC'!P57+'Wekiva Falls RV Resort'!P81+'West Jupiter RV Resort'!P38+'Western Way RV Resort LLC'!P130</f>
      </c>
      <c r="Q10" s="18">
        <f>'Agave Village (ag011)'!Q63+'Agave Village LLC'!Q52+'Brookhaven Estates (bo260)'!Q45+'Brookhaven RV Resort'!Q41+'Courtly Manor'!Q34+'Courtly Manor Park (co669)'!Q35+'Cross Creek RV'!Q130+'Cross Creek RV Resort (cr994)'!Q136+'El Rio De Oro (el289)'!Q32+'El Rio del Oro'!Q35+'Endless Summer RV Resort'!Q53+'Endless Summer RV Resort (en079'!Q45+Evergreen!Q32+'Far Horizons'!Q32+'Far Horizons (fa105)'!Q32+'Floridian Sandalwood (fl356)'!Q29+'Floridian Sandalwood MHC'!Q33+Glenhaven!Q37+'Glenhaven Estates (gl317)'!Q37+'Harbor Lights (ha310)'!Q38+'Harbor Lights MHC'!Q36+'Harvest Gate'!Q46+'Hunter Run RV Estates'!Q87+'Hunters Run RV Estates (hu116)'!Q200+'Jade Isle (ja068)'!Q29+'Jade Isle MHC'!Q31+'Kakusha Estates (ka045)'!Q35+'Kakusha MHC'!Q34+'Lakeside Village'!Q40+'Lakeside Village (la482)'!Q42+'Lakewood Village (la481)'!Q101+'Lakewood Village MHC LLC'!Q121+'Maple Corner'!Q54+'Maple Corner (ma490)'!Q44+'Marlboro Court (ma489)'!Q32+'Marlboro Court MHC LLC'!Q32+'May Manor'!Q136+'May Manor (ma488)'!Q68+'Mobiland by the Sea (mo320)'!Q37+'Mobiland By The Sea MHC'!Q38+'Moss Landing'!Q65+'Moss Landing (mo321)'!Q57+'Oak Springs'!Q69+'Oak Springs MHC (oa150)'!Q45+'Orange Manor East'!Q34+'Orange Manor East (or125)'!Q37+'Pacific Manor'!Q43+'Pacific Manor (pa602)'!Q45+Parkhaven!Q100+Ridgecrest!Q50+Riverest!Q44+'Riverview MHRV LLC'!Q47+Rosehaven!Q112+'Sanctuary RV Resort'!Q224+'Shadow Mountain MHC'!Q31+Springhaven!Q31+'Star Valley Ranch'!Q42+Sunhaven!Q38+'Sunny Grove'!Q37+Tarponaire!Q41+'Val Vista RV Resort'!Q70+'Webster RV Resort LLC'!Q57+'Wekiva Falls RV Resort'!Q81+'West Jupiter RV Resort'!Q38+'Western Way RV Resort LLC'!Q130</f>
      </c>
      <c r="R10" s="18">
        <f>'Agave Village (ag011)'!R63+'Agave Village LLC'!R52+'Brookhaven Estates (bo260)'!R45+'Brookhaven RV Resort'!R41+'Courtly Manor'!R34+'Courtly Manor Park (co669)'!R35+'Cross Creek RV'!R130+'Cross Creek RV Resort (cr994)'!R136+'El Rio De Oro (el289)'!R32+'El Rio del Oro'!R35+'Endless Summer RV Resort'!R53+'Endless Summer RV Resort (en079'!R45+Evergreen!R32+'Far Horizons'!R32+'Far Horizons (fa105)'!R32+'Floridian Sandalwood (fl356)'!R29+'Floridian Sandalwood MHC'!R33+Glenhaven!R37+'Glenhaven Estates (gl317)'!R37+'Harbor Lights (ha310)'!R38+'Harbor Lights MHC'!R36+'Harvest Gate'!R46+'Hunter Run RV Estates'!R87+'Hunters Run RV Estates (hu116)'!R200+'Jade Isle (ja068)'!R29+'Jade Isle MHC'!R31+'Kakusha Estates (ka045)'!R35+'Kakusha MHC'!R34+'Lakeside Village'!R40+'Lakeside Village (la482)'!R42+'Lakewood Village (la481)'!R101+'Lakewood Village MHC LLC'!R121+'Maple Corner'!R54+'Maple Corner (ma490)'!R44+'Marlboro Court (ma489)'!R32+'Marlboro Court MHC LLC'!R32+'May Manor'!R136+'May Manor (ma488)'!R68+'Mobiland by the Sea (mo320)'!R37+'Mobiland By The Sea MHC'!R38+'Moss Landing'!R65+'Moss Landing (mo321)'!R57+'Oak Springs'!R69+'Oak Springs MHC (oa150)'!R45+'Orange Manor East'!R34+'Orange Manor East (or125)'!R37+'Pacific Manor'!R43+'Pacific Manor (pa602)'!R45+Parkhaven!R100+Ridgecrest!R50+Riverest!R44+'Riverview MHRV LLC'!R47+Rosehaven!R112+'Sanctuary RV Resort'!R224+'Shadow Mountain MHC'!R31+Springhaven!R31+'Star Valley Ranch'!R42+Sunhaven!R38+'Sunny Grove'!R37+Tarponaire!R41+'Val Vista RV Resort'!R70+'Webster RV Resort LLC'!R57+'Wekiva Falls RV Resort'!R81+'West Jupiter RV Resort'!R38+'Western Way RV Resort LLC'!R130</f>
      </c>
      <c r="S10" s="18">
        <f>'Agave Village (ag011)'!S63+'Agave Village LLC'!S52+'Brookhaven Estates (bo260)'!S45+'Brookhaven RV Resort'!S41+'Courtly Manor'!S34+'Courtly Manor Park (co669)'!S35+'Cross Creek RV'!S130+'Cross Creek RV Resort (cr994)'!S136+'El Rio De Oro (el289)'!S32+'El Rio del Oro'!S35+'Endless Summer RV Resort'!S53+'Endless Summer RV Resort (en079'!S45+Evergreen!S32+'Far Horizons'!S32+'Far Horizons (fa105)'!S32+'Floridian Sandalwood (fl356)'!S29+'Floridian Sandalwood MHC'!S33+Glenhaven!S37+'Glenhaven Estates (gl317)'!S37+'Harbor Lights (ha310)'!S38+'Harbor Lights MHC'!S36+'Harvest Gate'!S46+'Hunter Run RV Estates'!S87+'Hunters Run RV Estates (hu116)'!S200+'Jade Isle (ja068)'!S29+'Jade Isle MHC'!S31+'Kakusha Estates (ka045)'!S35+'Kakusha MHC'!S34+'Lakeside Village'!S40+'Lakeside Village (la482)'!S42+'Lakewood Village (la481)'!S101+'Lakewood Village MHC LLC'!S121+'Maple Corner'!S54+'Maple Corner (ma490)'!S44+'Marlboro Court (ma489)'!S32+'Marlboro Court MHC LLC'!S32+'May Manor'!S136+'May Manor (ma488)'!S68+'Mobiland by the Sea (mo320)'!S37+'Mobiland By The Sea MHC'!S38+'Moss Landing'!S65+'Moss Landing (mo321)'!S57+'Oak Springs'!S69+'Oak Springs MHC (oa150)'!S45+'Orange Manor East'!S34+'Orange Manor East (or125)'!S37+'Pacific Manor'!S43+'Pacific Manor (pa602)'!S45+Parkhaven!S100+Ridgecrest!S50+Riverest!S44+'Riverview MHRV LLC'!S47+Rosehaven!S112+'Sanctuary RV Resort'!S224+'Shadow Mountain MHC'!S31+Springhaven!S31+'Star Valley Ranch'!S42+Sunhaven!S38+'Sunny Grove'!S37+Tarponaire!S41+'Val Vista RV Resort'!S70+'Webster RV Resort LLC'!S57+'Wekiva Falls RV Resort'!S81+'West Jupiter RV Resort'!S38+'Western Way RV Resort LLC'!S130</f>
      </c>
      <c r="T10" s="18">
        <f>'Agave Village (ag011)'!T63+'Agave Village LLC'!T52+'Brookhaven Estates (bo260)'!T45+'Brookhaven RV Resort'!T41+'Courtly Manor'!T34+'Courtly Manor Park (co669)'!T35+'Cross Creek RV'!T130+'Cross Creek RV Resort (cr994)'!T136+'El Rio De Oro (el289)'!T32+'El Rio del Oro'!T35+'Endless Summer RV Resort'!T53+'Endless Summer RV Resort (en079'!T45+Evergreen!T32+'Far Horizons'!T32+'Far Horizons (fa105)'!T32+'Floridian Sandalwood (fl356)'!T29+'Floridian Sandalwood MHC'!T33+Glenhaven!T37+'Glenhaven Estates (gl317)'!T37+'Harbor Lights (ha310)'!T38+'Harbor Lights MHC'!T36+'Harvest Gate'!T46+'Hunter Run RV Estates'!T87+'Hunters Run RV Estates (hu116)'!T200+'Jade Isle (ja068)'!T29+'Jade Isle MHC'!T31+'Kakusha Estates (ka045)'!T35+'Kakusha MHC'!T34+'Lakeside Village'!T40+'Lakeside Village (la482)'!T42+'Lakewood Village (la481)'!T101+'Lakewood Village MHC LLC'!T121+'Maple Corner'!T54+'Maple Corner (ma490)'!T44+'Marlboro Court (ma489)'!T32+'Marlboro Court MHC LLC'!T32+'May Manor'!T136+'May Manor (ma488)'!T68+'Mobiland by the Sea (mo320)'!T37+'Mobiland By The Sea MHC'!T38+'Moss Landing'!T65+'Moss Landing (mo321)'!T57+'Oak Springs'!T69+'Oak Springs MHC (oa150)'!T45+'Orange Manor East'!T34+'Orange Manor East (or125)'!T37+'Pacific Manor'!T43+'Pacific Manor (pa602)'!T45+Parkhaven!T100+Ridgecrest!T50+Riverest!T44+'Riverview MHRV LLC'!T47+Rosehaven!T112+'Sanctuary RV Resort'!T224+'Shadow Mountain MHC'!T31+Springhaven!T31+'Star Valley Ranch'!T42+Sunhaven!T38+'Sunny Grove'!T37+Tarponaire!T41+'Val Vista RV Resort'!T70+'Webster RV Resort LLC'!T57+'Wekiva Falls RV Resort'!T81+'West Jupiter RV Resort'!T38+'Western Way RV Resort LLC'!T130</f>
      </c>
      <c r="U10" s="18">
        <f>'Agave Village (ag011)'!U63+'Agave Village LLC'!U52+'Brookhaven Estates (bo260)'!U45+'Brookhaven RV Resort'!U41+'Courtly Manor'!U34+'Courtly Manor Park (co669)'!U35+'Cross Creek RV'!U130+'Cross Creek RV Resort (cr994)'!U136+'El Rio De Oro (el289)'!U32+'El Rio del Oro'!U35+'Endless Summer RV Resort'!U53+'Endless Summer RV Resort (en079'!U45+Evergreen!U32+'Far Horizons'!U32+'Far Horizons (fa105)'!U32+'Floridian Sandalwood (fl356)'!U29+'Floridian Sandalwood MHC'!U33+Glenhaven!U37+'Glenhaven Estates (gl317)'!U37+'Harbor Lights (ha310)'!U38+'Harbor Lights MHC'!U36+'Harvest Gate'!U46+'Hunter Run RV Estates'!U87+'Hunters Run RV Estates (hu116)'!U200+'Jade Isle (ja068)'!U29+'Jade Isle MHC'!U31+'Kakusha Estates (ka045)'!U35+'Kakusha MHC'!U34+'Lakeside Village'!U40+'Lakeside Village (la482)'!U42+'Lakewood Village (la481)'!U101+'Lakewood Village MHC LLC'!U121+'Maple Corner'!U54+'Maple Corner (ma490)'!U44+'Marlboro Court (ma489)'!U32+'Marlboro Court MHC LLC'!U32+'May Manor'!U136+'May Manor (ma488)'!U68+'Mobiland by the Sea (mo320)'!U37+'Mobiland By The Sea MHC'!U38+'Moss Landing'!U65+'Moss Landing (mo321)'!U57+'Oak Springs'!U69+'Oak Springs MHC (oa150)'!U45+'Orange Manor East'!U34+'Orange Manor East (or125)'!U37+'Pacific Manor'!U43+'Pacific Manor (pa602)'!U45+Parkhaven!U100+Ridgecrest!U50+Riverest!U44+'Riverview MHRV LLC'!U47+Rosehaven!U112+'Sanctuary RV Resort'!U224+'Shadow Mountain MHC'!U31+Springhaven!U31+'Star Valley Ranch'!U42+Sunhaven!U38+'Sunny Grove'!U37+Tarponaire!U41+'Val Vista RV Resort'!U70+'Webster RV Resort LLC'!U57+'Wekiva Falls RV Resort'!U81+'West Jupiter RV Resort'!U38+'Western Way RV Resort LLC'!U130</f>
      </c>
      <c r="V10" s="18">
        <f>'Agave Village (ag011)'!V63+'Agave Village LLC'!V52+'Brookhaven Estates (bo260)'!V45+'Brookhaven RV Resort'!V41+'Courtly Manor'!V34+'Courtly Manor Park (co669)'!V35+'Cross Creek RV'!V130+'Cross Creek RV Resort (cr994)'!V136+'El Rio De Oro (el289)'!V32+'El Rio del Oro'!V35+'Endless Summer RV Resort'!V53+'Endless Summer RV Resort (en079'!V45+Evergreen!V32+'Far Horizons'!V32+'Far Horizons (fa105)'!V32+'Floridian Sandalwood (fl356)'!V29+'Floridian Sandalwood MHC'!V33+Glenhaven!V37+'Glenhaven Estates (gl317)'!V37+'Harbor Lights (ha310)'!V38+'Harbor Lights MHC'!V36+'Harvest Gate'!V46+'Hunter Run RV Estates'!V87+'Hunters Run RV Estates (hu116)'!V200+'Jade Isle (ja068)'!V29+'Jade Isle MHC'!V31+'Kakusha Estates (ka045)'!V35+'Kakusha MHC'!V34+'Lakeside Village'!V40+'Lakeside Village (la482)'!V42+'Lakewood Village (la481)'!V101+'Lakewood Village MHC LLC'!V121+'Maple Corner'!V54+'Maple Corner (ma490)'!V44+'Marlboro Court (ma489)'!V32+'Marlboro Court MHC LLC'!V32+'May Manor'!V136+'May Manor (ma488)'!V68+'Mobiland by the Sea (mo320)'!V37+'Mobiland By The Sea MHC'!V38+'Moss Landing'!V65+'Moss Landing (mo321)'!V57+'Oak Springs'!V69+'Oak Springs MHC (oa150)'!V45+'Orange Manor East'!V34+'Orange Manor East (or125)'!V37+'Pacific Manor'!V43+'Pacific Manor (pa602)'!V45+Parkhaven!V100+Ridgecrest!V50+Riverest!V44+'Riverview MHRV LLC'!V47+Rosehaven!V112+'Sanctuary RV Resort'!V224+'Shadow Mountain MHC'!V31+Springhaven!V31+'Star Valley Ranch'!V42+Sunhaven!V38+'Sunny Grove'!V37+Tarponaire!V41+'Val Vista RV Resort'!V70+'Webster RV Resort LLC'!V57+'Wekiva Falls RV Resort'!V81+'West Jupiter RV Resort'!V38+'Western Way RV Resort LLC'!V130</f>
      </c>
      <c r="W10" s="18">
        <f>'Agave Village (ag011)'!W63+'Agave Village LLC'!W52+'Brookhaven Estates (bo260)'!W45+'Brookhaven RV Resort'!W41+'Courtly Manor'!W34+'Courtly Manor Park (co669)'!W35+'Cross Creek RV'!W130+'Cross Creek RV Resort (cr994)'!W136+'El Rio De Oro (el289)'!W32+'El Rio del Oro'!W35+'Endless Summer RV Resort'!W53+'Endless Summer RV Resort (en079'!W45+Evergreen!W32+'Far Horizons'!W32+'Far Horizons (fa105)'!W32+'Floridian Sandalwood (fl356)'!W29+'Floridian Sandalwood MHC'!W33+Glenhaven!W37+'Glenhaven Estates (gl317)'!W37+'Harbor Lights (ha310)'!W38+'Harbor Lights MHC'!W36+'Harvest Gate'!W46+'Hunter Run RV Estates'!W87+'Hunters Run RV Estates (hu116)'!W200+'Jade Isle (ja068)'!W29+'Jade Isle MHC'!W31+'Kakusha Estates (ka045)'!W35+'Kakusha MHC'!W34+'Lakeside Village'!W40+'Lakeside Village (la482)'!W42+'Lakewood Village (la481)'!W101+'Lakewood Village MHC LLC'!W121+'Maple Corner'!W54+'Maple Corner (ma490)'!W44+'Marlboro Court (ma489)'!W32+'Marlboro Court MHC LLC'!W32+'May Manor'!W136+'May Manor (ma488)'!W68+'Mobiland by the Sea (mo320)'!W37+'Mobiland By The Sea MHC'!W38+'Moss Landing'!W65+'Moss Landing (mo321)'!W57+'Oak Springs'!W69+'Oak Springs MHC (oa150)'!W45+'Orange Manor East'!W34+'Orange Manor East (or125)'!W37+'Pacific Manor'!W43+'Pacific Manor (pa602)'!W45+Parkhaven!W100+Ridgecrest!W50+Riverest!W44+'Riverview MHRV LLC'!W47+Rosehaven!W112+'Sanctuary RV Resort'!W224+'Shadow Mountain MHC'!W31+Springhaven!W31+'Star Valley Ranch'!W42+Sunhaven!W38+'Sunny Grove'!W37+Tarponaire!W41+'Val Vista RV Resort'!W70+'Webster RV Resort LLC'!W57+'Wekiva Falls RV Resort'!W81+'West Jupiter RV Resort'!W38+'Western Way RV Resort LLC'!W130</f>
      </c>
      <c r="X10" s="18">
        <f>'Agave Village (ag011)'!X63+'Agave Village LLC'!X52+'Brookhaven Estates (bo260)'!X45+'Brookhaven RV Resort'!X41+'Courtly Manor'!X34+'Courtly Manor Park (co669)'!X35+'Cross Creek RV'!X130+'Cross Creek RV Resort (cr994)'!X136+'El Rio De Oro (el289)'!X32+'El Rio del Oro'!X35+'Endless Summer RV Resort'!X53+'Endless Summer RV Resort (en079'!X45+Evergreen!X32+'Far Horizons'!X32+'Far Horizons (fa105)'!X32+'Floridian Sandalwood (fl356)'!X29+'Floridian Sandalwood MHC'!X33+Glenhaven!X37+'Glenhaven Estates (gl317)'!X37+'Harbor Lights (ha310)'!X38+'Harbor Lights MHC'!X36+'Harvest Gate'!X46+'Hunter Run RV Estates'!X87+'Hunters Run RV Estates (hu116)'!X200+'Jade Isle (ja068)'!X29+'Jade Isle MHC'!X31+'Kakusha Estates (ka045)'!X35+'Kakusha MHC'!X34+'Lakeside Village'!X40+'Lakeside Village (la482)'!X42+'Lakewood Village (la481)'!X101+'Lakewood Village MHC LLC'!X121+'Maple Corner'!X54+'Maple Corner (ma490)'!X44+'Marlboro Court (ma489)'!X32+'Marlboro Court MHC LLC'!X32+'May Manor'!X136+'May Manor (ma488)'!X68+'Mobiland by the Sea (mo320)'!X37+'Mobiland By The Sea MHC'!X38+'Moss Landing'!X65+'Moss Landing (mo321)'!X57+'Oak Springs'!X69+'Oak Springs MHC (oa150)'!X45+'Orange Manor East'!X34+'Orange Manor East (or125)'!X37+'Pacific Manor'!X43+'Pacific Manor (pa602)'!X45+Parkhaven!X100+Ridgecrest!X50+Riverest!X44+'Riverview MHRV LLC'!X47+Rosehaven!X112+'Sanctuary RV Resort'!X224+'Shadow Mountain MHC'!X31+Springhaven!X31+'Star Valley Ranch'!X42+Sunhaven!X38+'Sunny Grove'!X37+Tarponaire!X41+'Val Vista RV Resort'!X70+'Webster RV Resort LLC'!X57+'Wekiva Falls RV Resort'!X81+'West Jupiter RV Resort'!X38+'Western Way RV Resort LLC'!X130</f>
      </c>
      <c r="Y10" s="18">
        <f>'Agave Village (ag011)'!Y63+'Agave Village LLC'!Y52+'Brookhaven Estates (bo260)'!Y45+'Brookhaven RV Resort'!Y41+'Courtly Manor'!Y34+'Courtly Manor Park (co669)'!Y35+'Cross Creek RV'!Y130+'Cross Creek RV Resort (cr994)'!Y136+'El Rio De Oro (el289)'!Y32+'El Rio del Oro'!Y35+'Endless Summer RV Resort'!Y53+'Endless Summer RV Resort (en079'!Y45+Evergreen!Y32+'Far Horizons'!Y32+'Far Horizons (fa105)'!Y32+'Floridian Sandalwood (fl356)'!Y29+'Floridian Sandalwood MHC'!Y33+Glenhaven!Y37+'Glenhaven Estates (gl317)'!Y37+'Harbor Lights (ha310)'!Y38+'Harbor Lights MHC'!Y36+'Harvest Gate'!Y46+'Hunter Run RV Estates'!Y87+'Hunters Run RV Estates (hu116)'!Y200+'Jade Isle (ja068)'!Y29+'Jade Isle MHC'!Y31+'Kakusha Estates (ka045)'!Y35+'Kakusha MHC'!Y34+'Lakeside Village'!Y40+'Lakeside Village (la482)'!Y42+'Lakewood Village (la481)'!Y101+'Lakewood Village MHC LLC'!Y121+'Maple Corner'!Y54+'Maple Corner (ma490)'!Y44+'Marlboro Court (ma489)'!Y32+'Marlboro Court MHC LLC'!Y32+'May Manor'!Y136+'May Manor (ma488)'!Y68+'Mobiland by the Sea (mo320)'!Y37+'Mobiland By The Sea MHC'!Y38+'Moss Landing'!Y65+'Moss Landing (mo321)'!Y57+'Oak Springs'!Y69+'Oak Springs MHC (oa150)'!Y45+'Orange Manor East'!Y34+'Orange Manor East (or125)'!Y37+'Pacific Manor'!Y43+'Pacific Manor (pa602)'!Y45+Parkhaven!Y100+Ridgecrest!Y50+Riverest!Y44+'Riverview MHRV LLC'!Y47+Rosehaven!Y112+'Sanctuary RV Resort'!Y224+'Shadow Mountain MHC'!Y31+Springhaven!Y31+'Star Valley Ranch'!Y42+Sunhaven!Y38+'Sunny Grove'!Y37+Tarponaire!Y41+'Val Vista RV Resort'!Y70+'Webster RV Resort LLC'!Y57+'Wekiva Falls RV Resort'!Y81+'West Jupiter RV Resort'!Y38+'Western Way RV Resort LLC'!Y130</f>
      </c>
      <c r="Z10" s="18">
        <f>'Agave Village (ag011)'!Z63+'Agave Village LLC'!Z52+'Brookhaven Estates (bo260)'!Z45+'Brookhaven RV Resort'!Z41+'Courtly Manor'!Z34+'Courtly Manor Park (co669)'!Z35+'Cross Creek RV'!Z130+'Cross Creek RV Resort (cr994)'!Z136+'El Rio De Oro (el289)'!Z32+'El Rio del Oro'!Z35+'Endless Summer RV Resort'!Z53+'Endless Summer RV Resort (en079'!Z45+Evergreen!Z32+'Far Horizons'!Z32+'Far Horizons (fa105)'!Z32+'Floridian Sandalwood (fl356)'!Z29+'Floridian Sandalwood MHC'!Z33+Glenhaven!Z37+'Glenhaven Estates (gl317)'!Z37+'Harbor Lights (ha310)'!Z38+'Harbor Lights MHC'!Z36+'Harvest Gate'!Z46+'Hunter Run RV Estates'!Z87+'Hunters Run RV Estates (hu116)'!Z200+'Jade Isle (ja068)'!Z29+'Jade Isle MHC'!Z31+'Kakusha Estates (ka045)'!Z35+'Kakusha MHC'!Z34+'Lakeside Village'!Z40+'Lakeside Village (la482)'!Z42+'Lakewood Village (la481)'!Z101+'Lakewood Village MHC LLC'!Z121+'Maple Corner'!Z54+'Maple Corner (ma490)'!Z44+'Marlboro Court (ma489)'!Z32+'Marlboro Court MHC LLC'!Z32+'May Manor'!Z136+'May Manor (ma488)'!Z68+'Mobiland by the Sea (mo320)'!Z37+'Mobiland By The Sea MHC'!Z38+'Moss Landing'!Z65+'Moss Landing (mo321)'!Z57+'Oak Springs'!Z69+'Oak Springs MHC (oa150)'!Z45+'Orange Manor East'!Z34+'Orange Manor East (or125)'!Z37+'Pacific Manor'!Z43+'Pacific Manor (pa602)'!Z45+Parkhaven!Z100+Ridgecrest!Z50+Riverest!Z44+'Riverview MHRV LLC'!Z47+Rosehaven!Z112+'Sanctuary RV Resort'!Z224+'Shadow Mountain MHC'!Z31+Springhaven!Z31+'Star Valley Ranch'!Z42+Sunhaven!Z38+'Sunny Grove'!Z37+Tarponaire!Z41+'Val Vista RV Resort'!Z70+'Webster RV Resort LLC'!Z57+'Wekiva Falls RV Resort'!Z81+'West Jupiter RV Resort'!Z38+'Western Way RV Resort LLC'!Z130</f>
      </c>
      <c r="AA10" s="18">
        <f>'Agave Village (ag011)'!AA63+'Agave Village LLC'!AA52+'Brookhaven Estates (bo260)'!AA45+'Brookhaven RV Resort'!AA41+'Courtly Manor'!AA34+'Courtly Manor Park (co669)'!AA35+'Cross Creek RV'!AA130+'Cross Creek RV Resort (cr994)'!AA136+'El Rio De Oro (el289)'!AA32+'El Rio del Oro'!AA35+'Endless Summer RV Resort'!AA53+'Endless Summer RV Resort (en079'!AA45+Evergreen!AA32+'Far Horizons'!AA32+'Far Horizons (fa105)'!AA32+'Floridian Sandalwood (fl356)'!AA29+'Floridian Sandalwood MHC'!AA33+Glenhaven!AA37+'Glenhaven Estates (gl317)'!AA37+'Harbor Lights (ha310)'!AA38+'Harbor Lights MHC'!AA36+'Harvest Gate'!AA46+'Hunter Run RV Estates'!AA87+'Hunters Run RV Estates (hu116)'!AA200+'Jade Isle (ja068)'!AA29+'Jade Isle MHC'!AA31+'Kakusha Estates (ka045)'!AA35+'Kakusha MHC'!AA34+'Lakeside Village'!AA40+'Lakeside Village (la482)'!AA42+'Lakewood Village (la481)'!AA101+'Lakewood Village MHC LLC'!AA121+'Maple Corner'!AA54+'Maple Corner (ma490)'!AA44+'Marlboro Court (ma489)'!AA32+'Marlboro Court MHC LLC'!AA32+'May Manor'!AA136+'May Manor (ma488)'!AA68+'Mobiland by the Sea (mo320)'!AA37+'Mobiland By The Sea MHC'!AA38+'Moss Landing'!AA65+'Moss Landing (mo321)'!AA57+'Oak Springs'!AA69+'Oak Springs MHC (oa150)'!AA45+'Orange Manor East'!AA34+'Orange Manor East (or125)'!AA37+'Pacific Manor'!AA43+'Pacific Manor (pa602)'!AA45+Parkhaven!AA100+Ridgecrest!AA50+Riverest!AA44+'Riverview MHRV LLC'!AA47+Rosehaven!AA112+'Sanctuary RV Resort'!AA224+'Shadow Mountain MHC'!AA31+Springhaven!AA31+'Star Valley Ranch'!AA42+Sunhaven!AA38+'Sunny Grove'!AA37+Tarponaire!AA41+'Val Vista RV Resort'!AA70+'Webster RV Resort LLC'!AA57+'Wekiva Falls RV Resort'!AA81+'West Jupiter RV Resort'!AA38+'Western Way RV Resort LLC'!AA130</f>
      </c>
      <c r="AB10" s="18">
        <f>'Agave Village (ag011)'!AB63+'Agave Village LLC'!AB52+'Brookhaven Estates (bo260)'!AB45+'Brookhaven RV Resort'!AB41+'Courtly Manor'!AB34+'Courtly Manor Park (co669)'!AB35+'Cross Creek RV'!AB130+'Cross Creek RV Resort (cr994)'!AB136+'El Rio De Oro (el289)'!AB32+'El Rio del Oro'!AB35+'Endless Summer RV Resort'!AB53+'Endless Summer RV Resort (en079'!AB45+Evergreen!AB32+'Far Horizons'!AB32+'Far Horizons (fa105)'!AB32+'Floridian Sandalwood (fl356)'!AB29+'Floridian Sandalwood MHC'!AB33+Glenhaven!AB37+'Glenhaven Estates (gl317)'!AB37+'Harbor Lights (ha310)'!AB38+'Harbor Lights MHC'!AB36+'Harvest Gate'!AB46+'Hunter Run RV Estates'!AB87+'Hunters Run RV Estates (hu116)'!AB200+'Jade Isle (ja068)'!AB29+'Jade Isle MHC'!AB31+'Kakusha Estates (ka045)'!AB35+'Kakusha MHC'!AB34+'Lakeside Village'!AB40+'Lakeside Village (la482)'!AB42+'Lakewood Village (la481)'!AB101+'Lakewood Village MHC LLC'!AB121+'Maple Corner'!AB54+'Maple Corner (ma490)'!AB44+'Marlboro Court (ma489)'!AB32+'Marlboro Court MHC LLC'!AB32+'May Manor'!AB136+'May Manor (ma488)'!AB68+'Mobiland by the Sea (mo320)'!AB37+'Mobiland By The Sea MHC'!AB38+'Moss Landing'!AB65+'Moss Landing (mo321)'!AB57+'Oak Springs'!AB69+'Oak Springs MHC (oa150)'!AB45+'Orange Manor East'!AB34+'Orange Manor East (or125)'!AB37+'Pacific Manor'!AB43+'Pacific Manor (pa602)'!AB45+Parkhaven!AB100+Ridgecrest!AB50+Riverest!AB44+'Riverview MHRV LLC'!AB47+Rosehaven!AB112+'Sanctuary RV Resort'!AB224+'Shadow Mountain MHC'!AB31+Springhaven!AB31+'Star Valley Ranch'!AB42+Sunhaven!AB38+'Sunny Grove'!AB37+Tarponaire!AB41+'Val Vista RV Resort'!AB70+'Webster RV Resort LLC'!AB57+'Wekiva Falls RV Resort'!AB81+'West Jupiter RV Resort'!AB38+'Western Way RV Resort LLC'!AB130</f>
      </c>
      <c r="AC10" s="18">
        <f>'Agave Village (ag011)'!AC63+'Agave Village LLC'!AC52+'Brookhaven Estates (bo260)'!AC45+'Brookhaven RV Resort'!AC41+'Courtly Manor'!AC34+'Courtly Manor Park (co669)'!AC35+'Cross Creek RV'!AC130+'Cross Creek RV Resort (cr994)'!AC136+'El Rio De Oro (el289)'!AC32+'El Rio del Oro'!AC35+'Endless Summer RV Resort'!AC53+'Endless Summer RV Resort (en079'!AC45+Evergreen!AC32+'Far Horizons'!AC32+'Far Horizons (fa105)'!AC32+'Floridian Sandalwood (fl356)'!AC29+'Floridian Sandalwood MHC'!AC33+Glenhaven!AC37+'Glenhaven Estates (gl317)'!AC37+'Harbor Lights (ha310)'!AC38+'Harbor Lights MHC'!AC36+'Harvest Gate'!AC46+'Hunter Run RV Estates'!AC87+'Hunters Run RV Estates (hu116)'!AC200+'Jade Isle (ja068)'!AC29+'Jade Isle MHC'!AC31+'Kakusha Estates (ka045)'!AC35+'Kakusha MHC'!AC34+'Lakeside Village'!AC40+'Lakeside Village (la482)'!AC42+'Lakewood Village (la481)'!AC101+'Lakewood Village MHC LLC'!AC121+'Maple Corner'!AC54+'Maple Corner (ma490)'!AC44+'Marlboro Court (ma489)'!AC32+'Marlboro Court MHC LLC'!AC32+'May Manor'!AC136+'May Manor (ma488)'!AC68+'Mobiland by the Sea (mo320)'!AC37+'Mobiland By The Sea MHC'!AC38+'Moss Landing'!AC65+'Moss Landing (mo321)'!AC57+'Oak Springs'!AC69+'Oak Springs MHC (oa150)'!AC45+'Orange Manor East'!AC34+'Orange Manor East (or125)'!AC37+'Pacific Manor'!AC43+'Pacific Manor (pa602)'!AC45+Parkhaven!AC100+Ridgecrest!AC50+Riverest!AC44+'Riverview MHRV LLC'!AC47+Rosehaven!AC112+'Sanctuary RV Resort'!AC224+'Shadow Mountain MHC'!AC31+Springhaven!AC31+'Star Valley Ranch'!AC42+Sunhaven!AC38+'Sunny Grove'!AC37+Tarponaire!AC41+'Val Vista RV Resort'!AC70+'Webster RV Resort LLC'!AC57+'Wekiva Falls RV Resort'!AC81+'West Jupiter RV Resort'!AC38+'Western Way RV Resort LLC'!AC130</f>
      </c>
      <c r="AD10" s="18">
        <f>'Agave Village (ag011)'!AD63+'Agave Village LLC'!AD52+'Brookhaven Estates (bo260)'!AD45+'Brookhaven RV Resort'!AD41+'Courtly Manor'!AD34+'Courtly Manor Park (co669)'!AD35+'Cross Creek RV'!AD130+'Cross Creek RV Resort (cr994)'!AD136+'El Rio De Oro (el289)'!AD32+'El Rio del Oro'!AD35+'Endless Summer RV Resort'!AD53+'Endless Summer RV Resort (en079'!AD45+Evergreen!AD32+'Far Horizons'!AD32+'Far Horizons (fa105)'!AD32+'Floridian Sandalwood (fl356)'!AD29+'Floridian Sandalwood MHC'!AD33+Glenhaven!AD37+'Glenhaven Estates (gl317)'!AD37+'Harbor Lights (ha310)'!AD38+'Harbor Lights MHC'!AD36+'Harvest Gate'!AD46+'Hunter Run RV Estates'!AD87+'Hunters Run RV Estates (hu116)'!AD200+'Jade Isle (ja068)'!AD29+'Jade Isle MHC'!AD31+'Kakusha Estates (ka045)'!AD35+'Kakusha MHC'!AD34+'Lakeside Village'!AD40+'Lakeside Village (la482)'!AD42+'Lakewood Village (la481)'!AD101+'Lakewood Village MHC LLC'!AD121+'Maple Corner'!AD54+'Maple Corner (ma490)'!AD44+'Marlboro Court (ma489)'!AD32+'Marlboro Court MHC LLC'!AD32+'May Manor'!AD136+'May Manor (ma488)'!AD68+'Mobiland by the Sea (mo320)'!AD37+'Mobiland By The Sea MHC'!AD38+'Moss Landing'!AD65+'Moss Landing (mo321)'!AD57+'Oak Springs'!AD69+'Oak Springs MHC (oa150)'!AD45+'Orange Manor East'!AD34+'Orange Manor East (or125)'!AD37+'Pacific Manor'!AD43+'Pacific Manor (pa602)'!AD45+Parkhaven!AD100+Ridgecrest!AD50+Riverest!AD44+'Riverview MHRV LLC'!AD47+Rosehaven!AD112+'Sanctuary RV Resort'!AD224+'Shadow Mountain MHC'!AD31+Springhaven!AD31+'Star Valley Ranch'!AD42+Sunhaven!AD38+'Sunny Grove'!AD37+Tarponaire!AD41+'Val Vista RV Resort'!AD70+'Webster RV Resort LLC'!AD57+'Wekiva Falls RV Resort'!AD81+'West Jupiter RV Resort'!AD38+'Western Way RV Resort LLC'!AD130</f>
      </c>
      <c r="AE10" s="18">
        <f>'Agave Village (ag011)'!AE63+'Agave Village LLC'!AE52+'Brookhaven Estates (bo260)'!AE45+'Brookhaven RV Resort'!AE41+'Courtly Manor'!AE34+'Courtly Manor Park (co669)'!AE35+'Cross Creek RV'!AE130+'Cross Creek RV Resort (cr994)'!AE136+'El Rio De Oro (el289)'!AE32+'El Rio del Oro'!AE35+'Endless Summer RV Resort'!AE53+'Endless Summer RV Resort (en079'!AE45+Evergreen!AE32+'Far Horizons'!AE32+'Far Horizons (fa105)'!AE32+'Floridian Sandalwood (fl356)'!AE29+'Floridian Sandalwood MHC'!AE33+Glenhaven!AE37+'Glenhaven Estates (gl317)'!AE37+'Harbor Lights (ha310)'!AE38+'Harbor Lights MHC'!AE36+'Harvest Gate'!AE46+'Hunter Run RV Estates'!AE87+'Hunters Run RV Estates (hu116)'!AE200+'Jade Isle (ja068)'!AE29+'Jade Isle MHC'!AE31+'Kakusha Estates (ka045)'!AE35+'Kakusha MHC'!AE34+'Lakeside Village'!AE40+'Lakeside Village (la482)'!AE42+'Lakewood Village (la481)'!AE101+'Lakewood Village MHC LLC'!AE121+'Maple Corner'!AE54+'Maple Corner (ma490)'!AE44+'Marlboro Court (ma489)'!AE32+'Marlboro Court MHC LLC'!AE32+'May Manor'!AE136+'May Manor (ma488)'!AE68+'Mobiland by the Sea (mo320)'!AE37+'Mobiland By The Sea MHC'!AE38+'Moss Landing'!AE65+'Moss Landing (mo321)'!AE57+'Oak Springs'!AE69+'Oak Springs MHC (oa150)'!AE45+'Orange Manor East'!AE34+'Orange Manor East (or125)'!AE37+'Pacific Manor'!AE43+'Pacific Manor (pa602)'!AE45+Parkhaven!AE100+Ridgecrest!AE50+Riverest!AE44+'Riverview MHRV LLC'!AE47+Rosehaven!AE112+'Sanctuary RV Resort'!AE224+'Shadow Mountain MHC'!AE31+Springhaven!AE31+'Star Valley Ranch'!AE42+Sunhaven!AE38+'Sunny Grove'!AE37+Tarponaire!AE41+'Val Vista RV Resort'!AE70+'Webster RV Resort LLC'!AE57+'Wekiva Falls RV Resort'!AE81+'West Jupiter RV Resort'!AE38+'Western Way RV Resort LLC'!AE130</f>
      </c>
      <c r="AF10" s="18">
        <f>'Agave Village (ag011)'!AF63+'Agave Village LLC'!AF52+'Brookhaven Estates (bo260)'!AF45+'Brookhaven RV Resort'!AF41+'Courtly Manor'!AF34+'Courtly Manor Park (co669)'!AF35+'Cross Creek RV'!AF130+'Cross Creek RV Resort (cr994)'!AF136+'El Rio De Oro (el289)'!AF32+'El Rio del Oro'!AF35+'Endless Summer RV Resort'!AF53+'Endless Summer RV Resort (en079'!AF45+Evergreen!AF32+'Far Horizons'!AF32+'Far Horizons (fa105)'!AF32+'Floridian Sandalwood (fl356)'!AF29+'Floridian Sandalwood MHC'!AF33+Glenhaven!AF37+'Glenhaven Estates (gl317)'!AF37+'Harbor Lights (ha310)'!AF38+'Harbor Lights MHC'!AF36+'Harvest Gate'!AF46+'Hunter Run RV Estates'!AF87+'Hunters Run RV Estates (hu116)'!AF200+'Jade Isle (ja068)'!AF29+'Jade Isle MHC'!AF31+'Kakusha Estates (ka045)'!AF35+'Kakusha MHC'!AF34+'Lakeside Village'!AF40+'Lakeside Village (la482)'!AF42+'Lakewood Village (la481)'!AF101+'Lakewood Village MHC LLC'!AF121+'Maple Corner'!AF54+'Maple Corner (ma490)'!AF44+'Marlboro Court (ma489)'!AF32+'Marlboro Court MHC LLC'!AF32+'May Manor'!AF136+'May Manor (ma488)'!AF68+'Mobiland by the Sea (mo320)'!AF37+'Mobiland By The Sea MHC'!AF38+'Moss Landing'!AF65+'Moss Landing (mo321)'!AF57+'Oak Springs'!AF69+'Oak Springs MHC (oa150)'!AF45+'Orange Manor East'!AF34+'Orange Manor East (or125)'!AF37+'Pacific Manor'!AF43+'Pacific Manor (pa602)'!AF45+Parkhaven!AF100+Ridgecrest!AF50+Riverest!AF44+'Riverview MHRV LLC'!AF47+Rosehaven!AF112+'Sanctuary RV Resort'!AF224+'Shadow Mountain MHC'!AF31+Springhaven!AF31+'Star Valley Ranch'!AF42+Sunhaven!AF38+'Sunny Grove'!AF37+Tarponaire!AF41+'Val Vista RV Resort'!AF70+'Webster RV Resort LLC'!AF57+'Wekiva Falls RV Resort'!AF81+'West Jupiter RV Resort'!AF38+'Western Way RV Resort LLC'!AF130</f>
      </c>
      <c r="AG10" s="18">
        <f>'Agave Village (ag011)'!AG63+'Agave Village LLC'!AG52+'Brookhaven Estates (bo260)'!AG45+'Brookhaven RV Resort'!AG41+'Courtly Manor'!AG34+'Courtly Manor Park (co669)'!AG35+'Cross Creek RV'!AG130+'Cross Creek RV Resort (cr994)'!AG136+'El Rio De Oro (el289)'!AG32+'El Rio del Oro'!AG35+'Endless Summer RV Resort'!AG53+'Endless Summer RV Resort (en079'!AG45+Evergreen!AG32+'Far Horizons'!AG32+'Far Horizons (fa105)'!AG32+'Floridian Sandalwood (fl356)'!AG29+'Floridian Sandalwood MHC'!AG33+Glenhaven!AG37+'Glenhaven Estates (gl317)'!AG37+'Harbor Lights (ha310)'!AG38+'Harbor Lights MHC'!AG36+'Harvest Gate'!AG46+'Hunter Run RV Estates'!AG87+'Hunters Run RV Estates (hu116)'!AG200+'Jade Isle (ja068)'!AG29+'Jade Isle MHC'!AG31+'Kakusha Estates (ka045)'!AG35+'Kakusha MHC'!AG34+'Lakeside Village'!AG40+'Lakeside Village (la482)'!AG42+'Lakewood Village (la481)'!AG101+'Lakewood Village MHC LLC'!AG121+'Maple Corner'!AG54+'Maple Corner (ma490)'!AG44+'Marlboro Court (ma489)'!AG32+'Marlboro Court MHC LLC'!AG32+'May Manor'!AG136+'May Manor (ma488)'!AG68+'Mobiland by the Sea (mo320)'!AG37+'Mobiland By The Sea MHC'!AG38+'Moss Landing'!AG65+'Moss Landing (mo321)'!AG57+'Oak Springs'!AG69+'Oak Springs MHC (oa150)'!AG45+'Orange Manor East'!AG34+'Orange Manor East (or125)'!AG37+'Pacific Manor'!AG43+'Pacific Manor (pa602)'!AG45+Parkhaven!AG100+Ridgecrest!AG50+Riverest!AG44+'Riverview MHRV LLC'!AG47+Rosehaven!AG112+'Sanctuary RV Resort'!AG224+'Shadow Mountain MHC'!AG31+Springhaven!AG31+'Star Valley Ranch'!AG42+Sunhaven!AG38+'Sunny Grove'!AG37+Tarponaire!AG41+'Val Vista RV Resort'!AG70+'Webster RV Resort LLC'!AG57+'Wekiva Falls RV Resort'!AG81+'West Jupiter RV Resort'!AG38+'Western Way RV Resort LLC'!AG130</f>
      </c>
      <c r="AH10" s="18">
        <f>'Agave Village (ag011)'!AH63+'Agave Village LLC'!AH52+'Brookhaven Estates (bo260)'!AH45+'Brookhaven RV Resort'!AH41+'Courtly Manor'!AH34+'Courtly Manor Park (co669)'!AH35+'Cross Creek RV'!AH130+'Cross Creek RV Resort (cr994)'!AH136+'El Rio De Oro (el289)'!AH32+'El Rio del Oro'!AH35+'Endless Summer RV Resort'!AH53+'Endless Summer RV Resort (en079'!AH45+Evergreen!AH32+'Far Horizons'!AH32+'Far Horizons (fa105)'!AH32+'Floridian Sandalwood (fl356)'!AH29+'Floridian Sandalwood MHC'!AH33+Glenhaven!AH37+'Glenhaven Estates (gl317)'!AH37+'Harbor Lights (ha310)'!AH38+'Harbor Lights MHC'!AH36+'Harvest Gate'!AH46+'Hunter Run RV Estates'!AH87+'Hunters Run RV Estates (hu116)'!AH200+'Jade Isle (ja068)'!AH29+'Jade Isle MHC'!AH31+'Kakusha Estates (ka045)'!AH35+'Kakusha MHC'!AH34+'Lakeside Village'!AH40+'Lakeside Village (la482)'!AH42+'Lakewood Village (la481)'!AH101+'Lakewood Village MHC LLC'!AH121+'Maple Corner'!AH54+'Maple Corner (ma490)'!AH44+'Marlboro Court (ma489)'!AH32+'Marlboro Court MHC LLC'!AH32+'May Manor'!AH136+'May Manor (ma488)'!AH68+'Mobiland by the Sea (mo320)'!AH37+'Mobiland By The Sea MHC'!AH38+'Moss Landing'!AH65+'Moss Landing (mo321)'!AH57+'Oak Springs'!AH69+'Oak Springs MHC (oa150)'!AH45+'Orange Manor East'!AH34+'Orange Manor East (or125)'!AH37+'Pacific Manor'!AH43+'Pacific Manor (pa602)'!AH45+Parkhaven!AH100+Ridgecrest!AH50+Riverest!AH44+'Riverview MHRV LLC'!AH47+Rosehaven!AH112+'Sanctuary RV Resort'!AH224+'Shadow Mountain MHC'!AH31+Springhaven!AH31+'Star Valley Ranch'!AH42+Sunhaven!AH38+'Sunny Grove'!AH37+Tarponaire!AH41+'Val Vista RV Resort'!AH70+'Webster RV Resort LLC'!AH57+'Wekiva Falls RV Resort'!AH81+'West Jupiter RV Resort'!AH38+'Western Way RV Resort LLC'!AH130</f>
      </c>
      <c r="AI10" s="18">
        <f>'Agave Village (ag011)'!AI63+'Agave Village LLC'!AI52+'Brookhaven Estates (bo260)'!AI45+'Brookhaven RV Resort'!AI41+'Courtly Manor'!AI34+'Courtly Manor Park (co669)'!AI35+'Cross Creek RV'!AI130+'Cross Creek RV Resort (cr994)'!AI136+'El Rio De Oro (el289)'!AI32+'El Rio del Oro'!AI35+'Endless Summer RV Resort'!AI53+'Endless Summer RV Resort (en079'!AI45+Evergreen!AI32+'Far Horizons'!AI32+'Far Horizons (fa105)'!AI32+'Floridian Sandalwood (fl356)'!AI29+'Floridian Sandalwood MHC'!AI33+Glenhaven!AI37+'Glenhaven Estates (gl317)'!AI37+'Harbor Lights (ha310)'!AI38+'Harbor Lights MHC'!AI36+'Harvest Gate'!AI46+'Hunter Run RV Estates'!AI87+'Hunters Run RV Estates (hu116)'!AI200+'Jade Isle (ja068)'!AI29+'Jade Isle MHC'!AI31+'Kakusha Estates (ka045)'!AI35+'Kakusha MHC'!AI34+'Lakeside Village'!AI40+'Lakeside Village (la482)'!AI42+'Lakewood Village (la481)'!AI101+'Lakewood Village MHC LLC'!AI121+'Maple Corner'!AI54+'Maple Corner (ma490)'!AI44+'Marlboro Court (ma489)'!AI32+'Marlboro Court MHC LLC'!AI32+'May Manor'!AI136+'May Manor (ma488)'!AI68+'Mobiland by the Sea (mo320)'!AI37+'Mobiland By The Sea MHC'!AI38+'Moss Landing'!AI65+'Moss Landing (mo321)'!AI57+'Oak Springs'!AI69+'Oak Springs MHC (oa150)'!AI45+'Orange Manor East'!AI34+'Orange Manor East (or125)'!AI37+'Pacific Manor'!AI43+'Pacific Manor (pa602)'!AI45+Parkhaven!AI100+Ridgecrest!AI50+Riverest!AI44+'Riverview MHRV LLC'!AI47+Rosehaven!AI112+'Sanctuary RV Resort'!AI224+'Shadow Mountain MHC'!AI31+Springhaven!AI31+'Star Valley Ranch'!AI42+Sunhaven!AI38+'Sunny Grove'!AI37+Tarponaire!AI41+'Val Vista RV Resort'!AI70+'Webster RV Resort LLC'!AI57+'Wekiva Falls RV Resort'!AI81+'West Jupiter RV Resort'!AI38+'Western Way RV Resort LLC'!AI130</f>
      </c>
      <c r="AJ10" s="18">
        <f>'Agave Village (ag011)'!AJ63+'Agave Village LLC'!AJ52+'Brookhaven Estates (bo260)'!AJ45+'Brookhaven RV Resort'!AJ41+'Courtly Manor'!AJ34+'Courtly Manor Park (co669)'!AJ35+'Cross Creek RV'!AJ130+'Cross Creek RV Resort (cr994)'!AJ136+'El Rio De Oro (el289)'!AJ32+'El Rio del Oro'!AJ35+'Endless Summer RV Resort'!AJ53+'Endless Summer RV Resort (en079'!AJ45+Evergreen!AJ32+'Far Horizons'!AJ32+'Far Horizons (fa105)'!AJ32+'Floridian Sandalwood (fl356)'!AJ29+'Floridian Sandalwood MHC'!AJ33+Glenhaven!AJ37+'Glenhaven Estates (gl317)'!AJ37+'Harbor Lights (ha310)'!AJ38+'Harbor Lights MHC'!AJ36+'Harvest Gate'!AJ46+'Hunter Run RV Estates'!AJ87+'Hunters Run RV Estates (hu116)'!AJ200+'Jade Isle (ja068)'!AJ29+'Jade Isle MHC'!AJ31+'Kakusha Estates (ka045)'!AJ35+'Kakusha MHC'!AJ34+'Lakeside Village'!AJ40+'Lakeside Village (la482)'!AJ42+'Lakewood Village (la481)'!AJ101+'Lakewood Village MHC LLC'!AJ121+'Maple Corner'!AJ54+'Maple Corner (ma490)'!AJ44+'Marlboro Court (ma489)'!AJ32+'Marlboro Court MHC LLC'!AJ32+'May Manor'!AJ136+'May Manor (ma488)'!AJ68+'Mobiland by the Sea (mo320)'!AJ37+'Mobiland By The Sea MHC'!AJ38+'Moss Landing'!AJ65+'Moss Landing (mo321)'!AJ57+'Oak Springs'!AJ69+'Oak Springs MHC (oa150)'!AJ45+'Orange Manor East'!AJ34+'Orange Manor East (or125)'!AJ37+'Pacific Manor'!AJ43+'Pacific Manor (pa602)'!AJ45+Parkhaven!AJ100+Ridgecrest!AJ50+Riverest!AJ44+'Riverview MHRV LLC'!AJ47+Rosehaven!AJ112+'Sanctuary RV Resort'!AJ224+'Shadow Mountain MHC'!AJ31+Springhaven!AJ31+'Star Valley Ranch'!AJ42+Sunhaven!AJ38+'Sunny Grove'!AJ37+Tarponaire!AJ41+'Val Vista RV Resort'!AJ70+'Webster RV Resort LLC'!AJ57+'Wekiva Falls RV Resort'!AJ81+'West Jupiter RV Resort'!AJ38+'Western Way RV Resort LLC'!AJ130</f>
      </c>
      <c r="AK10" s="19"/>
    </row>
    <row r="11" ht="12.75" customHeight="1" spans="2:37" x14ac:dyDescent="0.25">
      <c r="B11" s="16" t="s">
        <v>43</v>
      </c>
      <c r="C11" s="17"/>
      <c r="D11" s="17"/>
      <c r="E11" s="18">
        <f>'Agave Village (ag011)'!E64+'Agave Village LLC'!E53+'Brookhaven Estates (bo260)'!E46+'Brookhaven RV Resort'!E42+'Courtly Manor'!E35+'Courtly Manor Park (co669)'!E36+'Cross Creek RV'!E131+'Cross Creek RV Resort (cr994)'!E137+'El Rio De Oro (el289)'!E33+'El Rio del Oro'!E36+'Endless Summer RV Resort'!E54+'Endless Summer RV Resort (en079'!E46+Evergreen!E33+'Far Horizons'!E33+'Far Horizons (fa105)'!E33+'Floridian Sandalwood (fl356)'!E30+'Floridian Sandalwood MHC'!E34+Glenhaven!E38+'Glenhaven Estates (gl317)'!E38+'Harbor Lights (ha310)'!E39+'Harbor Lights MHC'!E37+'Harvest Gate'!E47+'Hunter Run RV Estates'!E88+'Hunters Run RV Estates (hu116)'!E201+'Jade Isle (ja068)'!E30+'Jade Isle MHC'!E32+'Kakusha Estates (ka045)'!E36+'Kakusha MHC'!E35+'Lakeside Village'!E41+'Lakeside Village (la482)'!E43+'Lakewood Village (la481)'!E102+'Lakewood Village MHC LLC'!E122+'Maple Corner'!E55+'Maple Corner (ma490)'!E45+'Marlboro Court (ma489)'!E33+'Marlboro Court MHC LLC'!E33+'May Manor'!E137+'May Manor (ma488)'!E69+'Mobiland by the Sea (mo320)'!E38+'Mobiland By The Sea MHC'!E39+'Moss Landing'!E66+'Moss Landing (mo321)'!E58+'Oak Springs'!E70+'Oak Springs MHC (oa150)'!E46+'Orange Manor East'!E35+'Orange Manor East (or125)'!E38+'Pacific Manor'!E44+'Pacific Manor (pa602)'!E46+Parkhaven!E101+Ridgecrest!E51+Riverest!E45+'Riverview MHRV LLC'!E48+Rosehaven!E113+'Sanctuary RV Resort'!E225+'Shadow Mountain MHC'!E32+Springhaven!E32+'Star Valley Ranch'!E43+Sunhaven!E39+'Sunny Grove'!E38+Tarponaire!E42+'Val Vista RV Resort'!E71+'Webster RV Resort LLC'!E58+'Wekiva Falls RV Resort'!E82+'West Jupiter RV Resort'!E39+'Western Way RV Resort LLC'!E131</f>
      </c>
      <c r="F11" s="18">
        <f>'Agave Village (ag011)'!F64+'Agave Village LLC'!F53+'Brookhaven Estates (bo260)'!F46+'Brookhaven RV Resort'!F42+'Courtly Manor'!F35+'Courtly Manor Park (co669)'!F36+'Cross Creek RV'!F131+'Cross Creek RV Resort (cr994)'!F137+'El Rio De Oro (el289)'!F33+'El Rio del Oro'!F36+'Endless Summer RV Resort'!F54+'Endless Summer RV Resort (en079'!F46+Evergreen!F33+'Far Horizons'!F33+'Far Horizons (fa105)'!F33+'Floridian Sandalwood (fl356)'!F30+'Floridian Sandalwood MHC'!F34+Glenhaven!F38+'Glenhaven Estates (gl317)'!F38+'Harbor Lights (ha310)'!F39+'Harbor Lights MHC'!F37+'Harvest Gate'!F47+'Hunter Run RV Estates'!F88+'Hunters Run RV Estates (hu116)'!F201+'Jade Isle (ja068)'!F30+'Jade Isle MHC'!F32+'Kakusha Estates (ka045)'!F36+'Kakusha MHC'!F35+'Lakeside Village'!F41+'Lakeside Village (la482)'!F43+'Lakewood Village (la481)'!F102+'Lakewood Village MHC LLC'!F122+'Maple Corner'!F55+'Maple Corner (ma490)'!F45+'Marlboro Court (ma489)'!F33+'Marlboro Court MHC LLC'!F33+'May Manor'!F137+'May Manor (ma488)'!F69+'Mobiland by the Sea (mo320)'!F38+'Mobiland By The Sea MHC'!F39+'Moss Landing'!F66+'Moss Landing (mo321)'!F58+'Oak Springs'!F70+'Oak Springs MHC (oa150)'!F46+'Orange Manor East'!F35+'Orange Manor East (or125)'!F38+'Pacific Manor'!F44+'Pacific Manor (pa602)'!F46+Parkhaven!F101+Ridgecrest!F51+Riverest!F45+'Riverview MHRV LLC'!F48+Rosehaven!F113+'Sanctuary RV Resort'!F225+'Shadow Mountain MHC'!F32+Springhaven!F32+'Star Valley Ranch'!F43+Sunhaven!F39+'Sunny Grove'!F38+Tarponaire!F42+'Val Vista RV Resort'!F71+'Webster RV Resort LLC'!F58+'Wekiva Falls RV Resort'!F82+'West Jupiter RV Resort'!F39+'Western Way RV Resort LLC'!F131</f>
      </c>
      <c r="G11" s="18">
        <f>'Agave Village (ag011)'!G64+'Agave Village LLC'!G53+'Brookhaven Estates (bo260)'!G46+'Brookhaven RV Resort'!G42+'Courtly Manor'!G35+'Courtly Manor Park (co669)'!G36+'Cross Creek RV'!G131+'Cross Creek RV Resort (cr994)'!G137+'El Rio De Oro (el289)'!G33+'El Rio del Oro'!G36+'Endless Summer RV Resort'!G54+'Endless Summer RV Resort (en079'!G46+Evergreen!G33+'Far Horizons'!G33+'Far Horizons (fa105)'!G33+'Floridian Sandalwood (fl356)'!G30+'Floridian Sandalwood MHC'!G34+Glenhaven!G38+'Glenhaven Estates (gl317)'!G38+'Harbor Lights (ha310)'!G39+'Harbor Lights MHC'!G37+'Harvest Gate'!G47+'Hunter Run RV Estates'!G88+'Hunters Run RV Estates (hu116)'!G201+'Jade Isle (ja068)'!G30+'Jade Isle MHC'!G32+'Kakusha Estates (ka045)'!G36+'Kakusha MHC'!G35+'Lakeside Village'!G41+'Lakeside Village (la482)'!G43+'Lakewood Village (la481)'!G102+'Lakewood Village MHC LLC'!G122+'Maple Corner'!G55+'Maple Corner (ma490)'!G45+'Marlboro Court (ma489)'!G33+'Marlboro Court MHC LLC'!G33+'May Manor'!G137+'May Manor (ma488)'!G69+'Mobiland by the Sea (mo320)'!G38+'Mobiland By The Sea MHC'!G39+'Moss Landing'!G66+'Moss Landing (mo321)'!G58+'Oak Springs'!G70+'Oak Springs MHC (oa150)'!G46+'Orange Manor East'!G35+'Orange Manor East (or125)'!G38+'Pacific Manor'!G44+'Pacific Manor (pa602)'!G46+Parkhaven!G101+Ridgecrest!G51+Riverest!G45+'Riverview MHRV LLC'!G48+Rosehaven!G113+'Sanctuary RV Resort'!G225+'Shadow Mountain MHC'!G32+Springhaven!G32+'Star Valley Ranch'!G43+Sunhaven!G39+'Sunny Grove'!G38+Tarponaire!G42+'Val Vista RV Resort'!G71+'Webster RV Resort LLC'!G58+'Wekiva Falls RV Resort'!G82+'West Jupiter RV Resort'!G39+'Western Way RV Resort LLC'!G131</f>
      </c>
      <c r="H11" s="18">
        <f>'Agave Village (ag011)'!H64+'Agave Village LLC'!H53+'Brookhaven Estates (bo260)'!H46+'Brookhaven RV Resort'!H42+'Courtly Manor'!H35+'Courtly Manor Park (co669)'!H36+'Cross Creek RV'!H131+'Cross Creek RV Resort (cr994)'!H137+'El Rio De Oro (el289)'!H33+'El Rio del Oro'!H36+'Endless Summer RV Resort'!H54+'Endless Summer RV Resort (en079'!H46+Evergreen!H33+'Far Horizons'!H33+'Far Horizons (fa105)'!H33+'Floridian Sandalwood (fl356)'!H30+'Floridian Sandalwood MHC'!H34+Glenhaven!H38+'Glenhaven Estates (gl317)'!H38+'Harbor Lights (ha310)'!H39+'Harbor Lights MHC'!H37+'Harvest Gate'!H47+'Hunter Run RV Estates'!H88+'Hunters Run RV Estates (hu116)'!H201+'Jade Isle (ja068)'!H30+'Jade Isle MHC'!H32+'Kakusha Estates (ka045)'!H36+'Kakusha MHC'!H35+'Lakeside Village'!H41+'Lakeside Village (la482)'!H43+'Lakewood Village (la481)'!H102+'Lakewood Village MHC LLC'!H122+'Maple Corner'!H55+'Maple Corner (ma490)'!H45+'Marlboro Court (ma489)'!H33+'Marlboro Court MHC LLC'!H33+'May Manor'!H137+'May Manor (ma488)'!H69+'Mobiland by the Sea (mo320)'!H38+'Mobiland By The Sea MHC'!H39+'Moss Landing'!H66+'Moss Landing (mo321)'!H58+'Oak Springs'!H70+'Oak Springs MHC (oa150)'!H46+'Orange Manor East'!H35+'Orange Manor East (or125)'!H38+'Pacific Manor'!H44+'Pacific Manor (pa602)'!H46+Parkhaven!H101+Ridgecrest!H51+Riverest!H45+'Riverview MHRV LLC'!H48+Rosehaven!H113+'Sanctuary RV Resort'!H225+'Shadow Mountain MHC'!H32+Springhaven!H32+'Star Valley Ranch'!H43+Sunhaven!H39+'Sunny Grove'!H38+Tarponaire!H42+'Val Vista RV Resort'!H71+'Webster RV Resort LLC'!H58+'Wekiva Falls RV Resort'!H82+'West Jupiter RV Resort'!H39+'Western Way RV Resort LLC'!H131</f>
      </c>
      <c r="I11" s="18">
        <f>'Agave Village (ag011)'!I64+'Agave Village LLC'!I53+'Brookhaven Estates (bo260)'!I46+'Brookhaven RV Resort'!I42+'Courtly Manor'!I35+'Courtly Manor Park (co669)'!I36+'Cross Creek RV'!I131+'Cross Creek RV Resort (cr994)'!I137+'El Rio De Oro (el289)'!I33+'El Rio del Oro'!I36+'Endless Summer RV Resort'!I54+'Endless Summer RV Resort (en079'!I46+Evergreen!I33+'Far Horizons'!I33+'Far Horizons (fa105)'!I33+'Floridian Sandalwood (fl356)'!I30+'Floridian Sandalwood MHC'!I34+Glenhaven!I38+'Glenhaven Estates (gl317)'!I38+'Harbor Lights (ha310)'!I39+'Harbor Lights MHC'!I37+'Harvest Gate'!I47+'Hunter Run RV Estates'!I88+'Hunters Run RV Estates (hu116)'!I201+'Jade Isle (ja068)'!I30+'Jade Isle MHC'!I32+'Kakusha Estates (ka045)'!I36+'Kakusha MHC'!I35+'Lakeside Village'!I41+'Lakeside Village (la482)'!I43+'Lakewood Village (la481)'!I102+'Lakewood Village MHC LLC'!I122+'Maple Corner'!I55+'Maple Corner (ma490)'!I45+'Marlboro Court (ma489)'!I33+'Marlboro Court MHC LLC'!I33+'May Manor'!I137+'May Manor (ma488)'!I69+'Mobiland by the Sea (mo320)'!I38+'Mobiland By The Sea MHC'!I39+'Moss Landing'!I66+'Moss Landing (mo321)'!I58+'Oak Springs'!I70+'Oak Springs MHC (oa150)'!I46+'Orange Manor East'!I35+'Orange Manor East (or125)'!I38+'Pacific Manor'!I44+'Pacific Manor (pa602)'!I46+Parkhaven!I101+Ridgecrest!I51+Riverest!I45+'Riverview MHRV LLC'!I48+Rosehaven!I113+'Sanctuary RV Resort'!I225+'Shadow Mountain MHC'!I32+Springhaven!I32+'Star Valley Ranch'!I43+Sunhaven!I39+'Sunny Grove'!I38+Tarponaire!I42+'Val Vista RV Resort'!I71+'Webster RV Resort LLC'!I58+'Wekiva Falls RV Resort'!I82+'West Jupiter RV Resort'!I39+'Western Way RV Resort LLC'!I131</f>
      </c>
      <c r="J11" s="18">
        <f>'Agave Village (ag011)'!J64+'Agave Village LLC'!J53+'Brookhaven Estates (bo260)'!J46+'Brookhaven RV Resort'!J42+'Courtly Manor'!J35+'Courtly Manor Park (co669)'!J36+'Cross Creek RV'!J131+'Cross Creek RV Resort (cr994)'!J137+'El Rio De Oro (el289)'!J33+'El Rio del Oro'!J36+'Endless Summer RV Resort'!J54+'Endless Summer RV Resort (en079'!J46+Evergreen!J33+'Far Horizons'!J33+'Far Horizons (fa105)'!J33+'Floridian Sandalwood (fl356)'!J30+'Floridian Sandalwood MHC'!J34+Glenhaven!J38+'Glenhaven Estates (gl317)'!J38+'Harbor Lights (ha310)'!J39+'Harbor Lights MHC'!J37+'Harvest Gate'!J47+'Hunter Run RV Estates'!J88+'Hunters Run RV Estates (hu116)'!J201+'Jade Isle (ja068)'!J30+'Jade Isle MHC'!J32+'Kakusha Estates (ka045)'!J36+'Kakusha MHC'!J35+'Lakeside Village'!J41+'Lakeside Village (la482)'!J43+'Lakewood Village (la481)'!J102+'Lakewood Village MHC LLC'!J122+'Maple Corner'!J55+'Maple Corner (ma490)'!J45+'Marlboro Court (ma489)'!J33+'Marlboro Court MHC LLC'!J33+'May Manor'!J137+'May Manor (ma488)'!J69+'Mobiland by the Sea (mo320)'!J38+'Mobiland By The Sea MHC'!J39+'Moss Landing'!J66+'Moss Landing (mo321)'!J58+'Oak Springs'!J70+'Oak Springs MHC (oa150)'!J46+'Orange Manor East'!J35+'Orange Manor East (or125)'!J38+'Pacific Manor'!J44+'Pacific Manor (pa602)'!J46+Parkhaven!J101+Ridgecrest!J51+Riverest!J45+'Riverview MHRV LLC'!J48+Rosehaven!J113+'Sanctuary RV Resort'!J225+'Shadow Mountain MHC'!J32+Springhaven!J32+'Star Valley Ranch'!J43+Sunhaven!J39+'Sunny Grove'!J38+Tarponaire!J42+'Val Vista RV Resort'!J71+'Webster RV Resort LLC'!J58+'Wekiva Falls RV Resort'!J82+'West Jupiter RV Resort'!J39+'Western Way RV Resort LLC'!J131</f>
      </c>
      <c r="K11" s="18">
        <f>'Agave Village (ag011)'!K64+'Agave Village LLC'!K53+'Brookhaven Estates (bo260)'!K46+'Brookhaven RV Resort'!K42+'Courtly Manor'!K35+'Courtly Manor Park (co669)'!K36+'Cross Creek RV'!K131+'Cross Creek RV Resort (cr994)'!K137+'El Rio De Oro (el289)'!K33+'El Rio del Oro'!K36+'Endless Summer RV Resort'!K54+'Endless Summer RV Resort (en079'!K46+Evergreen!K33+'Far Horizons'!K33+'Far Horizons (fa105)'!K33+'Floridian Sandalwood (fl356)'!K30+'Floridian Sandalwood MHC'!K34+Glenhaven!K38+'Glenhaven Estates (gl317)'!K38+'Harbor Lights (ha310)'!K39+'Harbor Lights MHC'!K37+'Harvest Gate'!K47+'Hunter Run RV Estates'!K88+'Hunters Run RV Estates (hu116)'!K201+'Jade Isle (ja068)'!K30+'Jade Isle MHC'!K32+'Kakusha Estates (ka045)'!K36+'Kakusha MHC'!K35+'Lakeside Village'!K41+'Lakeside Village (la482)'!K43+'Lakewood Village (la481)'!K102+'Lakewood Village MHC LLC'!K122+'Maple Corner'!K55+'Maple Corner (ma490)'!K45+'Marlboro Court (ma489)'!K33+'Marlboro Court MHC LLC'!K33+'May Manor'!K137+'May Manor (ma488)'!K69+'Mobiland by the Sea (mo320)'!K38+'Mobiland By The Sea MHC'!K39+'Moss Landing'!K66+'Moss Landing (mo321)'!K58+'Oak Springs'!K70+'Oak Springs MHC (oa150)'!K46+'Orange Manor East'!K35+'Orange Manor East (or125)'!K38+'Pacific Manor'!K44+'Pacific Manor (pa602)'!K46+Parkhaven!K101+Ridgecrest!K51+Riverest!K45+'Riverview MHRV LLC'!K48+Rosehaven!K113+'Sanctuary RV Resort'!K225+'Shadow Mountain MHC'!K32+Springhaven!K32+'Star Valley Ranch'!K43+Sunhaven!K39+'Sunny Grove'!K38+Tarponaire!K42+'Val Vista RV Resort'!K71+'Webster RV Resort LLC'!K58+'Wekiva Falls RV Resort'!K82+'West Jupiter RV Resort'!K39+'Western Way RV Resort LLC'!K131</f>
      </c>
      <c r="L11" s="18">
        <f>'Agave Village (ag011)'!L64+'Agave Village LLC'!L53+'Brookhaven Estates (bo260)'!L46+'Brookhaven RV Resort'!L42+'Courtly Manor'!L35+'Courtly Manor Park (co669)'!L36+'Cross Creek RV'!L131+'Cross Creek RV Resort (cr994)'!L137+'El Rio De Oro (el289)'!L33+'El Rio del Oro'!L36+'Endless Summer RV Resort'!L54+'Endless Summer RV Resort (en079'!L46+Evergreen!L33+'Far Horizons'!L33+'Far Horizons (fa105)'!L33+'Floridian Sandalwood (fl356)'!L30+'Floridian Sandalwood MHC'!L34+Glenhaven!L38+'Glenhaven Estates (gl317)'!L38+'Harbor Lights (ha310)'!L39+'Harbor Lights MHC'!L37+'Harvest Gate'!L47+'Hunter Run RV Estates'!L88+'Hunters Run RV Estates (hu116)'!L201+'Jade Isle (ja068)'!L30+'Jade Isle MHC'!L32+'Kakusha Estates (ka045)'!L36+'Kakusha MHC'!L35+'Lakeside Village'!L41+'Lakeside Village (la482)'!L43+'Lakewood Village (la481)'!L102+'Lakewood Village MHC LLC'!L122+'Maple Corner'!L55+'Maple Corner (ma490)'!L45+'Marlboro Court (ma489)'!L33+'Marlboro Court MHC LLC'!L33+'May Manor'!L137+'May Manor (ma488)'!L69+'Mobiland by the Sea (mo320)'!L38+'Mobiland By The Sea MHC'!L39+'Moss Landing'!L66+'Moss Landing (mo321)'!L58+'Oak Springs'!L70+'Oak Springs MHC (oa150)'!L46+'Orange Manor East'!L35+'Orange Manor East (or125)'!L38+'Pacific Manor'!L44+'Pacific Manor (pa602)'!L46+Parkhaven!L101+Ridgecrest!L51+Riverest!L45+'Riverview MHRV LLC'!L48+Rosehaven!L113+'Sanctuary RV Resort'!L225+'Shadow Mountain MHC'!L32+Springhaven!L32+'Star Valley Ranch'!L43+Sunhaven!L39+'Sunny Grove'!L38+Tarponaire!L42+'Val Vista RV Resort'!L71+'Webster RV Resort LLC'!L58+'Wekiva Falls RV Resort'!L82+'West Jupiter RV Resort'!L39+'Western Way RV Resort LLC'!L131</f>
      </c>
      <c r="M11" s="18">
        <f>'Agave Village (ag011)'!M64+'Agave Village LLC'!M53+'Brookhaven Estates (bo260)'!M46+'Brookhaven RV Resort'!M42+'Courtly Manor'!M35+'Courtly Manor Park (co669)'!M36+'Cross Creek RV'!M131+'Cross Creek RV Resort (cr994)'!M137+'El Rio De Oro (el289)'!M33+'El Rio del Oro'!M36+'Endless Summer RV Resort'!M54+'Endless Summer RV Resort (en079'!M46+Evergreen!M33+'Far Horizons'!M33+'Far Horizons (fa105)'!M33+'Floridian Sandalwood (fl356)'!M30+'Floridian Sandalwood MHC'!M34+Glenhaven!M38+'Glenhaven Estates (gl317)'!M38+'Harbor Lights (ha310)'!M39+'Harbor Lights MHC'!M37+'Harvest Gate'!M47+'Hunter Run RV Estates'!M88+'Hunters Run RV Estates (hu116)'!M201+'Jade Isle (ja068)'!M30+'Jade Isle MHC'!M32+'Kakusha Estates (ka045)'!M36+'Kakusha MHC'!M35+'Lakeside Village'!M41+'Lakeside Village (la482)'!M43+'Lakewood Village (la481)'!M102+'Lakewood Village MHC LLC'!M122+'Maple Corner'!M55+'Maple Corner (ma490)'!M45+'Marlboro Court (ma489)'!M33+'Marlboro Court MHC LLC'!M33+'May Manor'!M137+'May Manor (ma488)'!M69+'Mobiland by the Sea (mo320)'!M38+'Mobiland By The Sea MHC'!M39+'Moss Landing'!M66+'Moss Landing (mo321)'!M58+'Oak Springs'!M70+'Oak Springs MHC (oa150)'!M46+'Orange Manor East'!M35+'Orange Manor East (or125)'!M38+'Pacific Manor'!M44+'Pacific Manor (pa602)'!M46+Parkhaven!M101+Ridgecrest!M51+Riverest!M45+'Riverview MHRV LLC'!M48+Rosehaven!M113+'Sanctuary RV Resort'!M225+'Shadow Mountain MHC'!M32+Springhaven!M32+'Star Valley Ranch'!M43+Sunhaven!M39+'Sunny Grove'!M38+Tarponaire!M42+'Val Vista RV Resort'!M71+'Webster RV Resort LLC'!M58+'Wekiva Falls RV Resort'!M82+'West Jupiter RV Resort'!M39+'Western Way RV Resort LLC'!M131</f>
      </c>
      <c r="N11" s="18">
        <f>'Agave Village (ag011)'!N64+'Agave Village LLC'!N53+'Brookhaven Estates (bo260)'!N46+'Brookhaven RV Resort'!N42+'Courtly Manor'!N35+'Courtly Manor Park (co669)'!N36+'Cross Creek RV'!N131+'Cross Creek RV Resort (cr994)'!N137+'El Rio De Oro (el289)'!N33+'El Rio del Oro'!N36+'Endless Summer RV Resort'!N54+'Endless Summer RV Resort (en079'!N46+Evergreen!N33+'Far Horizons'!N33+'Far Horizons (fa105)'!N33+'Floridian Sandalwood (fl356)'!N30+'Floridian Sandalwood MHC'!N34+Glenhaven!N38+'Glenhaven Estates (gl317)'!N38+'Harbor Lights (ha310)'!N39+'Harbor Lights MHC'!N37+'Harvest Gate'!N47+'Hunter Run RV Estates'!N88+'Hunters Run RV Estates (hu116)'!N201+'Jade Isle (ja068)'!N30+'Jade Isle MHC'!N32+'Kakusha Estates (ka045)'!N36+'Kakusha MHC'!N35+'Lakeside Village'!N41+'Lakeside Village (la482)'!N43+'Lakewood Village (la481)'!N102+'Lakewood Village MHC LLC'!N122+'Maple Corner'!N55+'Maple Corner (ma490)'!N45+'Marlboro Court (ma489)'!N33+'Marlboro Court MHC LLC'!N33+'May Manor'!N137+'May Manor (ma488)'!N69+'Mobiland by the Sea (mo320)'!N38+'Mobiland By The Sea MHC'!N39+'Moss Landing'!N66+'Moss Landing (mo321)'!N58+'Oak Springs'!N70+'Oak Springs MHC (oa150)'!N46+'Orange Manor East'!N35+'Orange Manor East (or125)'!N38+'Pacific Manor'!N44+'Pacific Manor (pa602)'!N46+Parkhaven!N101+Ridgecrest!N51+Riverest!N45+'Riverview MHRV LLC'!N48+Rosehaven!N113+'Sanctuary RV Resort'!N225+'Shadow Mountain MHC'!N32+Springhaven!N32+'Star Valley Ranch'!N43+Sunhaven!N39+'Sunny Grove'!N38+Tarponaire!N42+'Val Vista RV Resort'!N71+'Webster RV Resort LLC'!N58+'Wekiva Falls RV Resort'!N82+'West Jupiter RV Resort'!N39+'Western Way RV Resort LLC'!N131</f>
      </c>
      <c r="O11" s="18">
        <f>'Agave Village (ag011)'!O64+'Agave Village LLC'!O53+'Brookhaven Estates (bo260)'!O46+'Brookhaven RV Resort'!O42+'Courtly Manor'!O35+'Courtly Manor Park (co669)'!O36+'Cross Creek RV'!O131+'Cross Creek RV Resort (cr994)'!O137+'El Rio De Oro (el289)'!O33+'El Rio del Oro'!O36+'Endless Summer RV Resort'!O54+'Endless Summer RV Resort (en079'!O46+Evergreen!O33+'Far Horizons'!O33+'Far Horizons (fa105)'!O33+'Floridian Sandalwood (fl356)'!O30+'Floridian Sandalwood MHC'!O34+Glenhaven!O38+'Glenhaven Estates (gl317)'!O38+'Harbor Lights (ha310)'!O39+'Harbor Lights MHC'!O37+'Harvest Gate'!O47+'Hunter Run RV Estates'!O88+'Hunters Run RV Estates (hu116)'!O201+'Jade Isle (ja068)'!O30+'Jade Isle MHC'!O32+'Kakusha Estates (ka045)'!O36+'Kakusha MHC'!O35+'Lakeside Village'!O41+'Lakeside Village (la482)'!O43+'Lakewood Village (la481)'!O102+'Lakewood Village MHC LLC'!O122+'Maple Corner'!O55+'Maple Corner (ma490)'!O45+'Marlboro Court (ma489)'!O33+'Marlboro Court MHC LLC'!O33+'May Manor'!O137+'May Manor (ma488)'!O69+'Mobiland by the Sea (mo320)'!O38+'Mobiland By The Sea MHC'!O39+'Moss Landing'!O66+'Moss Landing (mo321)'!O58+'Oak Springs'!O70+'Oak Springs MHC (oa150)'!O46+'Orange Manor East'!O35+'Orange Manor East (or125)'!O38+'Pacific Manor'!O44+'Pacific Manor (pa602)'!O46+Parkhaven!O101+Ridgecrest!O51+Riverest!O45+'Riverview MHRV LLC'!O48+Rosehaven!O113+'Sanctuary RV Resort'!O225+'Shadow Mountain MHC'!O32+Springhaven!O32+'Star Valley Ranch'!O43+Sunhaven!O39+'Sunny Grove'!O38+Tarponaire!O42+'Val Vista RV Resort'!O71+'Webster RV Resort LLC'!O58+'Wekiva Falls RV Resort'!O82+'West Jupiter RV Resort'!O39+'Western Way RV Resort LLC'!O131</f>
      </c>
      <c r="P11" s="18">
        <f>'Agave Village (ag011)'!P64+'Agave Village LLC'!P53+'Brookhaven Estates (bo260)'!P46+'Brookhaven RV Resort'!P42+'Courtly Manor'!P35+'Courtly Manor Park (co669)'!P36+'Cross Creek RV'!P131+'Cross Creek RV Resort (cr994)'!P137+'El Rio De Oro (el289)'!P33+'El Rio del Oro'!P36+'Endless Summer RV Resort'!P54+'Endless Summer RV Resort (en079'!P46+Evergreen!P33+'Far Horizons'!P33+'Far Horizons (fa105)'!P33+'Floridian Sandalwood (fl356)'!P30+'Floridian Sandalwood MHC'!P34+Glenhaven!P38+'Glenhaven Estates (gl317)'!P38+'Harbor Lights (ha310)'!P39+'Harbor Lights MHC'!P37+'Harvest Gate'!P47+'Hunter Run RV Estates'!P88+'Hunters Run RV Estates (hu116)'!P201+'Jade Isle (ja068)'!P30+'Jade Isle MHC'!P32+'Kakusha Estates (ka045)'!P36+'Kakusha MHC'!P35+'Lakeside Village'!P41+'Lakeside Village (la482)'!P43+'Lakewood Village (la481)'!P102+'Lakewood Village MHC LLC'!P122+'Maple Corner'!P55+'Maple Corner (ma490)'!P45+'Marlboro Court (ma489)'!P33+'Marlboro Court MHC LLC'!P33+'May Manor'!P137+'May Manor (ma488)'!P69+'Mobiland by the Sea (mo320)'!P38+'Mobiland By The Sea MHC'!P39+'Moss Landing'!P66+'Moss Landing (mo321)'!P58+'Oak Springs'!P70+'Oak Springs MHC (oa150)'!P46+'Orange Manor East'!P35+'Orange Manor East (or125)'!P38+'Pacific Manor'!P44+'Pacific Manor (pa602)'!P46+Parkhaven!P101+Ridgecrest!P51+Riverest!P45+'Riverview MHRV LLC'!P48+Rosehaven!P113+'Sanctuary RV Resort'!P225+'Shadow Mountain MHC'!P32+Springhaven!P32+'Star Valley Ranch'!P43+Sunhaven!P39+'Sunny Grove'!P38+Tarponaire!P42+'Val Vista RV Resort'!P71+'Webster RV Resort LLC'!P58+'Wekiva Falls RV Resort'!P82+'West Jupiter RV Resort'!P39+'Western Way RV Resort LLC'!P131</f>
      </c>
      <c r="Q11" s="18">
        <f>'Agave Village (ag011)'!Q64+'Agave Village LLC'!Q53+'Brookhaven Estates (bo260)'!Q46+'Brookhaven RV Resort'!Q42+'Courtly Manor'!Q35+'Courtly Manor Park (co669)'!Q36+'Cross Creek RV'!Q131+'Cross Creek RV Resort (cr994)'!Q137+'El Rio De Oro (el289)'!Q33+'El Rio del Oro'!Q36+'Endless Summer RV Resort'!Q54+'Endless Summer RV Resort (en079'!Q46+Evergreen!Q33+'Far Horizons'!Q33+'Far Horizons (fa105)'!Q33+'Floridian Sandalwood (fl356)'!Q30+'Floridian Sandalwood MHC'!Q34+Glenhaven!Q38+'Glenhaven Estates (gl317)'!Q38+'Harbor Lights (ha310)'!Q39+'Harbor Lights MHC'!Q37+'Harvest Gate'!Q47+'Hunter Run RV Estates'!Q88+'Hunters Run RV Estates (hu116)'!Q201+'Jade Isle (ja068)'!Q30+'Jade Isle MHC'!Q32+'Kakusha Estates (ka045)'!Q36+'Kakusha MHC'!Q35+'Lakeside Village'!Q41+'Lakeside Village (la482)'!Q43+'Lakewood Village (la481)'!Q102+'Lakewood Village MHC LLC'!Q122+'Maple Corner'!Q55+'Maple Corner (ma490)'!Q45+'Marlboro Court (ma489)'!Q33+'Marlboro Court MHC LLC'!Q33+'May Manor'!Q137+'May Manor (ma488)'!Q69+'Mobiland by the Sea (mo320)'!Q38+'Mobiland By The Sea MHC'!Q39+'Moss Landing'!Q66+'Moss Landing (mo321)'!Q58+'Oak Springs'!Q70+'Oak Springs MHC (oa150)'!Q46+'Orange Manor East'!Q35+'Orange Manor East (or125)'!Q38+'Pacific Manor'!Q44+'Pacific Manor (pa602)'!Q46+Parkhaven!Q101+Ridgecrest!Q51+Riverest!Q45+'Riverview MHRV LLC'!Q48+Rosehaven!Q113+'Sanctuary RV Resort'!Q225+'Shadow Mountain MHC'!Q32+Springhaven!Q32+'Star Valley Ranch'!Q43+Sunhaven!Q39+'Sunny Grove'!Q38+Tarponaire!Q42+'Val Vista RV Resort'!Q71+'Webster RV Resort LLC'!Q58+'Wekiva Falls RV Resort'!Q82+'West Jupiter RV Resort'!Q39+'Western Way RV Resort LLC'!Q131</f>
      </c>
      <c r="R11" s="18">
        <f>'Agave Village (ag011)'!R64+'Agave Village LLC'!R53+'Brookhaven Estates (bo260)'!R46+'Brookhaven RV Resort'!R42+'Courtly Manor'!R35+'Courtly Manor Park (co669)'!R36+'Cross Creek RV'!R131+'Cross Creek RV Resort (cr994)'!R137+'El Rio De Oro (el289)'!R33+'El Rio del Oro'!R36+'Endless Summer RV Resort'!R54+'Endless Summer RV Resort (en079'!R46+Evergreen!R33+'Far Horizons'!R33+'Far Horizons (fa105)'!R33+'Floridian Sandalwood (fl356)'!R30+'Floridian Sandalwood MHC'!R34+Glenhaven!R38+'Glenhaven Estates (gl317)'!R38+'Harbor Lights (ha310)'!R39+'Harbor Lights MHC'!R37+'Harvest Gate'!R47+'Hunter Run RV Estates'!R88+'Hunters Run RV Estates (hu116)'!R201+'Jade Isle (ja068)'!R30+'Jade Isle MHC'!R32+'Kakusha Estates (ka045)'!R36+'Kakusha MHC'!R35+'Lakeside Village'!R41+'Lakeside Village (la482)'!R43+'Lakewood Village (la481)'!R102+'Lakewood Village MHC LLC'!R122+'Maple Corner'!R55+'Maple Corner (ma490)'!R45+'Marlboro Court (ma489)'!R33+'Marlboro Court MHC LLC'!R33+'May Manor'!R137+'May Manor (ma488)'!R69+'Mobiland by the Sea (mo320)'!R38+'Mobiland By The Sea MHC'!R39+'Moss Landing'!R66+'Moss Landing (mo321)'!R58+'Oak Springs'!R70+'Oak Springs MHC (oa150)'!R46+'Orange Manor East'!R35+'Orange Manor East (or125)'!R38+'Pacific Manor'!R44+'Pacific Manor (pa602)'!R46+Parkhaven!R101+Ridgecrest!R51+Riverest!R45+'Riverview MHRV LLC'!R48+Rosehaven!R113+'Sanctuary RV Resort'!R225+'Shadow Mountain MHC'!R32+Springhaven!R32+'Star Valley Ranch'!R43+Sunhaven!R39+'Sunny Grove'!R38+Tarponaire!R42+'Val Vista RV Resort'!R71+'Webster RV Resort LLC'!R58+'Wekiva Falls RV Resort'!R82+'West Jupiter RV Resort'!R39+'Western Way RV Resort LLC'!R131</f>
      </c>
      <c r="S11" s="18">
        <f>'Agave Village (ag011)'!S64+'Agave Village LLC'!S53+'Brookhaven Estates (bo260)'!S46+'Brookhaven RV Resort'!S42+'Courtly Manor'!S35+'Courtly Manor Park (co669)'!S36+'Cross Creek RV'!S131+'Cross Creek RV Resort (cr994)'!S137+'El Rio De Oro (el289)'!S33+'El Rio del Oro'!S36+'Endless Summer RV Resort'!S54+'Endless Summer RV Resort (en079'!S46+Evergreen!S33+'Far Horizons'!S33+'Far Horizons (fa105)'!S33+'Floridian Sandalwood (fl356)'!S30+'Floridian Sandalwood MHC'!S34+Glenhaven!S38+'Glenhaven Estates (gl317)'!S38+'Harbor Lights (ha310)'!S39+'Harbor Lights MHC'!S37+'Harvest Gate'!S47+'Hunter Run RV Estates'!S88+'Hunters Run RV Estates (hu116)'!S201+'Jade Isle (ja068)'!S30+'Jade Isle MHC'!S32+'Kakusha Estates (ka045)'!S36+'Kakusha MHC'!S35+'Lakeside Village'!S41+'Lakeside Village (la482)'!S43+'Lakewood Village (la481)'!S102+'Lakewood Village MHC LLC'!S122+'Maple Corner'!S55+'Maple Corner (ma490)'!S45+'Marlboro Court (ma489)'!S33+'Marlboro Court MHC LLC'!S33+'May Manor'!S137+'May Manor (ma488)'!S69+'Mobiland by the Sea (mo320)'!S38+'Mobiland By The Sea MHC'!S39+'Moss Landing'!S66+'Moss Landing (mo321)'!S58+'Oak Springs'!S70+'Oak Springs MHC (oa150)'!S46+'Orange Manor East'!S35+'Orange Manor East (or125)'!S38+'Pacific Manor'!S44+'Pacific Manor (pa602)'!S46+Parkhaven!S101+Ridgecrest!S51+Riverest!S45+'Riverview MHRV LLC'!S48+Rosehaven!S113+'Sanctuary RV Resort'!S225+'Shadow Mountain MHC'!S32+Springhaven!S32+'Star Valley Ranch'!S43+Sunhaven!S39+'Sunny Grove'!S38+Tarponaire!S42+'Val Vista RV Resort'!S71+'Webster RV Resort LLC'!S58+'Wekiva Falls RV Resort'!S82+'West Jupiter RV Resort'!S39+'Western Way RV Resort LLC'!S131</f>
      </c>
      <c r="T11" s="18">
        <f>'Agave Village (ag011)'!T64+'Agave Village LLC'!T53+'Brookhaven Estates (bo260)'!T46+'Brookhaven RV Resort'!T42+'Courtly Manor'!T35+'Courtly Manor Park (co669)'!T36+'Cross Creek RV'!T131+'Cross Creek RV Resort (cr994)'!T137+'El Rio De Oro (el289)'!T33+'El Rio del Oro'!T36+'Endless Summer RV Resort'!T54+'Endless Summer RV Resort (en079'!T46+Evergreen!T33+'Far Horizons'!T33+'Far Horizons (fa105)'!T33+'Floridian Sandalwood (fl356)'!T30+'Floridian Sandalwood MHC'!T34+Glenhaven!T38+'Glenhaven Estates (gl317)'!T38+'Harbor Lights (ha310)'!T39+'Harbor Lights MHC'!T37+'Harvest Gate'!T47+'Hunter Run RV Estates'!T88+'Hunters Run RV Estates (hu116)'!T201+'Jade Isle (ja068)'!T30+'Jade Isle MHC'!T32+'Kakusha Estates (ka045)'!T36+'Kakusha MHC'!T35+'Lakeside Village'!T41+'Lakeside Village (la482)'!T43+'Lakewood Village (la481)'!T102+'Lakewood Village MHC LLC'!T122+'Maple Corner'!T55+'Maple Corner (ma490)'!T45+'Marlboro Court (ma489)'!T33+'Marlboro Court MHC LLC'!T33+'May Manor'!T137+'May Manor (ma488)'!T69+'Mobiland by the Sea (mo320)'!T38+'Mobiland By The Sea MHC'!T39+'Moss Landing'!T66+'Moss Landing (mo321)'!T58+'Oak Springs'!T70+'Oak Springs MHC (oa150)'!T46+'Orange Manor East'!T35+'Orange Manor East (or125)'!T38+'Pacific Manor'!T44+'Pacific Manor (pa602)'!T46+Parkhaven!T101+Ridgecrest!T51+Riverest!T45+'Riverview MHRV LLC'!T48+Rosehaven!T113+'Sanctuary RV Resort'!T225+'Shadow Mountain MHC'!T32+Springhaven!T32+'Star Valley Ranch'!T43+Sunhaven!T39+'Sunny Grove'!T38+Tarponaire!T42+'Val Vista RV Resort'!T71+'Webster RV Resort LLC'!T58+'Wekiva Falls RV Resort'!T82+'West Jupiter RV Resort'!T39+'Western Way RV Resort LLC'!T131</f>
      </c>
      <c r="U11" s="18">
        <f>'Agave Village (ag011)'!U64+'Agave Village LLC'!U53+'Brookhaven Estates (bo260)'!U46+'Brookhaven RV Resort'!U42+'Courtly Manor'!U35+'Courtly Manor Park (co669)'!U36+'Cross Creek RV'!U131+'Cross Creek RV Resort (cr994)'!U137+'El Rio De Oro (el289)'!U33+'El Rio del Oro'!U36+'Endless Summer RV Resort'!U54+'Endless Summer RV Resort (en079'!U46+Evergreen!U33+'Far Horizons'!U33+'Far Horizons (fa105)'!U33+'Floridian Sandalwood (fl356)'!U30+'Floridian Sandalwood MHC'!U34+Glenhaven!U38+'Glenhaven Estates (gl317)'!U38+'Harbor Lights (ha310)'!U39+'Harbor Lights MHC'!U37+'Harvest Gate'!U47+'Hunter Run RV Estates'!U88+'Hunters Run RV Estates (hu116)'!U201+'Jade Isle (ja068)'!U30+'Jade Isle MHC'!U32+'Kakusha Estates (ka045)'!U36+'Kakusha MHC'!U35+'Lakeside Village'!U41+'Lakeside Village (la482)'!U43+'Lakewood Village (la481)'!U102+'Lakewood Village MHC LLC'!U122+'Maple Corner'!U55+'Maple Corner (ma490)'!U45+'Marlboro Court (ma489)'!U33+'Marlboro Court MHC LLC'!U33+'May Manor'!U137+'May Manor (ma488)'!U69+'Mobiland by the Sea (mo320)'!U38+'Mobiland By The Sea MHC'!U39+'Moss Landing'!U66+'Moss Landing (mo321)'!U58+'Oak Springs'!U70+'Oak Springs MHC (oa150)'!U46+'Orange Manor East'!U35+'Orange Manor East (or125)'!U38+'Pacific Manor'!U44+'Pacific Manor (pa602)'!U46+Parkhaven!U101+Ridgecrest!U51+Riverest!U45+'Riverview MHRV LLC'!U48+Rosehaven!U113+'Sanctuary RV Resort'!U225+'Shadow Mountain MHC'!U32+Springhaven!U32+'Star Valley Ranch'!U43+Sunhaven!U39+'Sunny Grove'!U38+Tarponaire!U42+'Val Vista RV Resort'!U71+'Webster RV Resort LLC'!U58+'Wekiva Falls RV Resort'!U82+'West Jupiter RV Resort'!U39+'Western Way RV Resort LLC'!U131</f>
      </c>
      <c r="V11" s="18">
        <f>'Agave Village (ag011)'!V64+'Agave Village LLC'!V53+'Brookhaven Estates (bo260)'!V46+'Brookhaven RV Resort'!V42+'Courtly Manor'!V35+'Courtly Manor Park (co669)'!V36+'Cross Creek RV'!V131+'Cross Creek RV Resort (cr994)'!V137+'El Rio De Oro (el289)'!V33+'El Rio del Oro'!V36+'Endless Summer RV Resort'!V54+'Endless Summer RV Resort (en079'!V46+Evergreen!V33+'Far Horizons'!V33+'Far Horizons (fa105)'!V33+'Floridian Sandalwood (fl356)'!V30+'Floridian Sandalwood MHC'!V34+Glenhaven!V38+'Glenhaven Estates (gl317)'!V38+'Harbor Lights (ha310)'!V39+'Harbor Lights MHC'!V37+'Harvest Gate'!V47+'Hunter Run RV Estates'!V88+'Hunters Run RV Estates (hu116)'!V201+'Jade Isle (ja068)'!V30+'Jade Isle MHC'!V32+'Kakusha Estates (ka045)'!V36+'Kakusha MHC'!V35+'Lakeside Village'!V41+'Lakeside Village (la482)'!V43+'Lakewood Village (la481)'!V102+'Lakewood Village MHC LLC'!V122+'Maple Corner'!V55+'Maple Corner (ma490)'!V45+'Marlboro Court (ma489)'!V33+'Marlboro Court MHC LLC'!V33+'May Manor'!V137+'May Manor (ma488)'!V69+'Mobiland by the Sea (mo320)'!V38+'Mobiland By The Sea MHC'!V39+'Moss Landing'!V66+'Moss Landing (mo321)'!V58+'Oak Springs'!V70+'Oak Springs MHC (oa150)'!V46+'Orange Manor East'!V35+'Orange Manor East (or125)'!V38+'Pacific Manor'!V44+'Pacific Manor (pa602)'!V46+Parkhaven!V101+Ridgecrest!V51+Riverest!V45+'Riverview MHRV LLC'!V48+Rosehaven!V113+'Sanctuary RV Resort'!V225+'Shadow Mountain MHC'!V32+Springhaven!V32+'Star Valley Ranch'!V43+Sunhaven!V39+'Sunny Grove'!V38+Tarponaire!V42+'Val Vista RV Resort'!V71+'Webster RV Resort LLC'!V58+'Wekiva Falls RV Resort'!V82+'West Jupiter RV Resort'!V39+'Western Way RV Resort LLC'!V131</f>
      </c>
      <c r="W11" s="18">
        <f>'Agave Village (ag011)'!W64+'Agave Village LLC'!W53+'Brookhaven Estates (bo260)'!W46+'Brookhaven RV Resort'!W42+'Courtly Manor'!W35+'Courtly Manor Park (co669)'!W36+'Cross Creek RV'!W131+'Cross Creek RV Resort (cr994)'!W137+'El Rio De Oro (el289)'!W33+'El Rio del Oro'!W36+'Endless Summer RV Resort'!W54+'Endless Summer RV Resort (en079'!W46+Evergreen!W33+'Far Horizons'!W33+'Far Horizons (fa105)'!W33+'Floridian Sandalwood (fl356)'!W30+'Floridian Sandalwood MHC'!W34+Glenhaven!W38+'Glenhaven Estates (gl317)'!W38+'Harbor Lights (ha310)'!W39+'Harbor Lights MHC'!W37+'Harvest Gate'!W47+'Hunter Run RV Estates'!W88+'Hunters Run RV Estates (hu116)'!W201+'Jade Isle (ja068)'!W30+'Jade Isle MHC'!W32+'Kakusha Estates (ka045)'!W36+'Kakusha MHC'!W35+'Lakeside Village'!W41+'Lakeside Village (la482)'!W43+'Lakewood Village (la481)'!W102+'Lakewood Village MHC LLC'!W122+'Maple Corner'!W55+'Maple Corner (ma490)'!W45+'Marlboro Court (ma489)'!W33+'Marlboro Court MHC LLC'!W33+'May Manor'!W137+'May Manor (ma488)'!W69+'Mobiland by the Sea (mo320)'!W38+'Mobiland By The Sea MHC'!W39+'Moss Landing'!W66+'Moss Landing (mo321)'!W58+'Oak Springs'!W70+'Oak Springs MHC (oa150)'!W46+'Orange Manor East'!W35+'Orange Manor East (or125)'!W38+'Pacific Manor'!W44+'Pacific Manor (pa602)'!W46+Parkhaven!W101+Ridgecrest!W51+Riverest!W45+'Riverview MHRV LLC'!W48+Rosehaven!W113+'Sanctuary RV Resort'!W225+'Shadow Mountain MHC'!W32+Springhaven!W32+'Star Valley Ranch'!W43+Sunhaven!W39+'Sunny Grove'!W38+Tarponaire!W42+'Val Vista RV Resort'!W71+'Webster RV Resort LLC'!W58+'Wekiva Falls RV Resort'!W82+'West Jupiter RV Resort'!W39+'Western Way RV Resort LLC'!W131</f>
      </c>
      <c r="X11" s="18">
        <f>'Agave Village (ag011)'!X64+'Agave Village LLC'!X53+'Brookhaven Estates (bo260)'!X46+'Brookhaven RV Resort'!X42+'Courtly Manor'!X35+'Courtly Manor Park (co669)'!X36+'Cross Creek RV'!X131+'Cross Creek RV Resort (cr994)'!X137+'El Rio De Oro (el289)'!X33+'El Rio del Oro'!X36+'Endless Summer RV Resort'!X54+'Endless Summer RV Resort (en079'!X46+Evergreen!X33+'Far Horizons'!X33+'Far Horizons (fa105)'!X33+'Floridian Sandalwood (fl356)'!X30+'Floridian Sandalwood MHC'!X34+Glenhaven!X38+'Glenhaven Estates (gl317)'!X38+'Harbor Lights (ha310)'!X39+'Harbor Lights MHC'!X37+'Harvest Gate'!X47+'Hunter Run RV Estates'!X88+'Hunters Run RV Estates (hu116)'!X201+'Jade Isle (ja068)'!X30+'Jade Isle MHC'!X32+'Kakusha Estates (ka045)'!X36+'Kakusha MHC'!X35+'Lakeside Village'!X41+'Lakeside Village (la482)'!X43+'Lakewood Village (la481)'!X102+'Lakewood Village MHC LLC'!X122+'Maple Corner'!X55+'Maple Corner (ma490)'!X45+'Marlboro Court (ma489)'!X33+'Marlboro Court MHC LLC'!X33+'May Manor'!X137+'May Manor (ma488)'!X69+'Mobiland by the Sea (mo320)'!X38+'Mobiland By The Sea MHC'!X39+'Moss Landing'!X66+'Moss Landing (mo321)'!X58+'Oak Springs'!X70+'Oak Springs MHC (oa150)'!X46+'Orange Manor East'!X35+'Orange Manor East (or125)'!X38+'Pacific Manor'!X44+'Pacific Manor (pa602)'!X46+Parkhaven!X101+Ridgecrest!X51+Riverest!X45+'Riverview MHRV LLC'!X48+Rosehaven!X113+'Sanctuary RV Resort'!X225+'Shadow Mountain MHC'!X32+Springhaven!X32+'Star Valley Ranch'!X43+Sunhaven!X39+'Sunny Grove'!X38+Tarponaire!X42+'Val Vista RV Resort'!X71+'Webster RV Resort LLC'!X58+'Wekiva Falls RV Resort'!X82+'West Jupiter RV Resort'!X39+'Western Way RV Resort LLC'!X131</f>
      </c>
      <c r="Y11" s="18">
        <f>'Agave Village (ag011)'!Y64+'Agave Village LLC'!Y53+'Brookhaven Estates (bo260)'!Y46+'Brookhaven RV Resort'!Y42+'Courtly Manor'!Y35+'Courtly Manor Park (co669)'!Y36+'Cross Creek RV'!Y131+'Cross Creek RV Resort (cr994)'!Y137+'El Rio De Oro (el289)'!Y33+'El Rio del Oro'!Y36+'Endless Summer RV Resort'!Y54+'Endless Summer RV Resort (en079'!Y46+Evergreen!Y33+'Far Horizons'!Y33+'Far Horizons (fa105)'!Y33+'Floridian Sandalwood (fl356)'!Y30+'Floridian Sandalwood MHC'!Y34+Glenhaven!Y38+'Glenhaven Estates (gl317)'!Y38+'Harbor Lights (ha310)'!Y39+'Harbor Lights MHC'!Y37+'Harvest Gate'!Y47+'Hunter Run RV Estates'!Y88+'Hunters Run RV Estates (hu116)'!Y201+'Jade Isle (ja068)'!Y30+'Jade Isle MHC'!Y32+'Kakusha Estates (ka045)'!Y36+'Kakusha MHC'!Y35+'Lakeside Village'!Y41+'Lakeside Village (la482)'!Y43+'Lakewood Village (la481)'!Y102+'Lakewood Village MHC LLC'!Y122+'Maple Corner'!Y55+'Maple Corner (ma490)'!Y45+'Marlboro Court (ma489)'!Y33+'Marlboro Court MHC LLC'!Y33+'May Manor'!Y137+'May Manor (ma488)'!Y69+'Mobiland by the Sea (mo320)'!Y38+'Mobiland By The Sea MHC'!Y39+'Moss Landing'!Y66+'Moss Landing (mo321)'!Y58+'Oak Springs'!Y70+'Oak Springs MHC (oa150)'!Y46+'Orange Manor East'!Y35+'Orange Manor East (or125)'!Y38+'Pacific Manor'!Y44+'Pacific Manor (pa602)'!Y46+Parkhaven!Y101+Ridgecrest!Y51+Riverest!Y45+'Riverview MHRV LLC'!Y48+Rosehaven!Y113+'Sanctuary RV Resort'!Y225+'Shadow Mountain MHC'!Y32+Springhaven!Y32+'Star Valley Ranch'!Y43+Sunhaven!Y39+'Sunny Grove'!Y38+Tarponaire!Y42+'Val Vista RV Resort'!Y71+'Webster RV Resort LLC'!Y58+'Wekiva Falls RV Resort'!Y82+'West Jupiter RV Resort'!Y39+'Western Way RV Resort LLC'!Y131</f>
      </c>
      <c r="Z11" s="18">
        <f>'Agave Village (ag011)'!Z64+'Agave Village LLC'!Z53+'Brookhaven Estates (bo260)'!Z46+'Brookhaven RV Resort'!Z42+'Courtly Manor'!Z35+'Courtly Manor Park (co669)'!Z36+'Cross Creek RV'!Z131+'Cross Creek RV Resort (cr994)'!Z137+'El Rio De Oro (el289)'!Z33+'El Rio del Oro'!Z36+'Endless Summer RV Resort'!Z54+'Endless Summer RV Resort (en079'!Z46+Evergreen!Z33+'Far Horizons'!Z33+'Far Horizons (fa105)'!Z33+'Floridian Sandalwood (fl356)'!Z30+'Floridian Sandalwood MHC'!Z34+Glenhaven!Z38+'Glenhaven Estates (gl317)'!Z38+'Harbor Lights (ha310)'!Z39+'Harbor Lights MHC'!Z37+'Harvest Gate'!Z47+'Hunter Run RV Estates'!Z88+'Hunters Run RV Estates (hu116)'!Z201+'Jade Isle (ja068)'!Z30+'Jade Isle MHC'!Z32+'Kakusha Estates (ka045)'!Z36+'Kakusha MHC'!Z35+'Lakeside Village'!Z41+'Lakeside Village (la482)'!Z43+'Lakewood Village (la481)'!Z102+'Lakewood Village MHC LLC'!Z122+'Maple Corner'!Z55+'Maple Corner (ma490)'!Z45+'Marlboro Court (ma489)'!Z33+'Marlboro Court MHC LLC'!Z33+'May Manor'!Z137+'May Manor (ma488)'!Z69+'Mobiland by the Sea (mo320)'!Z38+'Mobiland By The Sea MHC'!Z39+'Moss Landing'!Z66+'Moss Landing (mo321)'!Z58+'Oak Springs'!Z70+'Oak Springs MHC (oa150)'!Z46+'Orange Manor East'!Z35+'Orange Manor East (or125)'!Z38+'Pacific Manor'!Z44+'Pacific Manor (pa602)'!Z46+Parkhaven!Z101+Ridgecrest!Z51+Riverest!Z45+'Riverview MHRV LLC'!Z48+Rosehaven!Z113+'Sanctuary RV Resort'!Z225+'Shadow Mountain MHC'!Z32+Springhaven!Z32+'Star Valley Ranch'!Z43+Sunhaven!Z39+'Sunny Grove'!Z38+Tarponaire!Z42+'Val Vista RV Resort'!Z71+'Webster RV Resort LLC'!Z58+'Wekiva Falls RV Resort'!Z82+'West Jupiter RV Resort'!Z39+'Western Way RV Resort LLC'!Z131</f>
      </c>
      <c r="AA11" s="18">
        <f>'Agave Village (ag011)'!AA64+'Agave Village LLC'!AA53+'Brookhaven Estates (bo260)'!AA46+'Brookhaven RV Resort'!AA42+'Courtly Manor'!AA35+'Courtly Manor Park (co669)'!AA36+'Cross Creek RV'!AA131+'Cross Creek RV Resort (cr994)'!AA137+'El Rio De Oro (el289)'!AA33+'El Rio del Oro'!AA36+'Endless Summer RV Resort'!AA54+'Endless Summer RV Resort (en079'!AA46+Evergreen!AA33+'Far Horizons'!AA33+'Far Horizons (fa105)'!AA33+'Floridian Sandalwood (fl356)'!AA30+'Floridian Sandalwood MHC'!AA34+Glenhaven!AA38+'Glenhaven Estates (gl317)'!AA38+'Harbor Lights (ha310)'!AA39+'Harbor Lights MHC'!AA37+'Harvest Gate'!AA47+'Hunter Run RV Estates'!AA88+'Hunters Run RV Estates (hu116)'!AA201+'Jade Isle (ja068)'!AA30+'Jade Isle MHC'!AA32+'Kakusha Estates (ka045)'!AA36+'Kakusha MHC'!AA35+'Lakeside Village'!AA41+'Lakeside Village (la482)'!AA43+'Lakewood Village (la481)'!AA102+'Lakewood Village MHC LLC'!AA122+'Maple Corner'!AA55+'Maple Corner (ma490)'!AA45+'Marlboro Court (ma489)'!AA33+'Marlboro Court MHC LLC'!AA33+'May Manor'!AA137+'May Manor (ma488)'!AA69+'Mobiland by the Sea (mo320)'!AA38+'Mobiland By The Sea MHC'!AA39+'Moss Landing'!AA66+'Moss Landing (mo321)'!AA58+'Oak Springs'!AA70+'Oak Springs MHC (oa150)'!AA46+'Orange Manor East'!AA35+'Orange Manor East (or125)'!AA38+'Pacific Manor'!AA44+'Pacific Manor (pa602)'!AA46+Parkhaven!AA101+Ridgecrest!AA51+Riverest!AA45+'Riverview MHRV LLC'!AA48+Rosehaven!AA113+'Sanctuary RV Resort'!AA225+'Shadow Mountain MHC'!AA32+Springhaven!AA32+'Star Valley Ranch'!AA43+Sunhaven!AA39+'Sunny Grove'!AA38+Tarponaire!AA42+'Val Vista RV Resort'!AA71+'Webster RV Resort LLC'!AA58+'Wekiva Falls RV Resort'!AA82+'West Jupiter RV Resort'!AA39+'Western Way RV Resort LLC'!AA131</f>
      </c>
      <c r="AB11" s="18">
        <f>'Agave Village (ag011)'!AB64+'Agave Village LLC'!AB53+'Brookhaven Estates (bo260)'!AB46+'Brookhaven RV Resort'!AB42+'Courtly Manor'!AB35+'Courtly Manor Park (co669)'!AB36+'Cross Creek RV'!AB131+'Cross Creek RV Resort (cr994)'!AB137+'El Rio De Oro (el289)'!AB33+'El Rio del Oro'!AB36+'Endless Summer RV Resort'!AB54+'Endless Summer RV Resort (en079'!AB46+Evergreen!AB33+'Far Horizons'!AB33+'Far Horizons (fa105)'!AB33+'Floridian Sandalwood (fl356)'!AB30+'Floridian Sandalwood MHC'!AB34+Glenhaven!AB38+'Glenhaven Estates (gl317)'!AB38+'Harbor Lights (ha310)'!AB39+'Harbor Lights MHC'!AB37+'Harvest Gate'!AB47+'Hunter Run RV Estates'!AB88+'Hunters Run RV Estates (hu116)'!AB201+'Jade Isle (ja068)'!AB30+'Jade Isle MHC'!AB32+'Kakusha Estates (ka045)'!AB36+'Kakusha MHC'!AB35+'Lakeside Village'!AB41+'Lakeside Village (la482)'!AB43+'Lakewood Village (la481)'!AB102+'Lakewood Village MHC LLC'!AB122+'Maple Corner'!AB55+'Maple Corner (ma490)'!AB45+'Marlboro Court (ma489)'!AB33+'Marlboro Court MHC LLC'!AB33+'May Manor'!AB137+'May Manor (ma488)'!AB69+'Mobiland by the Sea (mo320)'!AB38+'Mobiland By The Sea MHC'!AB39+'Moss Landing'!AB66+'Moss Landing (mo321)'!AB58+'Oak Springs'!AB70+'Oak Springs MHC (oa150)'!AB46+'Orange Manor East'!AB35+'Orange Manor East (or125)'!AB38+'Pacific Manor'!AB44+'Pacific Manor (pa602)'!AB46+Parkhaven!AB101+Ridgecrest!AB51+Riverest!AB45+'Riverview MHRV LLC'!AB48+Rosehaven!AB113+'Sanctuary RV Resort'!AB225+'Shadow Mountain MHC'!AB32+Springhaven!AB32+'Star Valley Ranch'!AB43+Sunhaven!AB39+'Sunny Grove'!AB38+Tarponaire!AB42+'Val Vista RV Resort'!AB71+'Webster RV Resort LLC'!AB58+'Wekiva Falls RV Resort'!AB82+'West Jupiter RV Resort'!AB39+'Western Way RV Resort LLC'!AB131</f>
      </c>
      <c r="AC11" s="18">
        <f>'Agave Village (ag011)'!AC64+'Agave Village LLC'!AC53+'Brookhaven Estates (bo260)'!AC46+'Brookhaven RV Resort'!AC42+'Courtly Manor'!AC35+'Courtly Manor Park (co669)'!AC36+'Cross Creek RV'!AC131+'Cross Creek RV Resort (cr994)'!AC137+'El Rio De Oro (el289)'!AC33+'El Rio del Oro'!AC36+'Endless Summer RV Resort'!AC54+'Endless Summer RV Resort (en079'!AC46+Evergreen!AC33+'Far Horizons'!AC33+'Far Horizons (fa105)'!AC33+'Floridian Sandalwood (fl356)'!AC30+'Floridian Sandalwood MHC'!AC34+Glenhaven!AC38+'Glenhaven Estates (gl317)'!AC38+'Harbor Lights (ha310)'!AC39+'Harbor Lights MHC'!AC37+'Harvest Gate'!AC47+'Hunter Run RV Estates'!AC88+'Hunters Run RV Estates (hu116)'!AC201+'Jade Isle (ja068)'!AC30+'Jade Isle MHC'!AC32+'Kakusha Estates (ka045)'!AC36+'Kakusha MHC'!AC35+'Lakeside Village'!AC41+'Lakeside Village (la482)'!AC43+'Lakewood Village (la481)'!AC102+'Lakewood Village MHC LLC'!AC122+'Maple Corner'!AC55+'Maple Corner (ma490)'!AC45+'Marlboro Court (ma489)'!AC33+'Marlboro Court MHC LLC'!AC33+'May Manor'!AC137+'May Manor (ma488)'!AC69+'Mobiland by the Sea (mo320)'!AC38+'Mobiland By The Sea MHC'!AC39+'Moss Landing'!AC66+'Moss Landing (mo321)'!AC58+'Oak Springs'!AC70+'Oak Springs MHC (oa150)'!AC46+'Orange Manor East'!AC35+'Orange Manor East (or125)'!AC38+'Pacific Manor'!AC44+'Pacific Manor (pa602)'!AC46+Parkhaven!AC101+Ridgecrest!AC51+Riverest!AC45+'Riverview MHRV LLC'!AC48+Rosehaven!AC113+'Sanctuary RV Resort'!AC225+'Shadow Mountain MHC'!AC32+Springhaven!AC32+'Star Valley Ranch'!AC43+Sunhaven!AC39+'Sunny Grove'!AC38+Tarponaire!AC42+'Val Vista RV Resort'!AC71+'Webster RV Resort LLC'!AC58+'Wekiva Falls RV Resort'!AC82+'West Jupiter RV Resort'!AC39+'Western Way RV Resort LLC'!AC131</f>
      </c>
      <c r="AD11" s="18">
        <f>'Agave Village (ag011)'!AD64+'Agave Village LLC'!AD53+'Brookhaven Estates (bo260)'!AD46+'Brookhaven RV Resort'!AD42+'Courtly Manor'!AD35+'Courtly Manor Park (co669)'!AD36+'Cross Creek RV'!AD131+'Cross Creek RV Resort (cr994)'!AD137+'El Rio De Oro (el289)'!AD33+'El Rio del Oro'!AD36+'Endless Summer RV Resort'!AD54+'Endless Summer RV Resort (en079'!AD46+Evergreen!AD33+'Far Horizons'!AD33+'Far Horizons (fa105)'!AD33+'Floridian Sandalwood (fl356)'!AD30+'Floridian Sandalwood MHC'!AD34+Glenhaven!AD38+'Glenhaven Estates (gl317)'!AD38+'Harbor Lights (ha310)'!AD39+'Harbor Lights MHC'!AD37+'Harvest Gate'!AD47+'Hunter Run RV Estates'!AD88+'Hunters Run RV Estates (hu116)'!AD201+'Jade Isle (ja068)'!AD30+'Jade Isle MHC'!AD32+'Kakusha Estates (ka045)'!AD36+'Kakusha MHC'!AD35+'Lakeside Village'!AD41+'Lakeside Village (la482)'!AD43+'Lakewood Village (la481)'!AD102+'Lakewood Village MHC LLC'!AD122+'Maple Corner'!AD55+'Maple Corner (ma490)'!AD45+'Marlboro Court (ma489)'!AD33+'Marlboro Court MHC LLC'!AD33+'May Manor'!AD137+'May Manor (ma488)'!AD69+'Mobiland by the Sea (mo320)'!AD38+'Mobiland By The Sea MHC'!AD39+'Moss Landing'!AD66+'Moss Landing (mo321)'!AD58+'Oak Springs'!AD70+'Oak Springs MHC (oa150)'!AD46+'Orange Manor East'!AD35+'Orange Manor East (or125)'!AD38+'Pacific Manor'!AD44+'Pacific Manor (pa602)'!AD46+Parkhaven!AD101+Ridgecrest!AD51+Riverest!AD45+'Riverview MHRV LLC'!AD48+Rosehaven!AD113+'Sanctuary RV Resort'!AD225+'Shadow Mountain MHC'!AD32+Springhaven!AD32+'Star Valley Ranch'!AD43+Sunhaven!AD39+'Sunny Grove'!AD38+Tarponaire!AD42+'Val Vista RV Resort'!AD71+'Webster RV Resort LLC'!AD58+'Wekiva Falls RV Resort'!AD82+'West Jupiter RV Resort'!AD39+'Western Way RV Resort LLC'!AD131</f>
      </c>
      <c r="AE11" s="18">
        <f>'Agave Village (ag011)'!AE64+'Agave Village LLC'!AE53+'Brookhaven Estates (bo260)'!AE46+'Brookhaven RV Resort'!AE42+'Courtly Manor'!AE35+'Courtly Manor Park (co669)'!AE36+'Cross Creek RV'!AE131+'Cross Creek RV Resort (cr994)'!AE137+'El Rio De Oro (el289)'!AE33+'El Rio del Oro'!AE36+'Endless Summer RV Resort'!AE54+'Endless Summer RV Resort (en079'!AE46+Evergreen!AE33+'Far Horizons'!AE33+'Far Horizons (fa105)'!AE33+'Floridian Sandalwood (fl356)'!AE30+'Floridian Sandalwood MHC'!AE34+Glenhaven!AE38+'Glenhaven Estates (gl317)'!AE38+'Harbor Lights (ha310)'!AE39+'Harbor Lights MHC'!AE37+'Harvest Gate'!AE47+'Hunter Run RV Estates'!AE88+'Hunters Run RV Estates (hu116)'!AE201+'Jade Isle (ja068)'!AE30+'Jade Isle MHC'!AE32+'Kakusha Estates (ka045)'!AE36+'Kakusha MHC'!AE35+'Lakeside Village'!AE41+'Lakeside Village (la482)'!AE43+'Lakewood Village (la481)'!AE102+'Lakewood Village MHC LLC'!AE122+'Maple Corner'!AE55+'Maple Corner (ma490)'!AE45+'Marlboro Court (ma489)'!AE33+'Marlboro Court MHC LLC'!AE33+'May Manor'!AE137+'May Manor (ma488)'!AE69+'Mobiland by the Sea (mo320)'!AE38+'Mobiland By The Sea MHC'!AE39+'Moss Landing'!AE66+'Moss Landing (mo321)'!AE58+'Oak Springs'!AE70+'Oak Springs MHC (oa150)'!AE46+'Orange Manor East'!AE35+'Orange Manor East (or125)'!AE38+'Pacific Manor'!AE44+'Pacific Manor (pa602)'!AE46+Parkhaven!AE101+Ridgecrest!AE51+Riverest!AE45+'Riverview MHRV LLC'!AE48+Rosehaven!AE113+'Sanctuary RV Resort'!AE225+'Shadow Mountain MHC'!AE32+Springhaven!AE32+'Star Valley Ranch'!AE43+Sunhaven!AE39+'Sunny Grove'!AE38+Tarponaire!AE42+'Val Vista RV Resort'!AE71+'Webster RV Resort LLC'!AE58+'Wekiva Falls RV Resort'!AE82+'West Jupiter RV Resort'!AE39+'Western Way RV Resort LLC'!AE131</f>
      </c>
      <c r="AF11" s="18">
        <f>'Agave Village (ag011)'!AF64+'Agave Village LLC'!AF53+'Brookhaven Estates (bo260)'!AF46+'Brookhaven RV Resort'!AF42+'Courtly Manor'!AF35+'Courtly Manor Park (co669)'!AF36+'Cross Creek RV'!AF131+'Cross Creek RV Resort (cr994)'!AF137+'El Rio De Oro (el289)'!AF33+'El Rio del Oro'!AF36+'Endless Summer RV Resort'!AF54+'Endless Summer RV Resort (en079'!AF46+Evergreen!AF33+'Far Horizons'!AF33+'Far Horizons (fa105)'!AF33+'Floridian Sandalwood (fl356)'!AF30+'Floridian Sandalwood MHC'!AF34+Glenhaven!AF38+'Glenhaven Estates (gl317)'!AF38+'Harbor Lights (ha310)'!AF39+'Harbor Lights MHC'!AF37+'Harvest Gate'!AF47+'Hunter Run RV Estates'!AF88+'Hunters Run RV Estates (hu116)'!AF201+'Jade Isle (ja068)'!AF30+'Jade Isle MHC'!AF32+'Kakusha Estates (ka045)'!AF36+'Kakusha MHC'!AF35+'Lakeside Village'!AF41+'Lakeside Village (la482)'!AF43+'Lakewood Village (la481)'!AF102+'Lakewood Village MHC LLC'!AF122+'Maple Corner'!AF55+'Maple Corner (ma490)'!AF45+'Marlboro Court (ma489)'!AF33+'Marlboro Court MHC LLC'!AF33+'May Manor'!AF137+'May Manor (ma488)'!AF69+'Mobiland by the Sea (mo320)'!AF38+'Mobiland By The Sea MHC'!AF39+'Moss Landing'!AF66+'Moss Landing (mo321)'!AF58+'Oak Springs'!AF70+'Oak Springs MHC (oa150)'!AF46+'Orange Manor East'!AF35+'Orange Manor East (or125)'!AF38+'Pacific Manor'!AF44+'Pacific Manor (pa602)'!AF46+Parkhaven!AF101+Ridgecrest!AF51+Riverest!AF45+'Riverview MHRV LLC'!AF48+Rosehaven!AF113+'Sanctuary RV Resort'!AF225+'Shadow Mountain MHC'!AF32+Springhaven!AF32+'Star Valley Ranch'!AF43+Sunhaven!AF39+'Sunny Grove'!AF38+Tarponaire!AF42+'Val Vista RV Resort'!AF71+'Webster RV Resort LLC'!AF58+'Wekiva Falls RV Resort'!AF82+'West Jupiter RV Resort'!AF39+'Western Way RV Resort LLC'!AF131</f>
      </c>
      <c r="AG11" s="18">
        <f>'Agave Village (ag011)'!AG64+'Agave Village LLC'!AG53+'Brookhaven Estates (bo260)'!AG46+'Brookhaven RV Resort'!AG42+'Courtly Manor'!AG35+'Courtly Manor Park (co669)'!AG36+'Cross Creek RV'!AG131+'Cross Creek RV Resort (cr994)'!AG137+'El Rio De Oro (el289)'!AG33+'El Rio del Oro'!AG36+'Endless Summer RV Resort'!AG54+'Endless Summer RV Resort (en079'!AG46+Evergreen!AG33+'Far Horizons'!AG33+'Far Horizons (fa105)'!AG33+'Floridian Sandalwood (fl356)'!AG30+'Floridian Sandalwood MHC'!AG34+Glenhaven!AG38+'Glenhaven Estates (gl317)'!AG38+'Harbor Lights (ha310)'!AG39+'Harbor Lights MHC'!AG37+'Harvest Gate'!AG47+'Hunter Run RV Estates'!AG88+'Hunters Run RV Estates (hu116)'!AG201+'Jade Isle (ja068)'!AG30+'Jade Isle MHC'!AG32+'Kakusha Estates (ka045)'!AG36+'Kakusha MHC'!AG35+'Lakeside Village'!AG41+'Lakeside Village (la482)'!AG43+'Lakewood Village (la481)'!AG102+'Lakewood Village MHC LLC'!AG122+'Maple Corner'!AG55+'Maple Corner (ma490)'!AG45+'Marlboro Court (ma489)'!AG33+'Marlboro Court MHC LLC'!AG33+'May Manor'!AG137+'May Manor (ma488)'!AG69+'Mobiland by the Sea (mo320)'!AG38+'Mobiland By The Sea MHC'!AG39+'Moss Landing'!AG66+'Moss Landing (mo321)'!AG58+'Oak Springs'!AG70+'Oak Springs MHC (oa150)'!AG46+'Orange Manor East'!AG35+'Orange Manor East (or125)'!AG38+'Pacific Manor'!AG44+'Pacific Manor (pa602)'!AG46+Parkhaven!AG101+Ridgecrest!AG51+Riverest!AG45+'Riverview MHRV LLC'!AG48+Rosehaven!AG113+'Sanctuary RV Resort'!AG225+'Shadow Mountain MHC'!AG32+Springhaven!AG32+'Star Valley Ranch'!AG43+Sunhaven!AG39+'Sunny Grove'!AG38+Tarponaire!AG42+'Val Vista RV Resort'!AG71+'Webster RV Resort LLC'!AG58+'Wekiva Falls RV Resort'!AG82+'West Jupiter RV Resort'!AG39+'Western Way RV Resort LLC'!AG131</f>
      </c>
      <c r="AH11" s="18">
        <f>'Agave Village (ag011)'!AH64+'Agave Village LLC'!AH53+'Brookhaven Estates (bo260)'!AH46+'Brookhaven RV Resort'!AH42+'Courtly Manor'!AH35+'Courtly Manor Park (co669)'!AH36+'Cross Creek RV'!AH131+'Cross Creek RV Resort (cr994)'!AH137+'El Rio De Oro (el289)'!AH33+'El Rio del Oro'!AH36+'Endless Summer RV Resort'!AH54+'Endless Summer RV Resort (en079'!AH46+Evergreen!AH33+'Far Horizons'!AH33+'Far Horizons (fa105)'!AH33+'Floridian Sandalwood (fl356)'!AH30+'Floridian Sandalwood MHC'!AH34+Glenhaven!AH38+'Glenhaven Estates (gl317)'!AH38+'Harbor Lights (ha310)'!AH39+'Harbor Lights MHC'!AH37+'Harvest Gate'!AH47+'Hunter Run RV Estates'!AH88+'Hunters Run RV Estates (hu116)'!AH201+'Jade Isle (ja068)'!AH30+'Jade Isle MHC'!AH32+'Kakusha Estates (ka045)'!AH36+'Kakusha MHC'!AH35+'Lakeside Village'!AH41+'Lakeside Village (la482)'!AH43+'Lakewood Village (la481)'!AH102+'Lakewood Village MHC LLC'!AH122+'Maple Corner'!AH55+'Maple Corner (ma490)'!AH45+'Marlboro Court (ma489)'!AH33+'Marlboro Court MHC LLC'!AH33+'May Manor'!AH137+'May Manor (ma488)'!AH69+'Mobiland by the Sea (mo320)'!AH38+'Mobiland By The Sea MHC'!AH39+'Moss Landing'!AH66+'Moss Landing (mo321)'!AH58+'Oak Springs'!AH70+'Oak Springs MHC (oa150)'!AH46+'Orange Manor East'!AH35+'Orange Manor East (or125)'!AH38+'Pacific Manor'!AH44+'Pacific Manor (pa602)'!AH46+Parkhaven!AH101+Ridgecrest!AH51+Riverest!AH45+'Riverview MHRV LLC'!AH48+Rosehaven!AH113+'Sanctuary RV Resort'!AH225+'Shadow Mountain MHC'!AH32+Springhaven!AH32+'Star Valley Ranch'!AH43+Sunhaven!AH39+'Sunny Grove'!AH38+Tarponaire!AH42+'Val Vista RV Resort'!AH71+'Webster RV Resort LLC'!AH58+'Wekiva Falls RV Resort'!AH82+'West Jupiter RV Resort'!AH39+'Western Way RV Resort LLC'!AH131</f>
      </c>
      <c r="AI11" s="18">
        <f>'Agave Village (ag011)'!AI64+'Agave Village LLC'!AI53+'Brookhaven Estates (bo260)'!AI46+'Brookhaven RV Resort'!AI42+'Courtly Manor'!AI35+'Courtly Manor Park (co669)'!AI36+'Cross Creek RV'!AI131+'Cross Creek RV Resort (cr994)'!AI137+'El Rio De Oro (el289)'!AI33+'El Rio del Oro'!AI36+'Endless Summer RV Resort'!AI54+'Endless Summer RV Resort (en079'!AI46+Evergreen!AI33+'Far Horizons'!AI33+'Far Horizons (fa105)'!AI33+'Floridian Sandalwood (fl356)'!AI30+'Floridian Sandalwood MHC'!AI34+Glenhaven!AI38+'Glenhaven Estates (gl317)'!AI38+'Harbor Lights (ha310)'!AI39+'Harbor Lights MHC'!AI37+'Harvest Gate'!AI47+'Hunter Run RV Estates'!AI88+'Hunters Run RV Estates (hu116)'!AI201+'Jade Isle (ja068)'!AI30+'Jade Isle MHC'!AI32+'Kakusha Estates (ka045)'!AI36+'Kakusha MHC'!AI35+'Lakeside Village'!AI41+'Lakeside Village (la482)'!AI43+'Lakewood Village (la481)'!AI102+'Lakewood Village MHC LLC'!AI122+'Maple Corner'!AI55+'Maple Corner (ma490)'!AI45+'Marlboro Court (ma489)'!AI33+'Marlboro Court MHC LLC'!AI33+'May Manor'!AI137+'May Manor (ma488)'!AI69+'Mobiland by the Sea (mo320)'!AI38+'Mobiland By The Sea MHC'!AI39+'Moss Landing'!AI66+'Moss Landing (mo321)'!AI58+'Oak Springs'!AI70+'Oak Springs MHC (oa150)'!AI46+'Orange Manor East'!AI35+'Orange Manor East (or125)'!AI38+'Pacific Manor'!AI44+'Pacific Manor (pa602)'!AI46+Parkhaven!AI101+Ridgecrest!AI51+Riverest!AI45+'Riverview MHRV LLC'!AI48+Rosehaven!AI113+'Sanctuary RV Resort'!AI225+'Shadow Mountain MHC'!AI32+Springhaven!AI32+'Star Valley Ranch'!AI43+Sunhaven!AI39+'Sunny Grove'!AI38+Tarponaire!AI42+'Val Vista RV Resort'!AI71+'Webster RV Resort LLC'!AI58+'Wekiva Falls RV Resort'!AI82+'West Jupiter RV Resort'!AI39+'Western Way RV Resort LLC'!AI131</f>
      </c>
      <c r="AJ11" s="18">
        <f>'Agave Village (ag011)'!AJ64+'Agave Village LLC'!AJ53+'Brookhaven Estates (bo260)'!AJ46+'Brookhaven RV Resort'!AJ42+'Courtly Manor'!AJ35+'Courtly Manor Park (co669)'!AJ36+'Cross Creek RV'!AJ131+'Cross Creek RV Resort (cr994)'!AJ137+'El Rio De Oro (el289)'!AJ33+'El Rio del Oro'!AJ36+'Endless Summer RV Resort'!AJ54+'Endless Summer RV Resort (en079'!AJ46+Evergreen!AJ33+'Far Horizons'!AJ33+'Far Horizons (fa105)'!AJ33+'Floridian Sandalwood (fl356)'!AJ30+'Floridian Sandalwood MHC'!AJ34+Glenhaven!AJ38+'Glenhaven Estates (gl317)'!AJ38+'Harbor Lights (ha310)'!AJ39+'Harbor Lights MHC'!AJ37+'Harvest Gate'!AJ47+'Hunter Run RV Estates'!AJ88+'Hunters Run RV Estates (hu116)'!AJ201+'Jade Isle (ja068)'!AJ30+'Jade Isle MHC'!AJ32+'Kakusha Estates (ka045)'!AJ36+'Kakusha MHC'!AJ35+'Lakeside Village'!AJ41+'Lakeside Village (la482)'!AJ43+'Lakewood Village (la481)'!AJ102+'Lakewood Village MHC LLC'!AJ122+'Maple Corner'!AJ55+'Maple Corner (ma490)'!AJ45+'Marlboro Court (ma489)'!AJ33+'Marlboro Court MHC LLC'!AJ33+'May Manor'!AJ137+'May Manor (ma488)'!AJ69+'Mobiland by the Sea (mo320)'!AJ38+'Mobiland By The Sea MHC'!AJ39+'Moss Landing'!AJ66+'Moss Landing (mo321)'!AJ58+'Oak Springs'!AJ70+'Oak Springs MHC (oa150)'!AJ46+'Orange Manor East'!AJ35+'Orange Manor East (or125)'!AJ38+'Pacific Manor'!AJ44+'Pacific Manor (pa602)'!AJ46+Parkhaven!AJ101+Ridgecrest!AJ51+Riverest!AJ45+'Riverview MHRV LLC'!AJ48+Rosehaven!AJ113+'Sanctuary RV Resort'!AJ225+'Shadow Mountain MHC'!AJ32+Springhaven!AJ32+'Star Valley Ranch'!AJ43+Sunhaven!AJ39+'Sunny Grove'!AJ38+Tarponaire!AJ42+'Val Vista RV Resort'!AJ71+'Webster RV Resort LLC'!AJ58+'Wekiva Falls RV Resort'!AJ82+'West Jupiter RV Resort'!AJ39+'Western Way RV Resort LLC'!AJ131</f>
      </c>
      <c r="AK11" s="19"/>
    </row>
    <row r="12" ht="12.75" customHeight="1" spans="2:37" x14ac:dyDescent="0.25">
      <c r="B12" s="16" t="s">
        <v>44</v>
      </c>
      <c r="C12" s="17"/>
      <c r="D12" s="17"/>
      <c r="E12" s="18">
        <f>'Agave Village (ag011)'!E65+'Agave Village LLC'!E54+'Brookhaven Estates (bo260)'!E47+'Brookhaven RV Resort'!E43+'Courtly Manor'!E36+'Courtly Manor Park (co669)'!E37+'Cross Creek RV'!E132+'Cross Creek RV Resort (cr994)'!E138+'El Rio De Oro (el289)'!E34+'El Rio del Oro'!E37+'Endless Summer RV Resort'!E55+'Endless Summer RV Resort (en079'!E47+Evergreen!E34+'Far Horizons'!E34+'Far Horizons (fa105)'!E34+'Floridian Sandalwood (fl356)'!E31+'Floridian Sandalwood MHC'!E35+Glenhaven!E39+'Glenhaven Estates (gl317)'!E39+'Harbor Lights (ha310)'!E40+'Harbor Lights MHC'!E38+'Harvest Gate'!E48+'Hunter Run RV Estates'!E89+'Hunters Run RV Estates (hu116)'!E202+'Jade Isle (ja068)'!E31+'Jade Isle MHC'!E33+'Kakusha Estates (ka045)'!E37+'Kakusha MHC'!E36+'Lakeside Village'!E42+'Lakeside Village (la482)'!E44+'Lakewood Village (la481)'!E103+'Lakewood Village MHC LLC'!E123+'Maple Corner'!E56+'Maple Corner (ma490)'!E46+'Marlboro Court (ma489)'!E34+'Marlboro Court MHC LLC'!E34+'May Manor'!E138+'May Manor (ma488)'!E70+'Mobiland by the Sea (mo320)'!E39+'Mobiland By The Sea MHC'!E40+'Moss Landing'!E67+'Moss Landing (mo321)'!E59+'Oak Springs'!E71+'Oak Springs MHC (oa150)'!E47+'Orange Manor East'!E36+'Orange Manor East (or125)'!E39+'Pacific Manor'!E45+'Pacific Manor (pa602)'!E47+Parkhaven!E102+Ridgecrest!E52+Riverest!E46+'Riverview MHRV LLC'!E49+Rosehaven!E114+'Sanctuary RV Resort'!E226+'Shadow Mountain MHC'!E33+Springhaven!E33+'Star Valley Ranch'!E44+Sunhaven!E40+'Sunny Grove'!E39+Tarponaire!E43+'Val Vista RV Resort'!E72+'Webster RV Resort LLC'!E59+'Wekiva Falls RV Resort'!E83+'West Jupiter RV Resort'!E40+'Western Way RV Resort LLC'!E132</f>
      </c>
      <c r="F12" s="18">
        <f>'Agave Village (ag011)'!F65+'Agave Village LLC'!F54+'Brookhaven Estates (bo260)'!F47+'Brookhaven RV Resort'!F43+'Courtly Manor'!F36+'Courtly Manor Park (co669)'!F37+'Cross Creek RV'!F132+'Cross Creek RV Resort (cr994)'!F138+'El Rio De Oro (el289)'!F34+'El Rio del Oro'!F37+'Endless Summer RV Resort'!F55+'Endless Summer RV Resort (en079'!F47+Evergreen!F34+'Far Horizons'!F34+'Far Horizons (fa105)'!F34+'Floridian Sandalwood (fl356)'!F31+'Floridian Sandalwood MHC'!F35+Glenhaven!F39+'Glenhaven Estates (gl317)'!F39+'Harbor Lights (ha310)'!F40+'Harbor Lights MHC'!F38+'Harvest Gate'!F48+'Hunter Run RV Estates'!F89+'Hunters Run RV Estates (hu116)'!F202+'Jade Isle (ja068)'!F31+'Jade Isle MHC'!F33+'Kakusha Estates (ka045)'!F37+'Kakusha MHC'!F36+'Lakeside Village'!F42+'Lakeside Village (la482)'!F44+'Lakewood Village (la481)'!F103+'Lakewood Village MHC LLC'!F123+'Maple Corner'!F56+'Maple Corner (ma490)'!F46+'Marlboro Court (ma489)'!F34+'Marlboro Court MHC LLC'!F34+'May Manor'!F138+'May Manor (ma488)'!F70+'Mobiland by the Sea (mo320)'!F39+'Mobiland By The Sea MHC'!F40+'Moss Landing'!F67+'Moss Landing (mo321)'!F59+'Oak Springs'!F71+'Oak Springs MHC (oa150)'!F47+'Orange Manor East'!F36+'Orange Manor East (or125)'!F39+'Pacific Manor'!F45+'Pacific Manor (pa602)'!F47+Parkhaven!F102+Ridgecrest!F52+Riverest!F46+'Riverview MHRV LLC'!F49+Rosehaven!F114+'Sanctuary RV Resort'!F226+'Shadow Mountain MHC'!F33+Springhaven!F33+'Star Valley Ranch'!F44+Sunhaven!F40+'Sunny Grove'!F39+Tarponaire!F43+'Val Vista RV Resort'!F72+'Webster RV Resort LLC'!F59+'Wekiva Falls RV Resort'!F83+'West Jupiter RV Resort'!F40+'Western Way RV Resort LLC'!F132</f>
      </c>
      <c r="G12" s="18">
        <f>'Agave Village (ag011)'!G65+'Agave Village LLC'!G54+'Brookhaven Estates (bo260)'!G47+'Brookhaven RV Resort'!G43+'Courtly Manor'!G36+'Courtly Manor Park (co669)'!G37+'Cross Creek RV'!G132+'Cross Creek RV Resort (cr994)'!G138+'El Rio De Oro (el289)'!G34+'El Rio del Oro'!G37+'Endless Summer RV Resort'!G55+'Endless Summer RV Resort (en079'!G47+Evergreen!G34+'Far Horizons'!G34+'Far Horizons (fa105)'!G34+'Floridian Sandalwood (fl356)'!G31+'Floridian Sandalwood MHC'!G35+Glenhaven!G39+'Glenhaven Estates (gl317)'!G39+'Harbor Lights (ha310)'!G40+'Harbor Lights MHC'!G38+'Harvest Gate'!G48+'Hunter Run RV Estates'!G89+'Hunters Run RV Estates (hu116)'!G202+'Jade Isle (ja068)'!G31+'Jade Isle MHC'!G33+'Kakusha Estates (ka045)'!G37+'Kakusha MHC'!G36+'Lakeside Village'!G42+'Lakeside Village (la482)'!G44+'Lakewood Village (la481)'!G103+'Lakewood Village MHC LLC'!G123+'Maple Corner'!G56+'Maple Corner (ma490)'!G46+'Marlboro Court (ma489)'!G34+'Marlboro Court MHC LLC'!G34+'May Manor'!G138+'May Manor (ma488)'!G70+'Mobiland by the Sea (mo320)'!G39+'Mobiland By The Sea MHC'!G40+'Moss Landing'!G67+'Moss Landing (mo321)'!G59+'Oak Springs'!G71+'Oak Springs MHC (oa150)'!G47+'Orange Manor East'!G36+'Orange Manor East (or125)'!G39+'Pacific Manor'!G45+'Pacific Manor (pa602)'!G47+Parkhaven!G102+Ridgecrest!G52+Riverest!G46+'Riverview MHRV LLC'!G49+Rosehaven!G114+'Sanctuary RV Resort'!G226+'Shadow Mountain MHC'!G33+Springhaven!G33+'Star Valley Ranch'!G44+Sunhaven!G40+'Sunny Grove'!G39+Tarponaire!G43+'Val Vista RV Resort'!G72+'Webster RV Resort LLC'!G59+'Wekiva Falls RV Resort'!G83+'West Jupiter RV Resort'!G40+'Western Way RV Resort LLC'!G132</f>
      </c>
      <c r="H12" s="18">
        <f>'Agave Village (ag011)'!H65+'Agave Village LLC'!H54+'Brookhaven Estates (bo260)'!H47+'Brookhaven RV Resort'!H43+'Courtly Manor'!H36+'Courtly Manor Park (co669)'!H37+'Cross Creek RV'!H132+'Cross Creek RV Resort (cr994)'!H138+'El Rio De Oro (el289)'!H34+'El Rio del Oro'!H37+'Endless Summer RV Resort'!H55+'Endless Summer RV Resort (en079'!H47+Evergreen!H34+'Far Horizons'!H34+'Far Horizons (fa105)'!H34+'Floridian Sandalwood (fl356)'!H31+'Floridian Sandalwood MHC'!H35+Glenhaven!H39+'Glenhaven Estates (gl317)'!H39+'Harbor Lights (ha310)'!H40+'Harbor Lights MHC'!H38+'Harvest Gate'!H48+'Hunter Run RV Estates'!H89+'Hunters Run RV Estates (hu116)'!H202+'Jade Isle (ja068)'!H31+'Jade Isle MHC'!H33+'Kakusha Estates (ka045)'!H37+'Kakusha MHC'!H36+'Lakeside Village'!H42+'Lakeside Village (la482)'!H44+'Lakewood Village (la481)'!H103+'Lakewood Village MHC LLC'!H123+'Maple Corner'!H56+'Maple Corner (ma490)'!H46+'Marlboro Court (ma489)'!H34+'Marlboro Court MHC LLC'!H34+'May Manor'!H138+'May Manor (ma488)'!H70+'Mobiland by the Sea (mo320)'!H39+'Mobiland By The Sea MHC'!H40+'Moss Landing'!H67+'Moss Landing (mo321)'!H59+'Oak Springs'!H71+'Oak Springs MHC (oa150)'!H47+'Orange Manor East'!H36+'Orange Manor East (or125)'!H39+'Pacific Manor'!H45+'Pacific Manor (pa602)'!H47+Parkhaven!H102+Ridgecrest!H52+Riverest!H46+'Riverview MHRV LLC'!H49+Rosehaven!H114+'Sanctuary RV Resort'!H226+'Shadow Mountain MHC'!H33+Springhaven!H33+'Star Valley Ranch'!H44+Sunhaven!H40+'Sunny Grove'!H39+Tarponaire!H43+'Val Vista RV Resort'!H72+'Webster RV Resort LLC'!H59+'Wekiva Falls RV Resort'!H83+'West Jupiter RV Resort'!H40+'Western Way RV Resort LLC'!H132</f>
      </c>
      <c r="I12" s="18">
        <f>'Agave Village (ag011)'!I65+'Agave Village LLC'!I54+'Brookhaven Estates (bo260)'!I47+'Brookhaven RV Resort'!I43+'Courtly Manor'!I36+'Courtly Manor Park (co669)'!I37+'Cross Creek RV'!I132+'Cross Creek RV Resort (cr994)'!I138+'El Rio De Oro (el289)'!I34+'El Rio del Oro'!I37+'Endless Summer RV Resort'!I55+'Endless Summer RV Resort (en079'!I47+Evergreen!I34+'Far Horizons'!I34+'Far Horizons (fa105)'!I34+'Floridian Sandalwood (fl356)'!I31+'Floridian Sandalwood MHC'!I35+Glenhaven!I39+'Glenhaven Estates (gl317)'!I39+'Harbor Lights (ha310)'!I40+'Harbor Lights MHC'!I38+'Harvest Gate'!I48+'Hunter Run RV Estates'!I89+'Hunters Run RV Estates (hu116)'!I202+'Jade Isle (ja068)'!I31+'Jade Isle MHC'!I33+'Kakusha Estates (ka045)'!I37+'Kakusha MHC'!I36+'Lakeside Village'!I42+'Lakeside Village (la482)'!I44+'Lakewood Village (la481)'!I103+'Lakewood Village MHC LLC'!I123+'Maple Corner'!I56+'Maple Corner (ma490)'!I46+'Marlboro Court (ma489)'!I34+'Marlboro Court MHC LLC'!I34+'May Manor'!I138+'May Manor (ma488)'!I70+'Mobiland by the Sea (mo320)'!I39+'Mobiland By The Sea MHC'!I40+'Moss Landing'!I67+'Moss Landing (mo321)'!I59+'Oak Springs'!I71+'Oak Springs MHC (oa150)'!I47+'Orange Manor East'!I36+'Orange Manor East (or125)'!I39+'Pacific Manor'!I45+'Pacific Manor (pa602)'!I47+Parkhaven!I102+Ridgecrest!I52+Riverest!I46+'Riverview MHRV LLC'!I49+Rosehaven!I114+'Sanctuary RV Resort'!I226+'Shadow Mountain MHC'!I33+Springhaven!I33+'Star Valley Ranch'!I44+Sunhaven!I40+'Sunny Grove'!I39+Tarponaire!I43+'Val Vista RV Resort'!I72+'Webster RV Resort LLC'!I59+'Wekiva Falls RV Resort'!I83+'West Jupiter RV Resort'!I40+'Western Way RV Resort LLC'!I132</f>
      </c>
      <c r="J12" s="18">
        <f>'Agave Village (ag011)'!J65+'Agave Village LLC'!J54+'Brookhaven Estates (bo260)'!J47+'Brookhaven RV Resort'!J43+'Courtly Manor'!J36+'Courtly Manor Park (co669)'!J37+'Cross Creek RV'!J132+'Cross Creek RV Resort (cr994)'!J138+'El Rio De Oro (el289)'!J34+'El Rio del Oro'!J37+'Endless Summer RV Resort'!J55+'Endless Summer RV Resort (en079'!J47+Evergreen!J34+'Far Horizons'!J34+'Far Horizons (fa105)'!J34+'Floridian Sandalwood (fl356)'!J31+'Floridian Sandalwood MHC'!J35+Glenhaven!J39+'Glenhaven Estates (gl317)'!J39+'Harbor Lights (ha310)'!J40+'Harbor Lights MHC'!J38+'Harvest Gate'!J48+'Hunter Run RV Estates'!J89+'Hunters Run RV Estates (hu116)'!J202+'Jade Isle (ja068)'!J31+'Jade Isle MHC'!J33+'Kakusha Estates (ka045)'!J37+'Kakusha MHC'!J36+'Lakeside Village'!J42+'Lakeside Village (la482)'!J44+'Lakewood Village (la481)'!J103+'Lakewood Village MHC LLC'!J123+'Maple Corner'!J56+'Maple Corner (ma490)'!J46+'Marlboro Court (ma489)'!J34+'Marlboro Court MHC LLC'!J34+'May Manor'!J138+'May Manor (ma488)'!J70+'Mobiland by the Sea (mo320)'!J39+'Mobiland By The Sea MHC'!J40+'Moss Landing'!J67+'Moss Landing (mo321)'!J59+'Oak Springs'!J71+'Oak Springs MHC (oa150)'!J47+'Orange Manor East'!J36+'Orange Manor East (or125)'!J39+'Pacific Manor'!J45+'Pacific Manor (pa602)'!J47+Parkhaven!J102+Ridgecrest!J52+Riverest!J46+'Riverview MHRV LLC'!J49+Rosehaven!J114+'Sanctuary RV Resort'!J226+'Shadow Mountain MHC'!J33+Springhaven!J33+'Star Valley Ranch'!J44+Sunhaven!J40+'Sunny Grove'!J39+Tarponaire!J43+'Val Vista RV Resort'!J72+'Webster RV Resort LLC'!J59+'Wekiva Falls RV Resort'!J83+'West Jupiter RV Resort'!J40+'Western Way RV Resort LLC'!J132</f>
      </c>
      <c r="K12" s="18">
        <f>'Agave Village (ag011)'!K65+'Agave Village LLC'!K54+'Brookhaven Estates (bo260)'!K47+'Brookhaven RV Resort'!K43+'Courtly Manor'!K36+'Courtly Manor Park (co669)'!K37+'Cross Creek RV'!K132+'Cross Creek RV Resort (cr994)'!K138+'El Rio De Oro (el289)'!K34+'El Rio del Oro'!K37+'Endless Summer RV Resort'!K55+'Endless Summer RV Resort (en079'!K47+Evergreen!K34+'Far Horizons'!K34+'Far Horizons (fa105)'!K34+'Floridian Sandalwood (fl356)'!K31+'Floridian Sandalwood MHC'!K35+Glenhaven!K39+'Glenhaven Estates (gl317)'!K39+'Harbor Lights (ha310)'!K40+'Harbor Lights MHC'!K38+'Harvest Gate'!K48+'Hunter Run RV Estates'!K89+'Hunters Run RV Estates (hu116)'!K202+'Jade Isle (ja068)'!K31+'Jade Isle MHC'!K33+'Kakusha Estates (ka045)'!K37+'Kakusha MHC'!K36+'Lakeside Village'!K42+'Lakeside Village (la482)'!K44+'Lakewood Village (la481)'!K103+'Lakewood Village MHC LLC'!K123+'Maple Corner'!K56+'Maple Corner (ma490)'!K46+'Marlboro Court (ma489)'!K34+'Marlboro Court MHC LLC'!K34+'May Manor'!K138+'May Manor (ma488)'!K70+'Mobiland by the Sea (mo320)'!K39+'Mobiland By The Sea MHC'!K40+'Moss Landing'!K67+'Moss Landing (mo321)'!K59+'Oak Springs'!K71+'Oak Springs MHC (oa150)'!K47+'Orange Manor East'!K36+'Orange Manor East (or125)'!K39+'Pacific Manor'!K45+'Pacific Manor (pa602)'!K47+Parkhaven!K102+Ridgecrest!K52+Riverest!K46+'Riverview MHRV LLC'!K49+Rosehaven!K114+'Sanctuary RV Resort'!K226+'Shadow Mountain MHC'!K33+Springhaven!K33+'Star Valley Ranch'!K44+Sunhaven!K40+'Sunny Grove'!K39+Tarponaire!K43+'Val Vista RV Resort'!K72+'Webster RV Resort LLC'!K59+'Wekiva Falls RV Resort'!K83+'West Jupiter RV Resort'!K40+'Western Way RV Resort LLC'!K132</f>
      </c>
      <c r="L12" s="18">
        <f>'Agave Village (ag011)'!L65+'Agave Village LLC'!L54+'Brookhaven Estates (bo260)'!L47+'Brookhaven RV Resort'!L43+'Courtly Manor'!L36+'Courtly Manor Park (co669)'!L37+'Cross Creek RV'!L132+'Cross Creek RV Resort (cr994)'!L138+'El Rio De Oro (el289)'!L34+'El Rio del Oro'!L37+'Endless Summer RV Resort'!L55+'Endless Summer RV Resort (en079'!L47+Evergreen!L34+'Far Horizons'!L34+'Far Horizons (fa105)'!L34+'Floridian Sandalwood (fl356)'!L31+'Floridian Sandalwood MHC'!L35+Glenhaven!L39+'Glenhaven Estates (gl317)'!L39+'Harbor Lights (ha310)'!L40+'Harbor Lights MHC'!L38+'Harvest Gate'!L48+'Hunter Run RV Estates'!L89+'Hunters Run RV Estates (hu116)'!L202+'Jade Isle (ja068)'!L31+'Jade Isle MHC'!L33+'Kakusha Estates (ka045)'!L37+'Kakusha MHC'!L36+'Lakeside Village'!L42+'Lakeside Village (la482)'!L44+'Lakewood Village (la481)'!L103+'Lakewood Village MHC LLC'!L123+'Maple Corner'!L56+'Maple Corner (ma490)'!L46+'Marlboro Court (ma489)'!L34+'Marlboro Court MHC LLC'!L34+'May Manor'!L138+'May Manor (ma488)'!L70+'Mobiland by the Sea (mo320)'!L39+'Mobiland By The Sea MHC'!L40+'Moss Landing'!L67+'Moss Landing (mo321)'!L59+'Oak Springs'!L71+'Oak Springs MHC (oa150)'!L47+'Orange Manor East'!L36+'Orange Manor East (or125)'!L39+'Pacific Manor'!L45+'Pacific Manor (pa602)'!L47+Parkhaven!L102+Ridgecrest!L52+Riverest!L46+'Riverview MHRV LLC'!L49+Rosehaven!L114+'Sanctuary RV Resort'!L226+'Shadow Mountain MHC'!L33+Springhaven!L33+'Star Valley Ranch'!L44+Sunhaven!L40+'Sunny Grove'!L39+Tarponaire!L43+'Val Vista RV Resort'!L72+'Webster RV Resort LLC'!L59+'Wekiva Falls RV Resort'!L83+'West Jupiter RV Resort'!L40+'Western Way RV Resort LLC'!L132</f>
      </c>
      <c r="M12" s="18">
        <f>'Agave Village (ag011)'!M65+'Agave Village LLC'!M54+'Brookhaven Estates (bo260)'!M47+'Brookhaven RV Resort'!M43+'Courtly Manor'!M36+'Courtly Manor Park (co669)'!M37+'Cross Creek RV'!M132+'Cross Creek RV Resort (cr994)'!M138+'El Rio De Oro (el289)'!M34+'El Rio del Oro'!M37+'Endless Summer RV Resort'!M55+'Endless Summer RV Resort (en079'!M47+Evergreen!M34+'Far Horizons'!M34+'Far Horizons (fa105)'!M34+'Floridian Sandalwood (fl356)'!M31+'Floridian Sandalwood MHC'!M35+Glenhaven!M39+'Glenhaven Estates (gl317)'!M39+'Harbor Lights (ha310)'!M40+'Harbor Lights MHC'!M38+'Harvest Gate'!M48+'Hunter Run RV Estates'!M89+'Hunters Run RV Estates (hu116)'!M202+'Jade Isle (ja068)'!M31+'Jade Isle MHC'!M33+'Kakusha Estates (ka045)'!M37+'Kakusha MHC'!M36+'Lakeside Village'!M42+'Lakeside Village (la482)'!M44+'Lakewood Village (la481)'!M103+'Lakewood Village MHC LLC'!M123+'Maple Corner'!M56+'Maple Corner (ma490)'!M46+'Marlboro Court (ma489)'!M34+'Marlboro Court MHC LLC'!M34+'May Manor'!M138+'May Manor (ma488)'!M70+'Mobiland by the Sea (mo320)'!M39+'Mobiland By The Sea MHC'!M40+'Moss Landing'!M67+'Moss Landing (mo321)'!M59+'Oak Springs'!M71+'Oak Springs MHC (oa150)'!M47+'Orange Manor East'!M36+'Orange Manor East (or125)'!M39+'Pacific Manor'!M45+'Pacific Manor (pa602)'!M47+Parkhaven!M102+Ridgecrest!M52+Riverest!M46+'Riverview MHRV LLC'!M49+Rosehaven!M114+'Sanctuary RV Resort'!M226+'Shadow Mountain MHC'!M33+Springhaven!M33+'Star Valley Ranch'!M44+Sunhaven!M40+'Sunny Grove'!M39+Tarponaire!M43+'Val Vista RV Resort'!M72+'Webster RV Resort LLC'!M59+'Wekiva Falls RV Resort'!M83+'West Jupiter RV Resort'!M40+'Western Way RV Resort LLC'!M132</f>
      </c>
      <c r="N12" s="18">
        <f>'Agave Village (ag011)'!N65+'Agave Village LLC'!N54+'Brookhaven Estates (bo260)'!N47+'Brookhaven RV Resort'!N43+'Courtly Manor'!N36+'Courtly Manor Park (co669)'!N37+'Cross Creek RV'!N132+'Cross Creek RV Resort (cr994)'!N138+'El Rio De Oro (el289)'!N34+'El Rio del Oro'!N37+'Endless Summer RV Resort'!N55+'Endless Summer RV Resort (en079'!N47+Evergreen!N34+'Far Horizons'!N34+'Far Horizons (fa105)'!N34+'Floridian Sandalwood (fl356)'!N31+'Floridian Sandalwood MHC'!N35+Glenhaven!N39+'Glenhaven Estates (gl317)'!N39+'Harbor Lights (ha310)'!N40+'Harbor Lights MHC'!N38+'Harvest Gate'!N48+'Hunter Run RV Estates'!N89+'Hunters Run RV Estates (hu116)'!N202+'Jade Isle (ja068)'!N31+'Jade Isle MHC'!N33+'Kakusha Estates (ka045)'!N37+'Kakusha MHC'!N36+'Lakeside Village'!N42+'Lakeside Village (la482)'!N44+'Lakewood Village (la481)'!N103+'Lakewood Village MHC LLC'!N123+'Maple Corner'!N56+'Maple Corner (ma490)'!N46+'Marlboro Court (ma489)'!N34+'Marlboro Court MHC LLC'!N34+'May Manor'!N138+'May Manor (ma488)'!N70+'Mobiland by the Sea (mo320)'!N39+'Mobiland By The Sea MHC'!N40+'Moss Landing'!N67+'Moss Landing (mo321)'!N59+'Oak Springs'!N71+'Oak Springs MHC (oa150)'!N47+'Orange Manor East'!N36+'Orange Manor East (or125)'!N39+'Pacific Manor'!N45+'Pacific Manor (pa602)'!N47+Parkhaven!N102+Ridgecrest!N52+Riverest!N46+'Riverview MHRV LLC'!N49+Rosehaven!N114+'Sanctuary RV Resort'!N226+'Shadow Mountain MHC'!N33+Springhaven!N33+'Star Valley Ranch'!N44+Sunhaven!N40+'Sunny Grove'!N39+Tarponaire!N43+'Val Vista RV Resort'!N72+'Webster RV Resort LLC'!N59+'Wekiva Falls RV Resort'!N83+'West Jupiter RV Resort'!N40+'Western Way RV Resort LLC'!N132</f>
      </c>
      <c r="O12" s="18">
        <f>'Agave Village (ag011)'!O65+'Agave Village LLC'!O54+'Brookhaven Estates (bo260)'!O47+'Brookhaven RV Resort'!O43+'Courtly Manor'!O36+'Courtly Manor Park (co669)'!O37+'Cross Creek RV'!O132+'Cross Creek RV Resort (cr994)'!O138+'El Rio De Oro (el289)'!O34+'El Rio del Oro'!O37+'Endless Summer RV Resort'!O55+'Endless Summer RV Resort (en079'!O47+Evergreen!O34+'Far Horizons'!O34+'Far Horizons (fa105)'!O34+'Floridian Sandalwood (fl356)'!O31+'Floridian Sandalwood MHC'!O35+Glenhaven!O39+'Glenhaven Estates (gl317)'!O39+'Harbor Lights (ha310)'!O40+'Harbor Lights MHC'!O38+'Harvest Gate'!O48+'Hunter Run RV Estates'!O89+'Hunters Run RV Estates (hu116)'!O202+'Jade Isle (ja068)'!O31+'Jade Isle MHC'!O33+'Kakusha Estates (ka045)'!O37+'Kakusha MHC'!O36+'Lakeside Village'!O42+'Lakeside Village (la482)'!O44+'Lakewood Village (la481)'!O103+'Lakewood Village MHC LLC'!O123+'Maple Corner'!O56+'Maple Corner (ma490)'!O46+'Marlboro Court (ma489)'!O34+'Marlboro Court MHC LLC'!O34+'May Manor'!O138+'May Manor (ma488)'!O70+'Mobiland by the Sea (mo320)'!O39+'Mobiland By The Sea MHC'!O40+'Moss Landing'!O67+'Moss Landing (mo321)'!O59+'Oak Springs'!O71+'Oak Springs MHC (oa150)'!O47+'Orange Manor East'!O36+'Orange Manor East (or125)'!O39+'Pacific Manor'!O45+'Pacific Manor (pa602)'!O47+Parkhaven!O102+Ridgecrest!O52+Riverest!O46+'Riverview MHRV LLC'!O49+Rosehaven!O114+'Sanctuary RV Resort'!O226+'Shadow Mountain MHC'!O33+Springhaven!O33+'Star Valley Ranch'!O44+Sunhaven!O40+'Sunny Grove'!O39+Tarponaire!O43+'Val Vista RV Resort'!O72+'Webster RV Resort LLC'!O59+'Wekiva Falls RV Resort'!O83+'West Jupiter RV Resort'!O40+'Western Way RV Resort LLC'!O132</f>
      </c>
      <c r="P12" s="18">
        <f>'Agave Village (ag011)'!P65+'Agave Village LLC'!P54+'Brookhaven Estates (bo260)'!P47+'Brookhaven RV Resort'!P43+'Courtly Manor'!P36+'Courtly Manor Park (co669)'!P37+'Cross Creek RV'!P132+'Cross Creek RV Resort (cr994)'!P138+'El Rio De Oro (el289)'!P34+'El Rio del Oro'!P37+'Endless Summer RV Resort'!P55+'Endless Summer RV Resort (en079'!P47+Evergreen!P34+'Far Horizons'!P34+'Far Horizons (fa105)'!P34+'Floridian Sandalwood (fl356)'!P31+'Floridian Sandalwood MHC'!P35+Glenhaven!P39+'Glenhaven Estates (gl317)'!P39+'Harbor Lights (ha310)'!P40+'Harbor Lights MHC'!P38+'Harvest Gate'!P48+'Hunter Run RV Estates'!P89+'Hunters Run RV Estates (hu116)'!P202+'Jade Isle (ja068)'!P31+'Jade Isle MHC'!P33+'Kakusha Estates (ka045)'!P37+'Kakusha MHC'!P36+'Lakeside Village'!P42+'Lakeside Village (la482)'!P44+'Lakewood Village (la481)'!P103+'Lakewood Village MHC LLC'!P123+'Maple Corner'!P56+'Maple Corner (ma490)'!P46+'Marlboro Court (ma489)'!P34+'Marlboro Court MHC LLC'!P34+'May Manor'!P138+'May Manor (ma488)'!P70+'Mobiland by the Sea (mo320)'!P39+'Mobiland By The Sea MHC'!P40+'Moss Landing'!P67+'Moss Landing (mo321)'!P59+'Oak Springs'!P71+'Oak Springs MHC (oa150)'!P47+'Orange Manor East'!P36+'Orange Manor East (or125)'!P39+'Pacific Manor'!P45+'Pacific Manor (pa602)'!P47+Parkhaven!P102+Ridgecrest!P52+Riverest!P46+'Riverview MHRV LLC'!P49+Rosehaven!P114+'Sanctuary RV Resort'!P226+'Shadow Mountain MHC'!P33+Springhaven!P33+'Star Valley Ranch'!P44+Sunhaven!P40+'Sunny Grove'!P39+Tarponaire!P43+'Val Vista RV Resort'!P72+'Webster RV Resort LLC'!P59+'Wekiva Falls RV Resort'!P83+'West Jupiter RV Resort'!P40+'Western Way RV Resort LLC'!P132</f>
      </c>
      <c r="Q12" s="18">
        <f>'Agave Village (ag011)'!Q65+'Agave Village LLC'!Q54+'Brookhaven Estates (bo260)'!Q47+'Brookhaven RV Resort'!Q43+'Courtly Manor'!Q36+'Courtly Manor Park (co669)'!Q37+'Cross Creek RV'!Q132+'Cross Creek RV Resort (cr994)'!Q138+'El Rio De Oro (el289)'!Q34+'El Rio del Oro'!Q37+'Endless Summer RV Resort'!Q55+'Endless Summer RV Resort (en079'!Q47+Evergreen!Q34+'Far Horizons'!Q34+'Far Horizons (fa105)'!Q34+'Floridian Sandalwood (fl356)'!Q31+'Floridian Sandalwood MHC'!Q35+Glenhaven!Q39+'Glenhaven Estates (gl317)'!Q39+'Harbor Lights (ha310)'!Q40+'Harbor Lights MHC'!Q38+'Harvest Gate'!Q48+'Hunter Run RV Estates'!Q89+'Hunters Run RV Estates (hu116)'!Q202+'Jade Isle (ja068)'!Q31+'Jade Isle MHC'!Q33+'Kakusha Estates (ka045)'!Q37+'Kakusha MHC'!Q36+'Lakeside Village'!Q42+'Lakeside Village (la482)'!Q44+'Lakewood Village (la481)'!Q103+'Lakewood Village MHC LLC'!Q123+'Maple Corner'!Q56+'Maple Corner (ma490)'!Q46+'Marlboro Court (ma489)'!Q34+'Marlboro Court MHC LLC'!Q34+'May Manor'!Q138+'May Manor (ma488)'!Q70+'Mobiland by the Sea (mo320)'!Q39+'Mobiland By The Sea MHC'!Q40+'Moss Landing'!Q67+'Moss Landing (mo321)'!Q59+'Oak Springs'!Q71+'Oak Springs MHC (oa150)'!Q47+'Orange Manor East'!Q36+'Orange Manor East (or125)'!Q39+'Pacific Manor'!Q45+'Pacific Manor (pa602)'!Q47+Parkhaven!Q102+Ridgecrest!Q52+Riverest!Q46+'Riverview MHRV LLC'!Q49+Rosehaven!Q114+'Sanctuary RV Resort'!Q226+'Shadow Mountain MHC'!Q33+Springhaven!Q33+'Star Valley Ranch'!Q44+Sunhaven!Q40+'Sunny Grove'!Q39+Tarponaire!Q43+'Val Vista RV Resort'!Q72+'Webster RV Resort LLC'!Q59+'Wekiva Falls RV Resort'!Q83+'West Jupiter RV Resort'!Q40+'Western Way RV Resort LLC'!Q132</f>
      </c>
      <c r="R12" s="18">
        <f>'Agave Village (ag011)'!R65+'Agave Village LLC'!R54+'Brookhaven Estates (bo260)'!R47+'Brookhaven RV Resort'!R43+'Courtly Manor'!R36+'Courtly Manor Park (co669)'!R37+'Cross Creek RV'!R132+'Cross Creek RV Resort (cr994)'!R138+'El Rio De Oro (el289)'!R34+'El Rio del Oro'!R37+'Endless Summer RV Resort'!R55+'Endless Summer RV Resort (en079'!R47+Evergreen!R34+'Far Horizons'!R34+'Far Horizons (fa105)'!R34+'Floridian Sandalwood (fl356)'!R31+'Floridian Sandalwood MHC'!R35+Glenhaven!R39+'Glenhaven Estates (gl317)'!R39+'Harbor Lights (ha310)'!R40+'Harbor Lights MHC'!R38+'Harvest Gate'!R48+'Hunter Run RV Estates'!R89+'Hunters Run RV Estates (hu116)'!R202+'Jade Isle (ja068)'!R31+'Jade Isle MHC'!R33+'Kakusha Estates (ka045)'!R37+'Kakusha MHC'!R36+'Lakeside Village'!R42+'Lakeside Village (la482)'!R44+'Lakewood Village (la481)'!R103+'Lakewood Village MHC LLC'!R123+'Maple Corner'!R56+'Maple Corner (ma490)'!R46+'Marlboro Court (ma489)'!R34+'Marlboro Court MHC LLC'!R34+'May Manor'!R138+'May Manor (ma488)'!R70+'Mobiland by the Sea (mo320)'!R39+'Mobiland By The Sea MHC'!R40+'Moss Landing'!R67+'Moss Landing (mo321)'!R59+'Oak Springs'!R71+'Oak Springs MHC (oa150)'!R47+'Orange Manor East'!R36+'Orange Manor East (or125)'!R39+'Pacific Manor'!R45+'Pacific Manor (pa602)'!R47+Parkhaven!R102+Ridgecrest!R52+Riverest!R46+'Riverview MHRV LLC'!R49+Rosehaven!R114+'Sanctuary RV Resort'!R226+'Shadow Mountain MHC'!R33+Springhaven!R33+'Star Valley Ranch'!R44+Sunhaven!R40+'Sunny Grove'!R39+Tarponaire!R43+'Val Vista RV Resort'!R72+'Webster RV Resort LLC'!R59+'Wekiva Falls RV Resort'!R83+'West Jupiter RV Resort'!R40+'Western Way RV Resort LLC'!R132</f>
      </c>
      <c r="S12" s="18">
        <f>'Agave Village (ag011)'!S65+'Agave Village LLC'!S54+'Brookhaven Estates (bo260)'!S47+'Brookhaven RV Resort'!S43+'Courtly Manor'!S36+'Courtly Manor Park (co669)'!S37+'Cross Creek RV'!S132+'Cross Creek RV Resort (cr994)'!S138+'El Rio De Oro (el289)'!S34+'El Rio del Oro'!S37+'Endless Summer RV Resort'!S55+'Endless Summer RV Resort (en079'!S47+Evergreen!S34+'Far Horizons'!S34+'Far Horizons (fa105)'!S34+'Floridian Sandalwood (fl356)'!S31+'Floridian Sandalwood MHC'!S35+Glenhaven!S39+'Glenhaven Estates (gl317)'!S39+'Harbor Lights (ha310)'!S40+'Harbor Lights MHC'!S38+'Harvest Gate'!S48+'Hunter Run RV Estates'!S89+'Hunters Run RV Estates (hu116)'!S202+'Jade Isle (ja068)'!S31+'Jade Isle MHC'!S33+'Kakusha Estates (ka045)'!S37+'Kakusha MHC'!S36+'Lakeside Village'!S42+'Lakeside Village (la482)'!S44+'Lakewood Village (la481)'!S103+'Lakewood Village MHC LLC'!S123+'Maple Corner'!S56+'Maple Corner (ma490)'!S46+'Marlboro Court (ma489)'!S34+'Marlboro Court MHC LLC'!S34+'May Manor'!S138+'May Manor (ma488)'!S70+'Mobiland by the Sea (mo320)'!S39+'Mobiland By The Sea MHC'!S40+'Moss Landing'!S67+'Moss Landing (mo321)'!S59+'Oak Springs'!S71+'Oak Springs MHC (oa150)'!S47+'Orange Manor East'!S36+'Orange Manor East (or125)'!S39+'Pacific Manor'!S45+'Pacific Manor (pa602)'!S47+Parkhaven!S102+Ridgecrest!S52+Riverest!S46+'Riverview MHRV LLC'!S49+Rosehaven!S114+'Sanctuary RV Resort'!S226+'Shadow Mountain MHC'!S33+Springhaven!S33+'Star Valley Ranch'!S44+Sunhaven!S40+'Sunny Grove'!S39+Tarponaire!S43+'Val Vista RV Resort'!S72+'Webster RV Resort LLC'!S59+'Wekiva Falls RV Resort'!S83+'West Jupiter RV Resort'!S40+'Western Way RV Resort LLC'!S132</f>
      </c>
      <c r="T12" s="18">
        <f>'Agave Village (ag011)'!T65+'Agave Village LLC'!T54+'Brookhaven Estates (bo260)'!T47+'Brookhaven RV Resort'!T43+'Courtly Manor'!T36+'Courtly Manor Park (co669)'!T37+'Cross Creek RV'!T132+'Cross Creek RV Resort (cr994)'!T138+'El Rio De Oro (el289)'!T34+'El Rio del Oro'!T37+'Endless Summer RV Resort'!T55+'Endless Summer RV Resort (en079'!T47+Evergreen!T34+'Far Horizons'!T34+'Far Horizons (fa105)'!T34+'Floridian Sandalwood (fl356)'!T31+'Floridian Sandalwood MHC'!T35+Glenhaven!T39+'Glenhaven Estates (gl317)'!T39+'Harbor Lights (ha310)'!T40+'Harbor Lights MHC'!T38+'Harvest Gate'!T48+'Hunter Run RV Estates'!T89+'Hunters Run RV Estates (hu116)'!T202+'Jade Isle (ja068)'!T31+'Jade Isle MHC'!T33+'Kakusha Estates (ka045)'!T37+'Kakusha MHC'!T36+'Lakeside Village'!T42+'Lakeside Village (la482)'!T44+'Lakewood Village (la481)'!T103+'Lakewood Village MHC LLC'!T123+'Maple Corner'!T56+'Maple Corner (ma490)'!T46+'Marlboro Court (ma489)'!T34+'Marlboro Court MHC LLC'!T34+'May Manor'!T138+'May Manor (ma488)'!T70+'Mobiland by the Sea (mo320)'!T39+'Mobiland By The Sea MHC'!T40+'Moss Landing'!T67+'Moss Landing (mo321)'!T59+'Oak Springs'!T71+'Oak Springs MHC (oa150)'!T47+'Orange Manor East'!T36+'Orange Manor East (or125)'!T39+'Pacific Manor'!T45+'Pacific Manor (pa602)'!T47+Parkhaven!T102+Ridgecrest!T52+Riverest!T46+'Riverview MHRV LLC'!T49+Rosehaven!T114+'Sanctuary RV Resort'!T226+'Shadow Mountain MHC'!T33+Springhaven!T33+'Star Valley Ranch'!T44+Sunhaven!T40+'Sunny Grove'!T39+Tarponaire!T43+'Val Vista RV Resort'!T72+'Webster RV Resort LLC'!T59+'Wekiva Falls RV Resort'!T83+'West Jupiter RV Resort'!T40+'Western Way RV Resort LLC'!T132</f>
      </c>
      <c r="U12" s="18">
        <f>'Agave Village (ag011)'!U65+'Agave Village LLC'!U54+'Brookhaven Estates (bo260)'!U47+'Brookhaven RV Resort'!U43+'Courtly Manor'!U36+'Courtly Manor Park (co669)'!U37+'Cross Creek RV'!U132+'Cross Creek RV Resort (cr994)'!U138+'El Rio De Oro (el289)'!U34+'El Rio del Oro'!U37+'Endless Summer RV Resort'!U55+'Endless Summer RV Resort (en079'!U47+Evergreen!U34+'Far Horizons'!U34+'Far Horizons (fa105)'!U34+'Floridian Sandalwood (fl356)'!U31+'Floridian Sandalwood MHC'!U35+Glenhaven!U39+'Glenhaven Estates (gl317)'!U39+'Harbor Lights (ha310)'!U40+'Harbor Lights MHC'!U38+'Harvest Gate'!U48+'Hunter Run RV Estates'!U89+'Hunters Run RV Estates (hu116)'!U202+'Jade Isle (ja068)'!U31+'Jade Isle MHC'!U33+'Kakusha Estates (ka045)'!U37+'Kakusha MHC'!U36+'Lakeside Village'!U42+'Lakeside Village (la482)'!U44+'Lakewood Village (la481)'!U103+'Lakewood Village MHC LLC'!U123+'Maple Corner'!U56+'Maple Corner (ma490)'!U46+'Marlboro Court (ma489)'!U34+'Marlboro Court MHC LLC'!U34+'May Manor'!U138+'May Manor (ma488)'!U70+'Mobiland by the Sea (mo320)'!U39+'Mobiland By The Sea MHC'!U40+'Moss Landing'!U67+'Moss Landing (mo321)'!U59+'Oak Springs'!U71+'Oak Springs MHC (oa150)'!U47+'Orange Manor East'!U36+'Orange Manor East (or125)'!U39+'Pacific Manor'!U45+'Pacific Manor (pa602)'!U47+Parkhaven!U102+Ridgecrest!U52+Riverest!U46+'Riverview MHRV LLC'!U49+Rosehaven!U114+'Sanctuary RV Resort'!U226+'Shadow Mountain MHC'!U33+Springhaven!U33+'Star Valley Ranch'!U44+Sunhaven!U40+'Sunny Grove'!U39+Tarponaire!U43+'Val Vista RV Resort'!U72+'Webster RV Resort LLC'!U59+'Wekiva Falls RV Resort'!U83+'West Jupiter RV Resort'!U40+'Western Way RV Resort LLC'!U132</f>
      </c>
      <c r="V12" s="18">
        <f>'Agave Village (ag011)'!V65+'Agave Village LLC'!V54+'Brookhaven Estates (bo260)'!V47+'Brookhaven RV Resort'!V43+'Courtly Manor'!V36+'Courtly Manor Park (co669)'!V37+'Cross Creek RV'!V132+'Cross Creek RV Resort (cr994)'!V138+'El Rio De Oro (el289)'!V34+'El Rio del Oro'!V37+'Endless Summer RV Resort'!V55+'Endless Summer RV Resort (en079'!V47+Evergreen!V34+'Far Horizons'!V34+'Far Horizons (fa105)'!V34+'Floridian Sandalwood (fl356)'!V31+'Floridian Sandalwood MHC'!V35+Glenhaven!V39+'Glenhaven Estates (gl317)'!V39+'Harbor Lights (ha310)'!V40+'Harbor Lights MHC'!V38+'Harvest Gate'!V48+'Hunter Run RV Estates'!V89+'Hunters Run RV Estates (hu116)'!V202+'Jade Isle (ja068)'!V31+'Jade Isle MHC'!V33+'Kakusha Estates (ka045)'!V37+'Kakusha MHC'!V36+'Lakeside Village'!V42+'Lakeside Village (la482)'!V44+'Lakewood Village (la481)'!V103+'Lakewood Village MHC LLC'!V123+'Maple Corner'!V56+'Maple Corner (ma490)'!V46+'Marlboro Court (ma489)'!V34+'Marlboro Court MHC LLC'!V34+'May Manor'!V138+'May Manor (ma488)'!V70+'Mobiland by the Sea (mo320)'!V39+'Mobiland By The Sea MHC'!V40+'Moss Landing'!V67+'Moss Landing (mo321)'!V59+'Oak Springs'!V71+'Oak Springs MHC (oa150)'!V47+'Orange Manor East'!V36+'Orange Manor East (or125)'!V39+'Pacific Manor'!V45+'Pacific Manor (pa602)'!V47+Parkhaven!V102+Ridgecrest!V52+Riverest!V46+'Riverview MHRV LLC'!V49+Rosehaven!V114+'Sanctuary RV Resort'!V226+'Shadow Mountain MHC'!V33+Springhaven!V33+'Star Valley Ranch'!V44+Sunhaven!V40+'Sunny Grove'!V39+Tarponaire!V43+'Val Vista RV Resort'!V72+'Webster RV Resort LLC'!V59+'Wekiva Falls RV Resort'!V83+'West Jupiter RV Resort'!V40+'Western Way RV Resort LLC'!V132</f>
      </c>
      <c r="W12" s="18">
        <f>'Agave Village (ag011)'!W65+'Agave Village LLC'!W54+'Brookhaven Estates (bo260)'!W47+'Brookhaven RV Resort'!W43+'Courtly Manor'!W36+'Courtly Manor Park (co669)'!W37+'Cross Creek RV'!W132+'Cross Creek RV Resort (cr994)'!W138+'El Rio De Oro (el289)'!W34+'El Rio del Oro'!W37+'Endless Summer RV Resort'!W55+'Endless Summer RV Resort (en079'!W47+Evergreen!W34+'Far Horizons'!W34+'Far Horizons (fa105)'!W34+'Floridian Sandalwood (fl356)'!W31+'Floridian Sandalwood MHC'!W35+Glenhaven!W39+'Glenhaven Estates (gl317)'!W39+'Harbor Lights (ha310)'!W40+'Harbor Lights MHC'!W38+'Harvest Gate'!W48+'Hunter Run RV Estates'!W89+'Hunters Run RV Estates (hu116)'!W202+'Jade Isle (ja068)'!W31+'Jade Isle MHC'!W33+'Kakusha Estates (ka045)'!W37+'Kakusha MHC'!W36+'Lakeside Village'!W42+'Lakeside Village (la482)'!W44+'Lakewood Village (la481)'!W103+'Lakewood Village MHC LLC'!W123+'Maple Corner'!W56+'Maple Corner (ma490)'!W46+'Marlboro Court (ma489)'!W34+'Marlboro Court MHC LLC'!W34+'May Manor'!W138+'May Manor (ma488)'!W70+'Mobiland by the Sea (mo320)'!W39+'Mobiland By The Sea MHC'!W40+'Moss Landing'!W67+'Moss Landing (mo321)'!W59+'Oak Springs'!W71+'Oak Springs MHC (oa150)'!W47+'Orange Manor East'!W36+'Orange Manor East (or125)'!W39+'Pacific Manor'!W45+'Pacific Manor (pa602)'!W47+Parkhaven!W102+Ridgecrest!W52+Riverest!W46+'Riverview MHRV LLC'!W49+Rosehaven!W114+'Sanctuary RV Resort'!W226+'Shadow Mountain MHC'!W33+Springhaven!W33+'Star Valley Ranch'!W44+Sunhaven!W40+'Sunny Grove'!W39+Tarponaire!W43+'Val Vista RV Resort'!W72+'Webster RV Resort LLC'!W59+'Wekiva Falls RV Resort'!W83+'West Jupiter RV Resort'!W40+'Western Way RV Resort LLC'!W132</f>
      </c>
      <c r="X12" s="18">
        <f>'Agave Village (ag011)'!X65+'Agave Village LLC'!X54+'Brookhaven Estates (bo260)'!X47+'Brookhaven RV Resort'!X43+'Courtly Manor'!X36+'Courtly Manor Park (co669)'!X37+'Cross Creek RV'!X132+'Cross Creek RV Resort (cr994)'!X138+'El Rio De Oro (el289)'!X34+'El Rio del Oro'!X37+'Endless Summer RV Resort'!X55+'Endless Summer RV Resort (en079'!X47+Evergreen!X34+'Far Horizons'!X34+'Far Horizons (fa105)'!X34+'Floridian Sandalwood (fl356)'!X31+'Floridian Sandalwood MHC'!X35+Glenhaven!X39+'Glenhaven Estates (gl317)'!X39+'Harbor Lights (ha310)'!X40+'Harbor Lights MHC'!X38+'Harvest Gate'!X48+'Hunter Run RV Estates'!X89+'Hunters Run RV Estates (hu116)'!X202+'Jade Isle (ja068)'!X31+'Jade Isle MHC'!X33+'Kakusha Estates (ka045)'!X37+'Kakusha MHC'!X36+'Lakeside Village'!X42+'Lakeside Village (la482)'!X44+'Lakewood Village (la481)'!X103+'Lakewood Village MHC LLC'!X123+'Maple Corner'!X56+'Maple Corner (ma490)'!X46+'Marlboro Court (ma489)'!X34+'Marlboro Court MHC LLC'!X34+'May Manor'!X138+'May Manor (ma488)'!X70+'Mobiland by the Sea (mo320)'!X39+'Mobiland By The Sea MHC'!X40+'Moss Landing'!X67+'Moss Landing (mo321)'!X59+'Oak Springs'!X71+'Oak Springs MHC (oa150)'!X47+'Orange Manor East'!X36+'Orange Manor East (or125)'!X39+'Pacific Manor'!X45+'Pacific Manor (pa602)'!X47+Parkhaven!X102+Ridgecrest!X52+Riverest!X46+'Riverview MHRV LLC'!X49+Rosehaven!X114+'Sanctuary RV Resort'!X226+'Shadow Mountain MHC'!X33+Springhaven!X33+'Star Valley Ranch'!X44+Sunhaven!X40+'Sunny Grove'!X39+Tarponaire!X43+'Val Vista RV Resort'!X72+'Webster RV Resort LLC'!X59+'Wekiva Falls RV Resort'!X83+'West Jupiter RV Resort'!X40+'Western Way RV Resort LLC'!X132</f>
      </c>
      <c r="Y12" s="18">
        <f>'Agave Village (ag011)'!Y65+'Agave Village LLC'!Y54+'Brookhaven Estates (bo260)'!Y47+'Brookhaven RV Resort'!Y43+'Courtly Manor'!Y36+'Courtly Manor Park (co669)'!Y37+'Cross Creek RV'!Y132+'Cross Creek RV Resort (cr994)'!Y138+'El Rio De Oro (el289)'!Y34+'El Rio del Oro'!Y37+'Endless Summer RV Resort'!Y55+'Endless Summer RV Resort (en079'!Y47+Evergreen!Y34+'Far Horizons'!Y34+'Far Horizons (fa105)'!Y34+'Floridian Sandalwood (fl356)'!Y31+'Floridian Sandalwood MHC'!Y35+Glenhaven!Y39+'Glenhaven Estates (gl317)'!Y39+'Harbor Lights (ha310)'!Y40+'Harbor Lights MHC'!Y38+'Harvest Gate'!Y48+'Hunter Run RV Estates'!Y89+'Hunters Run RV Estates (hu116)'!Y202+'Jade Isle (ja068)'!Y31+'Jade Isle MHC'!Y33+'Kakusha Estates (ka045)'!Y37+'Kakusha MHC'!Y36+'Lakeside Village'!Y42+'Lakeside Village (la482)'!Y44+'Lakewood Village (la481)'!Y103+'Lakewood Village MHC LLC'!Y123+'Maple Corner'!Y56+'Maple Corner (ma490)'!Y46+'Marlboro Court (ma489)'!Y34+'Marlboro Court MHC LLC'!Y34+'May Manor'!Y138+'May Manor (ma488)'!Y70+'Mobiland by the Sea (mo320)'!Y39+'Mobiland By The Sea MHC'!Y40+'Moss Landing'!Y67+'Moss Landing (mo321)'!Y59+'Oak Springs'!Y71+'Oak Springs MHC (oa150)'!Y47+'Orange Manor East'!Y36+'Orange Manor East (or125)'!Y39+'Pacific Manor'!Y45+'Pacific Manor (pa602)'!Y47+Parkhaven!Y102+Ridgecrest!Y52+Riverest!Y46+'Riverview MHRV LLC'!Y49+Rosehaven!Y114+'Sanctuary RV Resort'!Y226+'Shadow Mountain MHC'!Y33+Springhaven!Y33+'Star Valley Ranch'!Y44+Sunhaven!Y40+'Sunny Grove'!Y39+Tarponaire!Y43+'Val Vista RV Resort'!Y72+'Webster RV Resort LLC'!Y59+'Wekiva Falls RV Resort'!Y83+'West Jupiter RV Resort'!Y40+'Western Way RV Resort LLC'!Y132</f>
      </c>
      <c r="Z12" s="18">
        <f>'Agave Village (ag011)'!Z65+'Agave Village LLC'!Z54+'Brookhaven Estates (bo260)'!Z47+'Brookhaven RV Resort'!Z43+'Courtly Manor'!Z36+'Courtly Manor Park (co669)'!Z37+'Cross Creek RV'!Z132+'Cross Creek RV Resort (cr994)'!Z138+'El Rio De Oro (el289)'!Z34+'El Rio del Oro'!Z37+'Endless Summer RV Resort'!Z55+'Endless Summer RV Resort (en079'!Z47+Evergreen!Z34+'Far Horizons'!Z34+'Far Horizons (fa105)'!Z34+'Floridian Sandalwood (fl356)'!Z31+'Floridian Sandalwood MHC'!Z35+Glenhaven!Z39+'Glenhaven Estates (gl317)'!Z39+'Harbor Lights (ha310)'!Z40+'Harbor Lights MHC'!Z38+'Harvest Gate'!Z48+'Hunter Run RV Estates'!Z89+'Hunters Run RV Estates (hu116)'!Z202+'Jade Isle (ja068)'!Z31+'Jade Isle MHC'!Z33+'Kakusha Estates (ka045)'!Z37+'Kakusha MHC'!Z36+'Lakeside Village'!Z42+'Lakeside Village (la482)'!Z44+'Lakewood Village (la481)'!Z103+'Lakewood Village MHC LLC'!Z123+'Maple Corner'!Z56+'Maple Corner (ma490)'!Z46+'Marlboro Court (ma489)'!Z34+'Marlboro Court MHC LLC'!Z34+'May Manor'!Z138+'May Manor (ma488)'!Z70+'Mobiland by the Sea (mo320)'!Z39+'Mobiland By The Sea MHC'!Z40+'Moss Landing'!Z67+'Moss Landing (mo321)'!Z59+'Oak Springs'!Z71+'Oak Springs MHC (oa150)'!Z47+'Orange Manor East'!Z36+'Orange Manor East (or125)'!Z39+'Pacific Manor'!Z45+'Pacific Manor (pa602)'!Z47+Parkhaven!Z102+Ridgecrest!Z52+Riverest!Z46+'Riverview MHRV LLC'!Z49+Rosehaven!Z114+'Sanctuary RV Resort'!Z226+'Shadow Mountain MHC'!Z33+Springhaven!Z33+'Star Valley Ranch'!Z44+Sunhaven!Z40+'Sunny Grove'!Z39+Tarponaire!Z43+'Val Vista RV Resort'!Z72+'Webster RV Resort LLC'!Z59+'Wekiva Falls RV Resort'!Z83+'West Jupiter RV Resort'!Z40+'Western Way RV Resort LLC'!Z132</f>
      </c>
      <c r="AA12" s="18">
        <f>'Agave Village (ag011)'!AA65+'Agave Village LLC'!AA54+'Brookhaven Estates (bo260)'!AA47+'Brookhaven RV Resort'!AA43+'Courtly Manor'!AA36+'Courtly Manor Park (co669)'!AA37+'Cross Creek RV'!AA132+'Cross Creek RV Resort (cr994)'!AA138+'El Rio De Oro (el289)'!AA34+'El Rio del Oro'!AA37+'Endless Summer RV Resort'!AA55+'Endless Summer RV Resort (en079'!AA47+Evergreen!AA34+'Far Horizons'!AA34+'Far Horizons (fa105)'!AA34+'Floridian Sandalwood (fl356)'!AA31+'Floridian Sandalwood MHC'!AA35+Glenhaven!AA39+'Glenhaven Estates (gl317)'!AA39+'Harbor Lights (ha310)'!AA40+'Harbor Lights MHC'!AA38+'Harvest Gate'!AA48+'Hunter Run RV Estates'!AA89+'Hunters Run RV Estates (hu116)'!AA202+'Jade Isle (ja068)'!AA31+'Jade Isle MHC'!AA33+'Kakusha Estates (ka045)'!AA37+'Kakusha MHC'!AA36+'Lakeside Village'!AA42+'Lakeside Village (la482)'!AA44+'Lakewood Village (la481)'!AA103+'Lakewood Village MHC LLC'!AA123+'Maple Corner'!AA56+'Maple Corner (ma490)'!AA46+'Marlboro Court (ma489)'!AA34+'Marlboro Court MHC LLC'!AA34+'May Manor'!AA138+'May Manor (ma488)'!AA70+'Mobiland by the Sea (mo320)'!AA39+'Mobiland By The Sea MHC'!AA40+'Moss Landing'!AA67+'Moss Landing (mo321)'!AA59+'Oak Springs'!AA71+'Oak Springs MHC (oa150)'!AA47+'Orange Manor East'!AA36+'Orange Manor East (or125)'!AA39+'Pacific Manor'!AA45+'Pacific Manor (pa602)'!AA47+Parkhaven!AA102+Ridgecrest!AA52+Riverest!AA46+'Riverview MHRV LLC'!AA49+Rosehaven!AA114+'Sanctuary RV Resort'!AA226+'Shadow Mountain MHC'!AA33+Springhaven!AA33+'Star Valley Ranch'!AA44+Sunhaven!AA40+'Sunny Grove'!AA39+Tarponaire!AA43+'Val Vista RV Resort'!AA72+'Webster RV Resort LLC'!AA59+'Wekiva Falls RV Resort'!AA83+'West Jupiter RV Resort'!AA40+'Western Way RV Resort LLC'!AA132</f>
      </c>
      <c r="AB12" s="18">
        <f>'Agave Village (ag011)'!AB65+'Agave Village LLC'!AB54+'Brookhaven Estates (bo260)'!AB47+'Brookhaven RV Resort'!AB43+'Courtly Manor'!AB36+'Courtly Manor Park (co669)'!AB37+'Cross Creek RV'!AB132+'Cross Creek RV Resort (cr994)'!AB138+'El Rio De Oro (el289)'!AB34+'El Rio del Oro'!AB37+'Endless Summer RV Resort'!AB55+'Endless Summer RV Resort (en079'!AB47+Evergreen!AB34+'Far Horizons'!AB34+'Far Horizons (fa105)'!AB34+'Floridian Sandalwood (fl356)'!AB31+'Floridian Sandalwood MHC'!AB35+Glenhaven!AB39+'Glenhaven Estates (gl317)'!AB39+'Harbor Lights (ha310)'!AB40+'Harbor Lights MHC'!AB38+'Harvest Gate'!AB48+'Hunter Run RV Estates'!AB89+'Hunters Run RV Estates (hu116)'!AB202+'Jade Isle (ja068)'!AB31+'Jade Isle MHC'!AB33+'Kakusha Estates (ka045)'!AB37+'Kakusha MHC'!AB36+'Lakeside Village'!AB42+'Lakeside Village (la482)'!AB44+'Lakewood Village (la481)'!AB103+'Lakewood Village MHC LLC'!AB123+'Maple Corner'!AB56+'Maple Corner (ma490)'!AB46+'Marlboro Court (ma489)'!AB34+'Marlboro Court MHC LLC'!AB34+'May Manor'!AB138+'May Manor (ma488)'!AB70+'Mobiland by the Sea (mo320)'!AB39+'Mobiland By The Sea MHC'!AB40+'Moss Landing'!AB67+'Moss Landing (mo321)'!AB59+'Oak Springs'!AB71+'Oak Springs MHC (oa150)'!AB47+'Orange Manor East'!AB36+'Orange Manor East (or125)'!AB39+'Pacific Manor'!AB45+'Pacific Manor (pa602)'!AB47+Parkhaven!AB102+Ridgecrest!AB52+Riverest!AB46+'Riverview MHRV LLC'!AB49+Rosehaven!AB114+'Sanctuary RV Resort'!AB226+'Shadow Mountain MHC'!AB33+Springhaven!AB33+'Star Valley Ranch'!AB44+Sunhaven!AB40+'Sunny Grove'!AB39+Tarponaire!AB43+'Val Vista RV Resort'!AB72+'Webster RV Resort LLC'!AB59+'Wekiva Falls RV Resort'!AB83+'West Jupiter RV Resort'!AB40+'Western Way RV Resort LLC'!AB132</f>
      </c>
      <c r="AC12" s="18">
        <f>'Agave Village (ag011)'!AC65+'Agave Village LLC'!AC54+'Brookhaven Estates (bo260)'!AC47+'Brookhaven RV Resort'!AC43+'Courtly Manor'!AC36+'Courtly Manor Park (co669)'!AC37+'Cross Creek RV'!AC132+'Cross Creek RV Resort (cr994)'!AC138+'El Rio De Oro (el289)'!AC34+'El Rio del Oro'!AC37+'Endless Summer RV Resort'!AC55+'Endless Summer RV Resort (en079'!AC47+Evergreen!AC34+'Far Horizons'!AC34+'Far Horizons (fa105)'!AC34+'Floridian Sandalwood (fl356)'!AC31+'Floridian Sandalwood MHC'!AC35+Glenhaven!AC39+'Glenhaven Estates (gl317)'!AC39+'Harbor Lights (ha310)'!AC40+'Harbor Lights MHC'!AC38+'Harvest Gate'!AC48+'Hunter Run RV Estates'!AC89+'Hunters Run RV Estates (hu116)'!AC202+'Jade Isle (ja068)'!AC31+'Jade Isle MHC'!AC33+'Kakusha Estates (ka045)'!AC37+'Kakusha MHC'!AC36+'Lakeside Village'!AC42+'Lakeside Village (la482)'!AC44+'Lakewood Village (la481)'!AC103+'Lakewood Village MHC LLC'!AC123+'Maple Corner'!AC56+'Maple Corner (ma490)'!AC46+'Marlboro Court (ma489)'!AC34+'Marlboro Court MHC LLC'!AC34+'May Manor'!AC138+'May Manor (ma488)'!AC70+'Mobiland by the Sea (mo320)'!AC39+'Mobiland By The Sea MHC'!AC40+'Moss Landing'!AC67+'Moss Landing (mo321)'!AC59+'Oak Springs'!AC71+'Oak Springs MHC (oa150)'!AC47+'Orange Manor East'!AC36+'Orange Manor East (or125)'!AC39+'Pacific Manor'!AC45+'Pacific Manor (pa602)'!AC47+Parkhaven!AC102+Ridgecrest!AC52+Riverest!AC46+'Riverview MHRV LLC'!AC49+Rosehaven!AC114+'Sanctuary RV Resort'!AC226+'Shadow Mountain MHC'!AC33+Springhaven!AC33+'Star Valley Ranch'!AC44+Sunhaven!AC40+'Sunny Grove'!AC39+Tarponaire!AC43+'Val Vista RV Resort'!AC72+'Webster RV Resort LLC'!AC59+'Wekiva Falls RV Resort'!AC83+'West Jupiter RV Resort'!AC40+'Western Way RV Resort LLC'!AC132</f>
      </c>
      <c r="AD12" s="18">
        <f>'Agave Village (ag011)'!AD65+'Agave Village LLC'!AD54+'Brookhaven Estates (bo260)'!AD47+'Brookhaven RV Resort'!AD43+'Courtly Manor'!AD36+'Courtly Manor Park (co669)'!AD37+'Cross Creek RV'!AD132+'Cross Creek RV Resort (cr994)'!AD138+'El Rio De Oro (el289)'!AD34+'El Rio del Oro'!AD37+'Endless Summer RV Resort'!AD55+'Endless Summer RV Resort (en079'!AD47+Evergreen!AD34+'Far Horizons'!AD34+'Far Horizons (fa105)'!AD34+'Floridian Sandalwood (fl356)'!AD31+'Floridian Sandalwood MHC'!AD35+Glenhaven!AD39+'Glenhaven Estates (gl317)'!AD39+'Harbor Lights (ha310)'!AD40+'Harbor Lights MHC'!AD38+'Harvest Gate'!AD48+'Hunter Run RV Estates'!AD89+'Hunters Run RV Estates (hu116)'!AD202+'Jade Isle (ja068)'!AD31+'Jade Isle MHC'!AD33+'Kakusha Estates (ka045)'!AD37+'Kakusha MHC'!AD36+'Lakeside Village'!AD42+'Lakeside Village (la482)'!AD44+'Lakewood Village (la481)'!AD103+'Lakewood Village MHC LLC'!AD123+'Maple Corner'!AD56+'Maple Corner (ma490)'!AD46+'Marlboro Court (ma489)'!AD34+'Marlboro Court MHC LLC'!AD34+'May Manor'!AD138+'May Manor (ma488)'!AD70+'Mobiland by the Sea (mo320)'!AD39+'Mobiland By The Sea MHC'!AD40+'Moss Landing'!AD67+'Moss Landing (mo321)'!AD59+'Oak Springs'!AD71+'Oak Springs MHC (oa150)'!AD47+'Orange Manor East'!AD36+'Orange Manor East (or125)'!AD39+'Pacific Manor'!AD45+'Pacific Manor (pa602)'!AD47+Parkhaven!AD102+Ridgecrest!AD52+Riverest!AD46+'Riverview MHRV LLC'!AD49+Rosehaven!AD114+'Sanctuary RV Resort'!AD226+'Shadow Mountain MHC'!AD33+Springhaven!AD33+'Star Valley Ranch'!AD44+Sunhaven!AD40+'Sunny Grove'!AD39+Tarponaire!AD43+'Val Vista RV Resort'!AD72+'Webster RV Resort LLC'!AD59+'Wekiva Falls RV Resort'!AD83+'West Jupiter RV Resort'!AD40+'Western Way RV Resort LLC'!AD132</f>
      </c>
      <c r="AE12" s="18">
        <f>'Agave Village (ag011)'!AE65+'Agave Village LLC'!AE54+'Brookhaven Estates (bo260)'!AE47+'Brookhaven RV Resort'!AE43+'Courtly Manor'!AE36+'Courtly Manor Park (co669)'!AE37+'Cross Creek RV'!AE132+'Cross Creek RV Resort (cr994)'!AE138+'El Rio De Oro (el289)'!AE34+'El Rio del Oro'!AE37+'Endless Summer RV Resort'!AE55+'Endless Summer RV Resort (en079'!AE47+Evergreen!AE34+'Far Horizons'!AE34+'Far Horizons (fa105)'!AE34+'Floridian Sandalwood (fl356)'!AE31+'Floridian Sandalwood MHC'!AE35+Glenhaven!AE39+'Glenhaven Estates (gl317)'!AE39+'Harbor Lights (ha310)'!AE40+'Harbor Lights MHC'!AE38+'Harvest Gate'!AE48+'Hunter Run RV Estates'!AE89+'Hunters Run RV Estates (hu116)'!AE202+'Jade Isle (ja068)'!AE31+'Jade Isle MHC'!AE33+'Kakusha Estates (ka045)'!AE37+'Kakusha MHC'!AE36+'Lakeside Village'!AE42+'Lakeside Village (la482)'!AE44+'Lakewood Village (la481)'!AE103+'Lakewood Village MHC LLC'!AE123+'Maple Corner'!AE56+'Maple Corner (ma490)'!AE46+'Marlboro Court (ma489)'!AE34+'Marlboro Court MHC LLC'!AE34+'May Manor'!AE138+'May Manor (ma488)'!AE70+'Mobiland by the Sea (mo320)'!AE39+'Mobiland By The Sea MHC'!AE40+'Moss Landing'!AE67+'Moss Landing (mo321)'!AE59+'Oak Springs'!AE71+'Oak Springs MHC (oa150)'!AE47+'Orange Manor East'!AE36+'Orange Manor East (or125)'!AE39+'Pacific Manor'!AE45+'Pacific Manor (pa602)'!AE47+Parkhaven!AE102+Ridgecrest!AE52+Riverest!AE46+'Riverview MHRV LLC'!AE49+Rosehaven!AE114+'Sanctuary RV Resort'!AE226+'Shadow Mountain MHC'!AE33+Springhaven!AE33+'Star Valley Ranch'!AE44+Sunhaven!AE40+'Sunny Grove'!AE39+Tarponaire!AE43+'Val Vista RV Resort'!AE72+'Webster RV Resort LLC'!AE59+'Wekiva Falls RV Resort'!AE83+'West Jupiter RV Resort'!AE40+'Western Way RV Resort LLC'!AE132</f>
      </c>
      <c r="AF12" s="18">
        <f>'Agave Village (ag011)'!AF65+'Agave Village LLC'!AF54+'Brookhaven Estates (bo260)'!AF47+'Brookhaven RV Resort'!AF43+'Courtly Manor'!AF36+'Courtly Manor Park (co669)'!AF37+'Cross Creek RV'!AF132+'Cross Creek RV Resort (cr994)'!AF138+'El Rio De Oro (el289)'!AF34+'El Rio del Oro'!AF37+'Endless Summer RV Resort'!AF55+'Endless Summer RV Resort (en079'!AF47+Evergreen!AF34+'Far Horizons'!AF34+'Far Horizons (fa105)'!AF34+'Floridian Sandalwood (fl356)'!AF31+'Floridian Sandalwood MHC'!AF35+Glenhaven!AF39+'Glenhaven Estates (gl317)'!AF39+'Harbor Lights (ha310)'!AF40+'Harbor Lights MHC'!AF38+'Harvest Gate'!AF48+'Hunter Run RV Estates'!AF89+'Hunters Run RV Estates (hu116)'!AF202+'Jade Isle (ja068)'!AF31+'Jade Isle MHC'!AF33+'Kakusha Estates (ka045)'!AF37+'Kakusha MHC'!AF36+'Lakeside Village'!AF42+'Lakeside Village (la482)'!AF44+'Lakewood Village (la481)'!AF103+'Lakewood Village MHC LLC'!AF123+'Maple Corner'!AF56+'Maple Corner (ma490)'!AF46+'Marlboro Court (ma489)'!AF34+'Marlboro Court MHC LLC'!AF34+'May Manor'!AF138+'May Manor (ma488)'!AF70+'Mobiland by the Sea (mo320)'!AF39+'Mobiland By The Sea MHC'!AF40+'Moss Landing'!AF67+'Moss Landing (mo321)'!AF59+'Oak Springs'!AF71+'Oak Springs MHC (oa150)'!AF47+'Orange Manor East'!AF36+'Orange Manor East (or125)'!AF39+'Pacific Manor'!AF45+'Pacific Manor (pa602)'!AF47+Parkhaven!AF102+Ridgecrest!AF52+Riverest!AF46+'Riverview MHRV LLC'!AF49+Rosehaven!AF114+'Sanctuary RV Resort'!AF226+'Shadow Mountain MHC'!AF33+Springhaven!AF33+'Star Valley Ranch'!AF44+Sunhaven!AF40+'Sunny Grove'!AF39+Tarponaire!AF43+'Val Vista RV Resort'!AF72+'Webster RV Resort LLC'!AF59+'Wekiva Falls RV Resort'!AF83+'West Jupiter RV Resort'!AF40+'Western Way RV Resort LLC'!AF132</f>
      </c>
      <c r="AG12" s="18">
        <f>'Agave Village (ag011)'!AG65+'Agave Village LLC'!AG54+'Brookhaven Estates (bo260)'!AG47+'Brookhaven RV Resort'!AG43+'Courtly Manor'!AG36+'Courtly Manor Park (co669)'!AG37+'Cross Creek RV'!AG132+'Cross Creek RV Resort (cr994)'!AG138+'El Rio De Oro (el289)'!AG34+'El Rio del Oro'!AG37+'Endless Summer RV Resort'!AG55+'Endless Summer RV Resort (en079'!AG47+Evergreen!AG34+'Far Horizons'!AG34+'Far Horizons (fa105)'!AG34+'Floridian Sandalwood (fl356)'!AG31+'Floridian Sandalwood MHC'!AG35+Glenhaven!AG39+'Glenhaven Estates (gl317)'!AG39+'Harbor Lights (ha310)'!AG40+'Harbor Lights MHC'!AG38+'Harvest Gate'!AG48+'Hunter Run RV Estates'!AG89+'Hunters Run RV Estates (hu116)'!AG202+'Jade Isle (ja068)'!AG31+'Jade Isle MHC'!AG33+'Kakusha Estates (ka045)'!AG37+'Kakusha MHC'!AG36+'Lakeside Village'!AG42+'Lakeside Village (la482)'!AG44+'Lakewood Village (la481)'!AG103+'Lakewood Village MHC LLC'!AG123+'Maple Corner'!AG56+'Maple Corner (ma490)'!AG46+'Marlboro Court (ma489)'!AG34+'Marlboro Court MHC LLC'!AG34+'May Manor'!AG138+'May Manor (ma488)'!AG70+'Mobiland by the Sea (mo320)'!AG39+'Mobiland By The Sea MHC'!AG40+'Moss Landing'!AG67+'Moss Landing (mo321)'!AG59+'Oak Springs'!AG71+'Oak Springs MHC (oa150)'!AG47+'Orange Manor East'!AG36+'Orange Manor East (or125)'!AG39+'Pacific Manor'!AG45+'Pacific Manor (pa602)'!AG47+Parkhaven!AG102+Ridgecrest!AG52+Riverest!AG46+'Riverview MHRV LLC'!AG49+Rosehaven!AG114+'Sanctuary RV Resort'!AG226+'Shadow Mountain MHC'!AG33+Springhaven!AG33+'Star Valley Ranch'!AG44+Sunhaven!AG40+'Sunny Grove'!AG39+Tarponaire!AG43+'Val Vista RV Resort'!AG72+'Webster RV Resort LLC'!AG59+'Wekiva Falls RV Resort'!AG83+'West Jupiter RV Resort'!AG40+'Western Way RV Resort LLC'!AG132</f>
      </c>
      <c r="AH12" s="18">
        <f>'Agave Village (ag011)'!AH65+'Agave Village LLC'!AH54+'Brookhaven Estates (bo260)'!AH47+'Brookhaven RV Resort'!AH43+'Courtly Manor'!AH36+'Courtly Manor Park (co669)'!AH37+'Cross Creek RV'!AH132+'Cross Creek RV Resort (cr994)'!AH138+'El Rio De Oro (el289)'!AH34+'El Rio del Oro'!AH37+'Endless Summer RV Resort'!AH55+'Endless Summer RV Resort (en079'!AH47+Evergreen!AH34+'Far Horizons'!AH34+'Far Horizons (fa105)'!AH34+'Floridian Sandalwood (fl356)'!AH31+'Floridian Sandalwood MHC'!AH35+Glenhaven!AH39+'Glenhaven Estates (gl317)'!AH39+'Harbor Lights (ha310)'!AH40+'Harbor Lights MHC'!AH38+'Harvest Gate'!AH48+'Hunter Run RV Estates'!AH89+'Hunters Run RV Estates (hu116)'!AH202+'Jade Isle (ja068)'!AH31+'Jade Isle MHC'!AH33+'Kakusha Estates (ka045)'!AH37+'Kakusha MHC'!AH36+'Lakeside Village'!AH42+'Lakeside Village (la482)'!AH44+'Lakewood Village (la481)'!AH103+'Lakewood Village MHC LLC'!AH123+'Maple Corner'!AH56+'Maple Corner (ma490)'!AH46+'Marlboro Court (ma489)'!AH34+'Marlboro Court MHC LLC'!AH34+'May Manor'!AH138+'May Manor (ma488)'!AH70+'Mobiland by the Sea (mo320)'!AH39+'Mobiland By The Sea MHC'!AH40+'Moss Landing'!AH67+'Moss Landing (mo321)'!AH59+'Oak Springs'!AH71+'Oak Springs MHC (oa150)'!AH47+'Orange Manor East'!AH36+'Orange Manor East (or125)'!AH39+'Pacific Manor'!AH45+'Pacific Manor (pa602)'!AH47+Parkhaven!AH102+Ridgecrest!AH52+Riverest!AH46+'Riverview MHRV LLC'!AH49+Rosehaven!AH114+'Sanctuary RV Resort'!AH226+'Shadow Mountain MHC'!AH33+Springhaven!AH33+'Star Valley Ranch'!AH44+Sunhaven!AH40+'Sunny Grove'!AH39+Tarponaire!AH43+'Val Vista RV Resort'!AH72+'Webster RV Resort LLC'!AH59+'Wekiva Falls RV Resort'!AH83+'West Jupiter RV Resort'!AH40+'Western Way RV Resort LLC'!AH132</f>
      </c>
      <c r="AI12" s="18">
        <f>'Agave Village (ag011)'!AI65+'Agave Village LLC'!AI54+'Brookhaven Estates (bo260)'!AI47+'Brookhaven RV Resort'!AI43+'Courtly Manor'!AI36+'Courtly Manor Park (co669)'!AI37+'Cross Creek RV'!AI132+'Cross Creek RV Resort (cr994)'!AI138+'El Rio De Oro (el289)'!AI34+'El Rio del Oro'!AI37+'Endless Summer RV Resort'!AI55+'Endless Summer RV Resort (en079'!AI47+Evergreen!AI34+'Far Horizons'!AI34+'Far Horizons (fa105)'!AI34+'Floridian Sandalwood (fl356)'!AI31+'Floridian Sandalwood MHC'!AI35+Glenhaven!AI39+'Glenhaven Estates (gl317)'!AI39+'Harbor Lights (ha310)'!AI40+'Harbor Lights MHC'!AI38+'Harvest Gate'!AI48+'Hunter Run RV Estates'!AI89+'Hunters Run RV Estates (hu116)'!AI202+'Jade Isle (ja068)'!AI31+'Jade Isle MHC'!AI33+'Kakusha Estates (ka045)'!AI37+'Kakusha MHC'!AI36+'Lakeside Village'!AI42+'Lakeside Village (la482)'!AI44+'Lakewood Village (la481)'!AI103+'Lakewood Village MHC LLC'!AI123+'Maple Corner'!AI56+'Maple Corner (ma490)'!AI46+'Marlboro Court (ma489)'!AI34+'Marlboro Court MHC LLC'!AI34+'May Manor'!AI138+'May Manor (ma488)'!AI70+'Mobiland by the Sea (mo320)'!AI39+'Mobiland By The Sea MHC'!AI40+'Moss Landing'!AI67+'Moss Landing (mo321)'!AI59+'Oak Springs'!AI71+'Oak Springs MHC (oa150)'!AI47+'Orange Manor East'!AI36+'Orange Manor East (or125)'!AI39+'Pacific Manor'!AI45+'Pacific Manor (pa602)'!AI47+Parkhaven!AI102+Ridgecrest!AI52+Riverest!AI46+'Riverview MHRV LLC'!AI49+Rosehaven!AI114+'Sanctuary RV Resort'!AI226+'Shadow Mountain MHC'!AI33+Springhaven!AI33+'Star Valley Ranch'!AI44+Sunhaven!AI40+'Sunny Grove'!AI39+Tarponaire!AI43+'Val Vista RV Resort'!AI72+'Webster RV Resort LLC'!AI59+'Wekiva Falls RV Resort'!AI83+'West Jupiter RV Resort'!AI40+'Western Way RV Resort LLC'!AI132</f>
      </c>
      <c r="AJ12" s="18">
        <f>'Agave Village (ag011)'!AJ65+'Agave Village LLC'!AJ54+'Brookhaven Estates (bo260)'!AJ47+'Brookhaven RV Resort'!AJ43+'Courtly Manor'!AJ36+'Courtly Manor Park (co669)'!AJ37+'Cross Creek RV'!AJ132+'Cross Creek RV Resort (cr994)'!AJ138+'El Rio De Oro (el289)'!AJ34+'El Rio del Oro'!AJ37+'Endless Summer RV Resort'!AJ55+'Endless Summer RV Resort (en079'!AJ47+Evergreen!AJ34+'Far Horizons'!AJ34+'Far Horizons (fa105)'!AJ34+'Floridian Sandalwood (fl356)'!AJ31+'Floridian Sandalwood MHC'!AJ35+Glenhaven!AJ39+'Glenhaven Estates (gl317)'!AJ39+'Harbor Lights (ha310)'!AJ40+'Harbor Lights MHC'!AJ38+'Harvest Gate'!AJ48+'Hunter Run RV Estates'!AJ89+'Hunters Run RV Estates (hu116)'!AJ202+'Jade Isle (ja068)'!AJ31+'Jade Isle MHC'!AJ33+'Kakusha Estates (ka045)'!AJ37+'Kakusha MHC'!AJ36+'Lakeside Village'!AJ42+'Lakeside Village (la482)'!AJ44+'Lakewood Village (la481)'!AJ103+'Lakewood Village MHC LLC'!AJ123+'Maple Corner'!AJ56+'Maple Corner (ma490)'!AJ46+'Marlboro Court (ma489)'!AJ34+'Marlboro Court MHC LLC'!AJ34+'May Manor'!AJ138+'May Manor (ma488)'!AJ70+'Mobiland by the Sea (mo320)'!AJ39+'Mobiland By The Sea MHC'!AJ40+'Moss Landing'!AJ67+'Moss Landing (mo321)'!AJ59+'Oak Springs'!AJ71+'Oak Springs MHC (oa150)'!AJ47+'Orange Manor East'!AJ36+'Orange Manor East (or125)'!AJ39+'Pacific Manor'!AJ45+'Pacific Manor (pa602)'!AJ47+Parkhaven!AJ102+Ridgecrest!AJ52+Riverest!AJ46+'Riverview MHRV LLC'!AJ49+Rosehaven!AJ114+'Sanctuary RV Resort'!AJ226+'Shadow Mountain MHC'!AJ33+Springhaven!AJ33+'Star Valley Ranch'!AJ44+Sunhaven!AJ40+'Sunny Grove'!AJ39+Tarponaire!AJ43+'Val Vista RV Resort'!AJ72+'Webster RV Resort LLC'!AJ59+'Wekiva Falls RV Resort'!AJ83+'West Jupiter RV Resort'!AJ40+'Western Way RV Resort LLC'!AJ132</f>
      </c>
      <c r="AK12" s="19"/>
    </row>
    <row r="13" ht="12.75" customHeight="1" spans="2:37" x14ac:dyDescent="0.25">
      <c r="B13" s="20" t="s">
        <v>45</v>
      </c>
      <c r="C13" s="21"/>
      <c r="D13" s="21"/>
      <c r="E13" s="22">
        <f>'Agave Village (ag011)'!E66+'Agave Village LLC'!E55+'Brookhaven Estates (bo260)'!E48+'Brookhaven RV Resort'!E44+'Courtly Manor'!E37+'Courtly Manor Park (co669)'!E38+'Cross Creek RV'!E133+'Cross Creek RV Resort (cr994)'!E139+'El Rio De Oro (el289)'!E35+'El Rio del Oro'!E38+'Endless Summer RV Resort'!E56+'Endless Summer RV Resort (en079'!E48+Evergreen!E35+'Far Horizons'!E35+'Far Horizons (fa105)'!E35+'Floridian Sandalwood (fl356)'!E32+'Floridian Sandalwood MHC'!E36+Glenhaven!E40+'Glenhaven Estates (gl317)'!E40+'Harbor Lights (ha310)'!E41+'Harbor Lights MHC'!E39+'Harvest Gate'!E49+'Hunter Run RV Estates'!E90+'Hunters Run RV Estates (hu116)'!E203+'Jade Isle (ja068)'!E32+'Jade Isle MHC'!E34+'Kakusha Estates (ka045)'!E38+'Kakusha MHC'!E37+'Lakeside Village'!E43+'Lakeside Village (la482)'!E45+'Lakewood Village (la481)'!E104+'Lakewood Village MHC LLC'!E124+'Maple Corner'!E57+'Maple Corner (ma490)'!E47+'Marlboro Court (ma489)'!E35+'Marlboro Court MHC LLC'!E35+'May Manor'!E139+'May Manor (ma488)'!E71+'Mobiland by the Sea (mo320)'!E40+'Mobiland By The Sea MHC'!E41+'Moss Landing'!E68+'Moss Landing (mo321)'!E60+'Oak Springs'!E72+'Oak Springs MHC (oa150)'!E48+'Orange Manor East'!E37+'Orange Manor East (or125)'!E40+'Pacific Manor'!E46+'Pacific Manor (pa602)'!E48+Parkhaven!E103+Ridgecrest!E53+Riverest!E47+'Riverview MHRV LLC'!E50+Rosehaven!E115+'Sanctuary RV Resort'!E227+'Shadow Mountain MHC'!E34+Springhaven!E34+'Star Valley Ranch'!E45+Sunhaven!E41+'Sunny Grove'!E40+Tarponaire!E44+'Val Vista RV Resort'!E73+'Webster RV Resort LLC'!E60+'Wekiva Falls RV Resort'!E84+'West Jupiter RV Resort'!E41+'Western Way RV Resort LLC'!E133</f>
      </c>
      <c r="F13" s="22">
        <f>'Agave Village (ag011)'!F66+'Agave Village LLC'!F55+'Brookhaven Estates (bo260)'!F48+'Brookhaven RV Resort'!F44+'Courtly Manor'!F37+'Courtly Manor Park (co669)'!F38+'Cross Creek RV'!F133+'Cross Creek RV Resort (cr994)'!F139+'El Rio De Oro (el289)'!F35+'El Rio del Oro'!F38+'Endless Summer RV Resort'!F56+'Endless Summer RV Resort (en079'!F48+Evergreen!F35+'Far Horizons'!F35+'Far Horizons (fa105)'!F35+'Floridian Sandalwood (fl356)'!F32+'Floridian Sandalwood MHC'!F36+Glenhaven!F40+'Glenhaven Estates (gl317)'!F40+'Harbor Lights (ha310)'!F41+'Harbor Lights MHC'!F39+'Harvest Gate'!F49+'Hunter Run RV Estates'!F90+'Hunters Run RV Estates (hu116)'!F203+'Jade Isle (ja068)'!F32+'Jade Isle MHC'!F34+'Kakusha Estates (ka045)'!F38+'Kakusha MHC'!F37+'Lakeside Village'!F43+'Lakeside Village (la482)'!F45+'Lakewood Village (la481)'!F104+'Lakewood Village MHC LLC'!F124+'Maple Corner'!F57+'Maple Corner (ma490)'!F47+'Marlboro Court (ma489)'!F35+'Marlboro Court MHC LLC'!F35+'May Manor'!F139+'May Manor (ma488)'!F71+'Mobiland by the Sea (mo320)'!F40+'Mobiland By The Sea MHC'!F41+'Moss Landing'!F68+'Moss Landing (mo321)'!F60+'Oak Springs'!F72+'Oak Springs MHC (oa150)'!F48+'Orange Manor East'!F37+'Orange Manor East (or125)'!F40+'Pacific Manor'!F46+'Pacific Manor (pa602)'!F48+Parkhaven!F103+Ridgecrest!F53+Riverest!F47+'Riverview MHRV LLC'!F50+Rosehaven!F115+'Sanctuary RV Resort'!F227+'Shadow Mountain MHC'!F34+Springhaven!F34+'Star Valley Ranch'!F45+Sunhaven!F41+'Sunny Grove'!F40+Tarponaire!F44+'Val Vista RV Resort'!F73+'Webster RV Resort LLC'!F60+'Wekiva Falls RV Resort'!F84+'West Jupiter RV Resort'!F41+'Western Way RV Resort LLC'!F133</f>
      </c>
      <c r="G13" s="22">
        <f>'Agave Village (ag011)'!G66+'Agave Village LLC'!G55+'Brookhaven Estates (bo260)'!G48+'Brookhaven RV Resort'!G44+'Courtly Manor'!G37+'Courtly Manor Park (co669)'!G38+'Cross Creek RV'!G133+'Cross Creek RV Resort (cr994)'!G139+'El Rio De Oro (el289)'!G35+'El Rio del Oro'!G38+'Endless Summer RV Resort'!G56+'Endless Summer RV Resort (en079'!G48+Evergreen!G35+'Far Horizons'!G35+'Far Horizons (fa105)'!G35+'Floridian Sandalwood (fl356)'!G32+'Floridian Sandalwood MHC'!G36+Glenhaven!G40+'Glenhaven Estates (gl317)'!G40+'Harbor Lights (ha310)'!G41+'Harbor Lights MHC'!G39+'Harvest Gate'!G49+'Hunter Run RV Estates'!G90+'Hunters Run RV Estates (hu116)'!G203+'Jade Isle (ja068)'!G32+'Jade Isle MHC'!G34+'Kakusha Estates (ka045)'!G38+'Kakusha MHC'!G37+'Lakeside Village'!G43+'Lakeside Village (la482)'!G45+'Lakewood Village (la481)'!G104+'Lakewood Village MHC LLC'!G124+'Maple Corner'!G57+'Maple Corner (ma490)'!G47+'Marlboro Court (ma489)'!G35+'Marlboro Court MHC LLC'!G35+'May Manor'!G139+'May Manor (ma488)'!G71+'Mobiland by the Sea (mo320)'!G40+'Mobiland By The Sea MHC'!G41+'Moss Landing'!G68+'Moss Landing (mo321)'!G60+'Oak Springs'!G72+'Oak Springs MHC (oa150)'!G48+'Orange Manor East'!G37+'Orange Manor East (or125)'!G40+'Pacific Manor'!G46+'Pacific Manor (pa602)'!G48+Parkhaven!G103+Ridgecrest!G53+Riverest!G47+'Riverview MHRV LLC'!G50+Rosehaven!G115+'Sanctuary RV Resort'!G227+'Shadow Mountain MHC'!G34+Springhaven!G34+'Star Valley Ranch'!G45+Sunhaven!G41+'Sunny Grove'!G40+Tarponaire!G44+'Val Vista RV Resort'!G73+'Webster RV Resort LLC'!G60+'Wekiva Falls RV Resort'!G84+'West Jupiter RV Resort'!G41+'Western Way RV Resort LLC'!G133</f>
      </c>
      <c r="H13" s="22">
        <f>'Agave Village (ag011)'!H66+'Agave Village LLC'!H55+'Brookhaven Estates (bo260)'!H48+'Brookhaven RV Resort'!H44+'Courtly Manor'!H37+'Courtly Manor Park (co669)'!H38+'Cross Creek RV'!H133+'Cross Creek RV Resort (cr994)'!H139+'El Rio De Oro (el289)'!H35+'El Rio del Oro'!H38+'Endless Summer RV Resort'!H56+'Endless Summer RV Resort (en079'!H48+Evergreen!H35+'Far Horizons'!H35+'Far Horizons (fa105)'!H35+'Floridian Sandalwood (fl356)'!H32+'Floridian Sandalwood MHC'!H36+Glenhaven!H40+'Glenhaven Estates (gl317)'!H40+'Harbor Lights (ha310)'!H41+'Harbor Lights MHC'!H39+'Harvest Gate'!H49+'Hunter Run RV Estates'!H90+'Hunters Run RV Estates (hu116)'!H203+'Jade Isle (ja068)'!H32+'Jade Isle MHC'!H34+'Kakusha Estates (ka045)'!H38+'Kakusha MHC'!H37+'Lakeside Village'!H43+'Lakeside Village (la482)'!H45+'Lakewood Village (la481)'!H104+'Lakewood Village MHC LLC'!H124+'Maple Corner'!H57+'Maple Corner (ma490)'!H47+'Marlboro Court (ma489)'!H35+'Marlboro Court MHC LLC'!H35+'May Manor'!H139+'May Manor (ma488)'!H71+'Mobiland by the Sea (mo320)'!H40+'Mobiland By The Sea MHC'!H41+'Moss Landing'!H68+'Moss Landing (mo321)'!H60+'Oak Springs'!H72+'Oak Springs MHC (oa150)'!H48+'Orange Manor East'!H37+'Orange Manor East (or125)'!H40+'Pacific Manor'!H46+'Pacific Manor (pa602)'!H48+Parkhaven!H103+Ridgecrest!H53+Riverest!H47+'Riverview MHRV LLC'!H50+Rosehaven!H115+'Sanctuary RV Resort'!H227+'Shadow Mountain MHC'!H34+Springhaven!H34+'Star Valley Ranch'!H45+Sunhaven!H41+'Sunny Grove'!H40+Tarponaire!H44+'Val Vista RV Resort'!H73+'Webster RV Resort LLC'!H60+'Wekiva Falls RV Resort'!H84+'West Jupiter RV Resort'!H41+'Western Way RV Resort LLC'!H133</f>
      </c>
      <c r="I13" s="22">
        <f>'Agave Village (ag011)'!I66+'Agave Village LLC'!I55+'Brookhaven Estates (bo260)'!I48+'Brookhaven RV Resort'!I44+'Courtly Manor'!I37+'Courtly Manor Park (co669)'!I38+'Cross Creek RV'!I133+'Cross Creek RV Resort (cr994)'!I139+'El Rio De Oro (el289)'!I35+'El Rio del Oro'!I38+'Endless Summer RV Resort'!I56+'Endless Summer RV Resort (en079'!I48+Evergreen!I35+'Far Horizons'!I35+'Far Horizons (fa105)'!I35+'Floridian Sandalwood (fl356)'!I32+'Floridian Sandalwood MHC'!I36+Glenhaven!I40+'Glenhaven Estates (gl317)'!I40+'Harbor Lights (ha310)'!I41+'Harbor Lights MHC'!I39+'Harvest Gate'!I49+'Hunter Run RV Estates'!I90+'Hunters Run RV Estates (hu116)'!I203+'Jade Isle (ja068)'!I32+'Jade Isle MHC'!I34+'Kakusha Estates (ka045)'!I38+'Kakusha MHC'!I37+'Lakeside Village'!I43+'Lakeside Village (la482)'!I45+'Lakewood Village (la481)'!I104+'Lakewood Village MHC LLC'!I124+'Maple Corner'!I57+'Maple Corner (ma490)'!I47+'Marlboro Court (ma489)'!I35+'Marlboro Court MHC LLC'!I35+'May Manor'!I139+'May Manor (ma488)'!I71+'Mobiland by the Sea (mo320)'!I40+'Mobiland By The Sea MHC'!I41+'Moss Landing'!I68+'Moss Landing (mo321)'!I60+'Oak Springs'!I72+'Oak Springs MHC (oa150)'!I48+'Orange Manor East'!I37+'Orange Manor East (or125)'!I40+'Pacific Manor'!I46+'Pacific Manor (pa602)'!I48+Parkhaven!I103+Ridgecrest!I53+Riverest!I47+'Riverview MHRV LLC'!I50+Rosehaven!I115+'Sanctuary RV Resort'!I227+'Shadow Mountain MHC'!I34+Springhaven!I34+'Star Valley Ranch'!I45+Sunhaven!I41+'Sunny Grove'!I40+Tarponaire!I44+'Val Vista RV Resort'!I73+'Webster RV Resort LLC'!I60+'Wekiva Falls RV Resort'!I84+'West Jupiter RV Resort'!I41+'Western Way RV Resort LLC'!I133</f>
      </c>
      <c r="J13" s="22">
        <f>'Agave Village (ag011)'!J66+'Agave Village LLC'!J55+'Brookhaven Estates (bo260)'!J48+'Brookhaven RV Resort'!J44+'Courtly Manor'!J37+'Courtly Manor Park (co669)'!J38+'Cross Creek RV'!J133+'Cross Creek RV Resort (cr994)'!J139+'El Rio De Oro (el289)'!J35+'El Rio del Oro'!J38+'Endless Summer RV Resort'!J56+'Endless Summer RV Resort (en079'!J48+Evergreen!J35+'Far Horizons'!J35+'Far Horizons (fa105)'!J35+'Floridian Sandalwood (fl356)'!J32+'Floridian Sandalwood MHC'!J36+Glenhaven!J40+'Glenhaven Estates (gl317)'!J40+'Harbor Lights (ha310)'!J41+'Harbor Lights MHC'!J39+'Harvest Gate'!J49+'Hunter Run RV Estates'!J90+'Hunters Run RV Estates (hu116)'!J203+'Jade Isle (ja068)'!J32+'Jade Isle MHC'!J34+'Kakusha Estates (ka045)'!J38+'Kakusha MHC'!J37+'Lakeside Village'!J43+'Lakeside Village (la482)'!J45+'Lakewood Village (la481)'!J104+'Lakewood Village MHC LLC'!J124+'Maple Corner'!J57+'Maple Corner (ma490)'!J47+'Marlboro Court (ma489)'!J35+'Marlboro Court MHC LLC'!J35+'May Manor'!J139+'May Manor (ma488)'!J71+'Mobiland by the Sea (mo320)'!J40+'Mobiland By The Sea MHC'!J41+'Moss Landing'!J68+'Moss Landing (mo321)'!J60+'Oak Springs'!J72+'Oak Springs MHC (oa150)'!J48+'Orange Manor East'!J37+'Orange Manor East (or125)'!J40+'Pacific Manor'!J46+'Pacific Manor (pa602)'!J48+Parkhaven!J103+Ridgecrest!J53+Riverest!J47+'Riverview MHRV LLC'!J50+Rosehaven!J115+'Sanctuary RV Resort'!J227+'Shadow Mountain MHC'!J34+Springhaven!J34+'Star Valley Ranch'!J45+Sunhaven!J41+'Sunny Grove'!J40+Tarponaire!J44+'Val Vista RV Resort'!J73+'Webster RV Resort LLC'!J60+'Wekiva Falls RV Resort'!J84+'West Jupiter RV Resort'!J41+'Western Way RV Resort LLC'!J133</f>
      </c>
      <c r="K13" s="22">
        <f>'Agave Village (ag011)'!K66+'Agave Village LLC'!K55+'Brookhaven Estates (bo260)'!K48+'Brookhaven RV Resort'!K44+'Courtly Manor'!K37+'Courtly Manor Park (co669)'!K38+'Cross Creek RV'!K133+'Cross Creek RV Resort (cr994)'!K139+'El Rio De Oro (el289)'!K35+'El Rio del Oro'!K38+'Endless Summer RV Resort'!K56+'Endless Summer RV Resort (en079'!K48+Evergreen!K35+'Far Horizons'!K35+'Far Horizons (fa105)'!K35+'Floridian Sandalwood (fl356)'!K32+'Floridian Sandalwood MHC'!K36+Glenhaven!K40+'Glenhaven Estates (gl317)'!K40+'Harbor Lights (ha310)'!K41+'Harbor Lights MHC'!K39+'Harvest Gate'!K49+'Hunter Run RV Estates'!K90+'Hunters Run RV Estates (hu116)'!K203+'Jade Isle (ja068)'!K32+'Jade Isle MHC'!K34+'Kakusha Estates (ka045)'!K38+'Kakusha MHC'!K37+'Lakeside Village'!K43+'Lakeside Village (la482)'!K45+'Lakewood Village (la481)'!K104+'Lakewood Village MHC LLC'!K124+'Maple Corner'!K57+'Maple Corner (ma490)'!K47+'Marlboro Court (ma489)'!K35+'Marlboro Court MHC LLC'!K35+'May Manor'!K139+'May Manor (ma488)'!K71+'Mobiland by the Sea (mo320)'!K40+'Mobiland By The Sea MHC'!K41+'Moss Landing'!K68+'Moss Landing (mo321)'!K60+'Oak Springs'!K72+'Oak Springs MHC (oa150)'!K48+'Orange Manor East'!K37+'Orange Manor East (or125)'!K40+'Pacific Manor'!K46+'Pacific Manor (pa602)'!K48+Parkhaven!K103+Ridgecrest!K53+Riverest!K47+'Riverview MHRV LLC'!K50+Rosehaven!K115+'Sanctuary RV Resort'!K227+'Shadow Mountain MHC'!K34+Springhaven!K34+'Star Valley Ranch'!K45+Sunhaven!K41+'Sunny Grove'!K40+Tarponaire!K44+'Val Vista RV Resort'!K73+'Webster RV Resort LLC'!K60+'Wekiva Falls RV Resort'!K84+'West Jupiter RV Resort'!K41+'Western Way RV Resort LLC'!K133</f>
      </c>
      <c r="L13" s="22">
        <f>'Agave Village (ag011)'!L66+'Agave Village LLC'!L55+'Brookhaven Estates (bo260)'!L48+'Brookhaven RV Resort'!L44+'Courtly Manor'!L37+'Courtly Manor Park (co669)'!L38+'Cross Creek RV'!L133+'Cross Creek RV Resort (cr994)'!L139+'El Rio De Oro (el289)'!L35+'El Rio del Oro'!L38+'Endless Summer RV Resort'!L56+'Endless Summer RV Resort (en079'!L48+Evergreen!L35+'Far Horizons'!L35+'Far Horizons (fa105)'!L35+'Floridian Sandalwood (fl356)'!L32+'Floridian Sandalwood MHC'!L36+Glenhaven!L40+'Glenhaven Estates (gl317)'!L40+'Harbor Lights (ha310)'!L41+'Harbor Lights MHC'!L39+'Harvest Gate'!L49+'Hunter Run RV Estates'!L90+'Hunters Run RV Estates (hu116)'!L203+'Jade Isle (ja068)'!L32+'Jade Isle MHC'!L34+'Kakusha Estates (ka045)'!L38+'Kakusha MHC'!L37+'Lakeside Village'!L43+'Lakeside Village (la482)'!L45+'Lakewood Village (la481)'!L104+'Lakewood Village MHC LLC'!L124+'Maple Corner'!L57+'Maple Corner (ma490)'!L47+'Marlboro Court (ma489)'!L35+'Marlboro Court MHC LLC'!L35+'May Manor'!L139+'May Manor (ma488)'!L71+'Mobiland by the Sea (mo320)'!L40+'Mobiland By The Sea MHC'!L41+'Moss Landing'!L68+'Moss Landing (mo321)'!L60+'Oak Springs'!L72+'Oak Springs MHC (oa150)'!L48+'Orange Manor East'!L37+'Orange Manor East (or125)'!L40+'Pacific Manor'!L46+'Pacific Manor (pa602)'!L48+Parkhaven!L103+Ridgecrest!L53+Riverest!L47+'Riverview MHRV LLC'!L50+Rosehaven!L115+'Sanctuary RV Resort'!L227+'Shadow Mountain MHC'!L34+Springhaven!L34+'Star Valley Ranch'!L45+Sunhaven!L41+'Sunny Grove'!L40+Tarponaire!L44+'Val Vista RV Resort'!L73+'Webster RV Resort LLC'!L60+'Wekiva Falls RV Resort'!L84+'West Jupiter RV Resort'!L41+'Western Way RV Resort LLC'!L133</f>
      </c>
      <c r="M13" s="22">
        <f>'Agave Village (ag011)'!M66+'Agave Village LLC'!M55+'Brookhaven Estates (bo260)'!M48+'Brookhaven RV Resort'!M44+'Courtly Manor'!M37+'Courtly Manor Park (co669)'!M38+'Cross Creek RV'!M133+'Cross Creek RV Resort (cr994)'!M139+'El Rio De Oro (el289)'!M35+'El Rio del Oro'!M38+'Endless Summer RV Resort'!M56+'Endless Summer RV Resort (en079'!M48+Evergreen!M35+'Far Horizons'!M35+'Far Horizons (fa105)'!M35+'Floridian Sandalwood (fl356)'!M32+'Floridian Sandalwood MHC'!M36+Glenhaven!M40+'Glenhaven Estates (gl317)'!M40+'Harbor Lights (ha310)'!M41+'Harbor Lights MHC'!M39+'Harvest Gate'!M49+'Hunter Run RV Estates'!M90+'Hunters Run RV Estates (hu116)'!M203+'Jade Isle (ja068)'!M32+'Jade Isle MHC'!M34+'Kakusha Estates (ka045)'!M38+'Kakusha MHC'!M37+'Lakeside Village'!M43+'Lakeside Village (la482)'!M45+'Lakewood Village (la481)'!M104+'Lakewood Village MHC LLC'!M124+'Maple Corner'!M57+'Maple Corner (ma490)'!M47+'Marlboro Court (ma489)'!M35+'Marlboro Court MHC LLC'!M35+'May Manor'!M139+'May Manor (ma488)'!M71+'Mobiland by the Sea (mo320)'!M40+'Mobiland By The Sea MHC'!M41+'Moss Landing'!M68+'Moss Landing (mo321)'!M60+'Oak Springs'!M72+'Oak Springs MHC (oa150)'!M48+'Orange Manor East'!M37+'Orange Manor East (or125)'!M40+'Pacific Manor'!M46+'Pacific Manor (pa602)'!M48+Parkhaven!M103+Ridgecrest!M53+Riverest!M47+'Riverview MHRV LLC'!M50+Rosehaven!M115+'Sanctuary RV Resort'!M227+'Shadow Mountain MHC'!M34+Springhaven!M34+'Star Valley Ranch'!M45+Sunhaven!M41+'Sunny Grove'!M40+Tarponaire!M44+'Val Vista RV Resort'!M73+'Webster RV Resort LLC'!M60+'Wekiva Falls RV Resort'!M84+'West Jupiter RV Resort'!M41+'Western Way RV Resort LLC'!M133</f>
      </c>
      <c r="N13" s="22">
        <f>'Agave Village (ag011)'!N66+'Agave Village LLC'!N55+'Brookhaven Estates (bo260)'!N48+'Brookhaven RV Resort'!N44+'Courtly Manor'!N37+'Courtly Manor Park (co669)'!N38+'Cross Creek RV'!N133+'Cross Creek RV Resort (cr994)'!N139+'El Rio De Oro (el289)'!N35+'El Rio del Oro'!N38+'Endless Summer RV Resort'!N56+'Endless Summer RV Resort (en079'!N48+Evergreen!N35+'Far Horizons'!N35+'Far Horizons (fa105)'!N35+'Floridian Sandalwood (fl356)'!N32+'Floridian Sandalwood MHC'!N36+Glenhaven!N40+'Glenhaven Estates (gl317)'!N40+'Harbor Lights (ha310)'!N41+'Harbor Lights MHC'!N39+'Harvest Gate'!N49+'Hunter Run RV Estates'!N90+'Hunters Run RV Estates (hu116)'!N203+'Jade Isle (ja068)'!N32+'Jade Isle MHC'!N34+'Kakusha Estates (ka045)'!N38+'Kakusha MHC'!N37+'Lakeside Village'!N43+'Lakeside Village (la482)'!N45+'Lakewood Village (la481)'!N104+'Lakewood Village MHC LLC'!N124+'Maple Corner'!N57+'Maple Corner (ma490)'!N47+'Marlboro Court (ma489)'!N35+'Marlboro Court MHC LLC'!N35+'May Manor'!N139+'May Manor (ma488)'!N71+'Mobiland by the Sea (mo320)'!N40+'Mobiland By The Sea MHC'!N41+'Moss Landing'!N68+'Moss Landing (mo321)'!N60+'Oak Springs'!N72+'Oak Springs MHC (oa150)'!N48+'Orange Manor East'!N37+'Orange Manor East (or125)'!N40+'Pacific Manor'!N46+'Pacific Manor (pa602)'!N48+Parkhaven!N103+Ridgecrest!N53+Riverest!N47+'Riverview MHRV LLC'!N50+Rosehaven!N115+'Sanctuary RV Resort'!N227+'Shadow Mountain MHC'!N34+Springhaven!N34+'Star Valley Ranch'!N45+Sunhaven!N41+'Sunny Grove'!N40+Tarponaire!N44+'Val Vista RV Resort'!N73+'Webster RV Resort LLC'!N60+'Wekiva Falls RV Resort'!N84+'West Jupiter RV Resort'!N41+'Western Way RV Resort LLC'!N133</f>
      </c>
      <c r="O13" s="22">
        <f>'Agave Village (ag011)'!O66+'Agave Village LLC'!O55+'Brookhaven Estates (bo260)'!O48+'Brookhaven RV Resort'!O44+'Courtly Manor'!O37+'Courtly Manor Park (co669)'!O38+'Cross Creek RV'!O133+'Cross Creek RV Resort (cr994)'!O139+'El Rio De Oro (el289)'!O35+'El Rio del Oro'!O38+'Endless Summer RV Resort'!O56+'Endless Summer RV Resort (en079'!O48+Evergreen!O35+'Far Horizons'!O35+'Far Horizons (fa105)'!O35+'Floridian Sandalwood (fl356)'!O32+'Floridian Sandalwood MHC'!O36+Glenhaven!O40+'Glenhaven Estates (gl317)'!O40+'Harbor Lights (ha310)'!O41+'Harbor Lights MHC'!O39+'Harvest Gate'!O49+'Hunter Run RV Estates'!O90+'Hunters Run RV Estates (hu116)'!O203+'Jade Isle (ja068)'!O32+'Jade Isle MHC'!O34+'Kakusha Estates (ka045)'!O38+'Kakusha MHC'!O37+'Lakeside Village'!O43+'Lakeside Village (la482)'!O45+'Lakewood Village (la481)'!O104+'Lakewood Village MHC LLC'!O124+'Maple Corner'!O57+'Maple Corner (ma490)'!O47+'Marlboro Court (ma489)'!O35+'Marlboro Court MHC LLC'!O35+'May Manor'!O139+'May Manor (ma488)'!O71+'Mobiland by the Sea (mo320)'!O40+'Mobiland By The Sea MHC'!O41+'Moss Landing'!O68+'Moss Landing (mo321)'!O60+'Oak Springs'!O72+'Oak Springs MHC (oa150)'!O48+'Orange Manor East'!O37+'Orange Manor East (or125)'!O40+'Pacific Manor'!O46+'Pacific Manor (pa602)'!O48+Parkhaven!O103+Ridgecrest!O53+Riverest!O47+'Riverview MHRV LLC'!O50+Rosehaven!O115+'Sanctuary RV Resort'!O227+'Shadow Mountain MHC'!O34+Springhaven!O34+'Star Valley Ranch'!O45+Sunhaven!O41+'Sunny Grove'!O40+Tarponaire!O44+'Val Vista RV Resort'!O73+'Webster RV Resort LLC'!O60+'Wekiva Falls RV Resort'!O84+'West Jupiter RV Resort'!O41+'Western Way RV Resort LLC'!O133</f>
      </c>
      <c r="P13" s="22">
        <f>'Agave Village (ag011)'!P66+'Agave Village LLC'!P55+'Brookhaven Estates (bo260)'!P48+'Brookhaven RV Resort'!P44+'Courtly Manor'!P37+'Courtly Manor Park (co669)'!P38+'Cross Creek RV'!P133+'Cross Creek RV Resort (cr994)'!P139+'El Rio De Oro (el289)'!P35+'El Rio del Oro'!P38+'Endless Summer RV Resort'!P56+'Endless Summer RV Resort (en079'!P48+Evergreen!P35+'Far Horizons'!P35+'Far Horizons (fa105)'!P35+'Floridian Sandalwood (fl356)'!P32+'Floridian Sandalwood MHC'!P36+Glenhaven!P40+'Glenhaven Estates (gl317)'!P40+'Harbor Lights (ha310)'!P41+'Harbor Lights MHC'!P39+'Harvest Gate'!P49+'Hunter Run RV Estates'!P90+'Hunters Run RV Estates (hu116)'!P203+'Jade Isle (ja068)'!P32+'Jade Isle MHC'!P34+'Kakusha Estates (ka045)'!P38+'Kakusha MHC'!P37+'Lakeside Village'!P43+'Lakeside Village (la482)'!P45+'Lakewood Village (la481)'!P104+'Lakewood Village MHC LLC'!P124+'Maple Corner'!P57+'Maple Corner (ma490)'!P47+'Marlboro Court (ma489)'!P35+'Marlboro Court MHC LLC'!P35+'May Manor'!P139+'May Manor (ma488)'!P71+'Mobiland by the Sea (mo320)'!P40+'Mobiland By The Sea MHC'!P41+'Moss Landing'!P68+'Moss Landing (mo321)'!P60+'Oak Springs'!P72+'Oak Springs MHC (oa150)'!P48+'Orange Manor East'!P37+'Orange Manor East (or125)'!P40+'Pacific Manor'!P46+'Pacific Manor (pa602)'!P48+Parkhaven!P103+Ridgecrest!P53+Riverest!P47+'Riverview MHRV LLC'!P50+Rosehaven!P115+'Sanctuary RV Resort'!P227+'Shadow Mountain MHC'!P34+Springhaven!P34+'Star Valley Ranch'!P45+Sunhaven!P41+'Sunny Grove'!P40+Tarponaire!P44+'Val Vista RV Resort'!P73+'Webster RV Resort LLC'!P60+'Wekiva Falls RV Resort'!P84+'West Jupiter RV Resort'!P41+'Western Way RV Resort LLC'!P133</f>
      </c>
      <c r="Q13" s="22">
        <f>'Agave Village (ag011)'!Q66+'Agave Village LLC'!Q55+'Brookhaven Estates (bo260)'!Q48+'Brookhaven RV Resort'!Q44+'Courtly Manor'!Q37+'Courtly Manor Park (co669)'!Q38+'Cross Creek RV'!Q133+'Cross Creek RV Resort (cr994)'!Q139+'El Rio De Oro (el289)'!Q35+'El Rio del Oro'!Q38+'Endless Summer RV Resort'!Q56+'Endless Summer RV Resort (en079'!Q48+Evergreen!Q35+'Far Horizons'!Q35+'Far Horizons (fa105)'!Q35+'Floridian Sandalwood (fl356)'!Q32+'Floridian Sandalwood MHC'!Q36+Glenhaven!Q40+'Glenhaven Estates (gl317)'!Q40+'Harbor Lights (ha310)'!Q41+'Harbor Lights MHC'!Q39+'Harvest Gate'!Q49+'Hunter Run RV Estates'!Q90+'Hunters Run RV Estates (hu116)'!Q203+'Jade Isle (ja068)'!Q32+'Jade Isle MHC'!Q34+'Kakusha Estates (ka045)'!Q38+'Kakusha MHC'!Q37+'Lakeside Village'!Q43+'Lakeside Village (la482)'!Q45+'Lakewood Village (la481)'!Q104+'Lakewood Village MHC LLC'!Q124+'Maple Corner'!Q57+'Maple Corner (ma490)'!Q47+'Marlboro Court (ma489)'!Q35+'Marlboro Court MHC LLC'!Q35+'May Manor'!Q139+'May Manor (ma488)'!Q71+'Mobiland by the Sea (mo320)'!Q40+'Mobiland By The Sea MHC'!Q41+'Moss Landing'!Q68+'Moss Landing (mo321)'!Q60+'Oak Springs'!Q72+'Oak Springs MHC (oa150)'!Q48+'Orange Manor East'!Q37+'Orange Manor East (or125)'!Q40+'Pacific Manor'!Q46+'Pacific Manor (pa602)'!Q48+Parkhaven!Q103+Ridgecrest!Q53+Riverest!Q47+'Riverview MHRV LLC'!Q50+Rosehaven!Q115+'Sanctuary RV Resort'!Q227+'Shadow Mountain MHC'!Q34+Springhaven!Q34+'Star Valley Ranch'!Q45+Sunhaven!Q41+'Sunny Grove'!Q40+Tarponaire!Q44+'Val Vista RV Resort'!Q73+'Webster RV Resort LLC'!Q60+'Wekiva Falls RV Resort'!Q84+'West Jupiter RV Resort'!Q41+'Western Way RV Resort LLC'!Q133</f>
      </c>
      <c r="R13" s="22">
        <f>'Agave Village (ag011)'!R66+'Agave Village LLC'!R55+'Brookhaven Estates (bo260)'!R48+'Brookhaven RV Resort'!R44+'Courtly Manor'!R37+'Courtly Manor Park (co669)'!R38+'Cross Creek RV'!R133+'Cross Creek RV Resort (cr994)'!R139+'El Rio De Oro (el289)'!R35+'El Rio del Oro'!R38+'Endless Summer RV Resort'!R56+'Endless Summer RV Resort (en079'!R48+Evergreen!R35+'Far Horizons'!R35+'Far Horizons (fa105)'!R35+'Floridian Sandalwood (fl356)'!R32+'Floridian Sandalwood MHC'!R36+Glenhaven!R40+'Glenhaven Estates (gl317)'!R40+'Harbor Lights (ha310)'!R41+'Harbor Lights MHC'!R39+'Harvest Gate'!R49+'Hunter Run RV Estates'!R90+'Hunters Run RV Estates (hu116)'!R203+'Jade Isle (ja068)'!R32+'Jade Isle MHC'!R34+'Kakusha Estates (ka045)'!R38+'Kakusha MHC'!R37+'Lakeside Village'!R43+'Lakeside Village (la482)'!R45+'Lakewood Village (la481)'!R104+'Lakewood Village MHC LLC'!R124+'Maple Corner'!R57+'Maple Corner (ma490)'!R47+'Marlboro Court (ma489)'!R35+'Marlboro Court MHC LLC'!R35+'May Manor'!R139+'May Manor (ma488)'!R71+'Mobiland by the Sea (mo320)'!R40+'Mobiland By The Sea MHC'!R41+'Moss Landing'!R68+'Moss Landing (mo321)'!R60+'Oak Springs'!R72+'Oak Springs MHC (oa150)'!R48+'Orange Manor East'!R37+'Orange Manor East (or125)'!R40+'Pacific Manor'!R46+'Pacific Manor (pa602)'!R48+Parkhaven!R103+Ridgecrest!R53+Riverest!R47+'Riverview MHRV LLC'!R50+Rosehaven!R115+'Sanctuary RV Resort'!R227+'Shadow Mountain MHC'!R34+Springhaven!R34+'Star Valley Ranch'!R45+Sunhaven!R41+'Sunny Grove'!R40+Tarponaire!R44+'Val Vista RV Resort'!R73+'Webster RV Resort LLC'!R60+'Wekiva Falls RV Resort'!R84+'West Jupiter RV Resort'!R41+'Western Way RV Resort LLC'!R133</f>
      </c>
      <c r="S13" s="22">
        <f>'Agave Village (ag011)'!S66+'Agave Village LLC'!S55+'Brookhaven Estates (bo260)'!S48+'Brookhaven RV Resort'!S44+'Courtly Manor'!S37+'Courtly Manor Park (co669)'!S38+'Cross Creek RV'!S133+'Cross Creek RV Resort (cr994)'!S139+'El Rio De Oro (el289)'!S35+'El Rio del Oro'!S38+'Endless Summer RV Resort'!S56+'Endless Summer RV Resort (en079'!S48+Evergreen!S35+'Far Horizons'!S35+'Far Horizons (fa105)'!S35+'Floridian Sandalwood (fl356)'!S32+'Floridian Sandalwood MHC'!S36+Glenhaven!S40+'Glenhaven Estates (gl317)'!S40+'Harbor Lights (ha310)'!S41+'Harbor Lights MHC'!S39+'Harvest Gate'!S49+'Hunter Run RV Estates'!S90+'Hunters Run RV Estates (hu116)'!S203+'Jade Isle (ja068)'!S32+'Jade Isle MHC'!S34+'Kakusha Estates (ka045)'!S38+'Kakusha MHC'!S37+'Lakeside Village'!S43+'Lakeside Village (la482)'!S45+'Lakewood Village (la481)'!S104+'Lakewood Village MHC LLC'!S124+'Maple Corner'!S57+'Maple Corner (ma490)'!S47+'Marlboro Court (ma489)'!S35+'Marlboro Court MHC LLC'!S35+'May Manor'!S139+'May Manor (ma488)'!S71+'Mobiland by the Sea (mo320)'!S40+'Mobiland By The Sea MHC'!S41+'Moss Landing'!S68+'Moss Landing (mo321)'!S60+'Oak Springs'!S72+'Oak Springs MHC (oa150)'!S48+'Orange Manor East'!S37+'Orange Manor East (or125)'!S40+'Pacific Manor'!S46+'Pacific Manor (pa602)'!S48+Parkhaven!S103+Ridgecrest!S53+Riverest!S47+'Riverview MHRV LLC'!S50+Rosehaven!S115+'Sanctuary RV Resort'!S227+'Shadow Mountain MHC'!S34+Springhaven!S34+'Star Valley Ranch'!S45+Sunhaven!S41+'Sunny Grove'!S40+Tarponaire!S44+'Val Vista RV Resort'!S73+'Webster RV Resort LLC'!S60+'Wekiva Falls RV Resort'!S84+'West Jupiter RV Resort'!S41+'Western Way RV Resort LLC'!S133</f>
      </c>
      <c r="T13" s="22">
        <f>'Agave Village (ag011)'!T66+'Agave Village LLC'!T55+'Brookhaven Estates (bo260)'!T48+'Brookhaven RV Resort'!T44+'Courtly Manor'!T37+'Courtly Manor Park (co669)'!T38+'Cross Creek RV'!T133+'Cross Creek RV Resort (cr994)'!T139+'El Rio De Oro (el289)'!T35+'El Rio del Oro'!T38+'Endless Summer RV Resort'!T56+'Endless Summer RV Resort (en079'!T48+Evergreen!T35+'Far Horizons'!T35+'Far Horizons (fa105)'!T35+'Floridian Sandalwood (fl356)'!T32+'Floridian Sandalwood MHC'!T36+Glenhaven!T40+'Glenhaven Estates (gl317)'!T40+'Harbor Lights (ha310)'!T41+'Harbor Lights MHC'!T39+'Harvest Gate'!T49+'Hunter Run RV Estates'!T90+'Hunters Run RV Estates (hu116)'!T203+'Jade Isle (ja068)'!T32+'Jade Isle MHC'!T34+'Kakusha Estates (ka045)'!T38+'Kakusha MHC'!T37+'Lakeside Village'!T43+'Lakeside Village (la482)'!T45+'Lakewood Village (la481)'!T104+'Lakewood Village MHC LLC'!T124+'Maple Corner'!T57+'Maple Corner (ma490)'!T47+'Marlboro Court (ma489)'!T35+'Marlboro Court MHC LLC'!T35+'May Manor'!T139+'May Manor (ma488)'!T71+'Mobiland by the Sea (mo320)'!T40+'Mobiland By The Sea MHC'!T41+'Moss Landing'!T68+'Moss Landing (mo321)'!T60+'Oak Springs'!T72+'Oak Springs MHC (oa150)'!T48+'Orange Manor East'!T37+'Orange Manor East (or125)'!T40+'Pacific Manor'!T46+'Pacific Manor (pa602)'!T48+Parkhaven!T103+Ridgecrest!T53+Riverest!T47+'Riverview MHRV LLC'!T50+Rosehaven!T115+'Sanctuary RV Resort'!T227+'Shadow Mountain MHC'!T34+Springhaven!T34+'Star Valley Ranch'!T45+Sunhaven!T41+'Sunny Grove'!T40+Tarponaire!T44+'Val Vista RV Resort'!T73+'Webster RV Resort LLC'!T60+'Wekiva Falls RV Resort'!T84+'West Jupiter RV Resort'!T41+'Western Way RV Resort LLC'!T133</f>
      </c>
      <c r="U13" s="22">
        <f>'Agave Village (ag011)'!U66+'Agave Village LLC'!U55+'Brookhaven Estates (bo260)'!U48+'Brookhaven RV Resort'!U44+'Courtly Manor'!U37+'Courtly Manor Park (co669)'!U38+'Cross Creek RV'!U133+'Cross Creek RV Resort (cr994)'!U139+'El Rio De Oro (el289)'!U35+'El Rio del Oro'!U38+'Endless Summer RV Resort'!U56+'Endless Summer RV Resort (en079'!U48+Evergreen!U35+'Far Horizons'!U35+'Far Horizons (fa105)'!U35+'Floridian Sandalwood (fl356)'!U32+'Floridian Sandalwood MHC'!U36+Glenhaven!U40+'Glenhaven Estates (gl317)'!U40+'Harbor Lights (ha310)'!U41+'Harbor Lights MHC'!U39+'Harvest Gate'!U49+'Hunter Run RV Estates'!U90+'Hunters Run RV Estates (hu116)'!U203+'Jade Isle (ja068)'!U32+'Jade Isle MHC'!U34+'Kakusha Estates (ka045)'!U38+'Kakusha MHC'!U37+'Lakeside Village'!U43+'Lakeside Village (la482)'!U45+'Lakewood Village (la481)'!U104+'Lakewood Village MHC LLC'!U124+'Maple Corner'!U57+'Maple Corner (ma490)'!U47+'Marlboro Court (ma489)'!U35+'Marlboro Court MHC LLC'!U35+'May Manor'!U139+'May Manor (ma488)'!U71+'Mobiland by the Sea (mo320)'!U40+'Mobiland By The Sea MHC'!U41+'Moss Landing'!U68+'Moss Landing (mo321)'!U60+'Oak Springs'!U72+'Oak Springs MHC (oa150)'!U48+'Orange Manor East'!U37+'Orange Manor East (or125)'!U40+'Pacific Manor'!U46+'Pacific Manor (pa602)'!U48+Parkhaven!U103+Ridgecrest!U53+Riverest!U47+'Riverview MHRV LLC'!U50+Rosehaven!U115+'Sanctuary RV Resort'!U227+'Shadow Mountain MHC'!U34+Springhaven!U34+'Star Valley Ranch'!U45+Sunhaven!U41+'Sunny Grove'!U40+Tarponaire!U44+'Val Vista RV Resort'!U73+'Webster RV Resort LLC'!U60+'Wekiva Falls RV Resort'!U84+'West Jupiter RV Resort'!U41+'Western Way RV Resort LLC'!U133</f>
      </c>
      <c r="V13" s="22">
        <f>'Agave Village (ag011)'!V66+'Agave Village LLC'!V55+'Brookhaven Estates (bo260)'!V48+'Brookhaven RV Resort'!V44+'Courtly Manor'!V37+'Courtly Manor Park (co669)'!V38+'Cross Creek RV'!V133+'Cross Creek RV Resort (cr994)'!V139+'El Rio De Oro (el289)'!V35+'El Rio del Oro'!V38+'Endless Summer RV Resort'!V56+'Endless Summer RV Resort (en079'!V48+Evergreen!V35+'Far Horizons'!V35+'Far Horizons (fa105)'!V35+'Floridian Sandalwood (fl356)'!V32+'Floridian Sandalwood MHC'!V36+Glenhaven!V40+'Glenhaven Estates (gl317)'!V40+'Harbor Lights (ha310)'!V41+'Harbor Lights MHC'!V39+'Harvest Gate'!V49+'Hunter Run RV Estates'!V90+'Hunters Run RV Estates (hu116)'!V203+'Jade Isle (ja068)'!V32+'Jade Isle MHC'!V34+'Kakusha Estates (ka045)'!V38+'Kakusha MHC'!V37+'Lakeside Village'!V43+'Lakeside Village (la482)'!V45+'Lakewood Village (la481)'!V104+'Lakewood Village MHC LLC'!V124+'Maple Corner'!V57+'Maple Corner (ma490)'!V47+'Marlboro Court (ma489)'!V35+'Marlboro Court MHC LLC'!V35+'May Manor'!V139+'May Manor (ma488)'!V71+'Mobiland by the Sea (mo320)'!V40+'Mobiland By The Sea MHC'!V41+'Moss Landing'!V68+'Moss Landing (mo321)'!V60+'Oak Springs'!V72+'Oak Springs MHC (oa150)'!V48+'Orange Manor East'!V37+'Orange Manor East (or125)'!V40+'Pacific Manor'!V46+'Pacific Manor (pa602)'!V48+Parkhaven!V103+Ridgecrest!V53+Riverest!V47+'Riverview MHRV LLC'!V50+Rosehaven!V115+'Sanctuary RV Resort'!V227+'Shadow Mountain MHC'!V34+Springhaven!V34+'Star Valley Ranch'!V45+Sunhaven!V41+'Sunny Grove'!V40+Tarponaire!V44+'Val Vista RV Resort'!V73+'Webster RV Resort LLC'!V60+'Wekiva Falls RV Resort'!V84+'West Jupiter RV Resort'!V41+'Western Way RV Resort LLC'!V133</f>
      </c>
      <c r="W13" s="22">
        <f>'Agave Village (ag011)'!W66+'Agave Village LLC'!W55+'Brookhaven Estates (bo260)'!W48+'Brookhaven RV Resort'!W44+'Courtly Manor'!W37+'Courtly Manor Park (co669)'!W38+'Cross Creek RV'!W133+'Cross Creek RV Resort (cr994)'!W139+'El Rio De Oro (el289)'!W35+'El Rio del Oro'!W38+'Endless Summer RV Resort'!W56+'Endless Summer RV Resort (en079'!W48+Evergreen!W35+'Far Horizons'!W35+'Far Horizons (fa105)'!W35+'Floridian Sandalwood (fl356)'!W32+'Floridian Sandalwood MHC'!W36+Glenhaven!W40+'Glenhaven Estates (gl317)'!W40+'Harbor Lights (ha310)'!W41+'Harbor Lights MHC'!W39+'Harvest Gate'!W49+'Hunter Run RV Estates'!W90+'Hunters Run RV Estates (hu116)'!W203+'Jade Isle (ja068)'!W32+'Jade Isle MHC'!W34+'Kakusha Estates (ka045)'!W38+'Kakusha MHC'!W37+'Lakeside Village'!W43+'Lakeside Village (la482)'!W45+'Lakewood Village (la481)'!W104+'Lakewood Village MHC LLC'!W124+'Maple Corner'!W57+'Maple Corner (ma490)'!W47+'Marlboro Court (ma489)'!W35+'Marlboro Court MHC LLC'!W35+'May Manor'!W139+'May Manor (ma488)'!W71+'Mobiland by the Sea (mo320)'!W40+'Mobiland By The Sea MHC'!W41+'Moss Landing'!W68+'Moss Landing (mo321)'!W60+'Oak Springs'!W72+'Oak Springs MHC (oa150)'!W48+'Orange Manor East'!W37+'Orange Manor East (or125)'!W40+'Pacific Manor'!W46+'Pacific Manor (pa602)'!W48+Parkhaven!W103+Ridgecrest!W53+Riverest!W47+'Riverview MHRV LLC'!W50+Rosehaven!W115+'Sanctuary RV Resort'!W227+'Shadow Mountain MHC'!W34+Springhaven!W34+'Star Valley Ranch'!W45+Sunhaven!W41+'Sunny Grove'!W40+Tarponaire!W44+'Val Vista RV Resort'!W73+'Webster RV Resort LLC'!W60+'Wekiva Falls RV Resort'!W84+'West Jupiter RV Resort'!W41+'Western Way RV Resort LLC'!W133</f>
      </c>
      <c r="X13" s="22">
        <f>'Agave Village (ag011)'!X66+'Agave Village LLC'!X55+'Brookhaven Estates (bo260)'!X48+'Brookhaven RV Resort'!X44+'Courtly Manor'!X37+'Courtly Manor Park (co669)'!X38+'Cross Creek RV'!X133+'Cross Creek RV Resort (cr994)'!X139+'El Rio De Oro (el289)'!X35+'El Rio del Oro'!X38+'Endless Summer RV Resort'!X56+'Endless Summer RV Resort (en079'!X48+Evergreen!X35+'Far Horizons'!X35+'Far Horizons (fa105)'!X35+'Floridian Sandalwood (fl356)'!X32+'Floridian Sandalwood MHC'!X36+Glenhaven!X40+'Glenhaven Estates (gl317)'!X40+'Harbor Lights (ha310)'!X41+'Harbor Lights MHC'!X39+'Harvest Gate'!X49+'Hunter Run RV Estates'!X90+'Hunters Run RV Estates (hu116)'!X203+'Jade Isle (ja068)'!X32+'Jade Isle MHC'!X34+'Kakusha Estates (ka045)'!X38+'Kakusha MHC'!X37+'Lakeside Village'!X43+'Lakeside Village (la482)'!X45+'Lakewood Village (la481)'!X104+'Lakewood Village MHC LLC'!X124+'Maple Corner'!X57+'Maple Corner (ma490)'!X47+'Marlboro Court (ma489)'!X35+'Marlboro Court MHC LLC'!X35+'May Manor'!X139+'May Manor (ma488)'!X71+'Mobiland by the Sea (mo320)'!X40+'Mobiland By The Sea MHC'!X41+'Moss Landing'!X68+'Moss Landing (mo321)'!X60+'Oak Springs'!X72+'Oak Springs MHC (oa150)'!X48+'Orange Manor East'!X37+'Orange Manor East (or125)'!X40+'Pacific Manor'!X46+'Pacific Manor (pa602)'!X48+Parkhaven!X103+Ridgecrest!X53+Riverest!X47+'Riverview MHRV LLC'!X50+Rosehaven!X115+'Sanctuary RV Resort'!X227+'Shadow Mountain MHC'!X34+Springhaven!X34+'Star Valley Ranch'!X45+Sunhaven!X41+'Sunny Grove'!X40+Tarponaire!X44+'Val Vista RV Resort'!X73+'Webster RV Resort LLC'!X60+'Wekiva Falls RV Resort'!X84+'West Jupiter RV Resort'!X41+'Western Way RV Resort LLC'!X133</f>
      </c>
      <c r="Y13" s="22">
        <f>'Agave Village (ag011)'!Y66+'Agave Village LLC'!Y55+'Brookhaven Estates (bo260)'!Y48+'Brookhaven RV Resort'!Y44+'Courtly Manor'!Y37+'Courtly Manor Park (co669)'!Y38+'Cross Creek RV'!Y133+'Cross Creek RV Resort (cr994)'!Y139+'El Rio De Oro (el289)'!Y35+'El Rio del Oro'!Y38+'Endless Summer RV Resort'!Y56+'Endless Summer RV Resort (en079'!Y48+Evergreen!Y35+'Far Horizons'!Y35+'Far Horizons (fa105)'!Y35+'Floridian Sandalwood (fl356)'!Y32+'Floridian Sandalwood MHC'!Y36+Glenhaven!Y40+'Glenhaven Estates (gl317)'!Y40+'Harbor Lights (ha310)'!Y41+'Harbor Lights MHC'!Y39+'Harvest Gate'!Y49+'Hunter Run RV Estates'!Y90+'Hunters Run RV Estates (hu116)'!Y203+'Jade Isle (ja068)'!Y32+'Jade Isle MHC'!Y34+'Kakusha Estates (ka045)'!Y38+'Kakusha MHC'!Y37+'Lakeside Village'!Y43+'Lakeside Village (la482)'!Y45+'Lakewood Village (la481)'!Y104+'Lakewood Village MHC LLC'!Y124+'Maple Corner'!Y57+'Maple Corner (ma490)'!Y47+'Marlboro Court (ma489)'!Y35+'Marlboro Court MHC LLC'!Y35+'May Manor'!Y139+'May Manor (ma488)'!Y71+'Mobiland by the Sea (mo320)'!Y40+'Mobiland By The Sea MHC'!Y41+'Moss Landing'!Y68+'Moss Landing (mo321)'!Y60+'Oak Springs'!Y72+'Oak Springs MHC (oa150)'!Y48+'Orange Manor East'!Y37+'Orange Manor East (or125)'!Y40+'Pacific Manor'!Y46+'Pacific Manor (pa602)'!Y48+Parkhaven!Y103+Ridgecrest!Y53+Riverest!Y47+'Riverview MHRV LLC'!Y50+Rosehaven!Y115+'Sanctuary RV Resort'!Y227+'Shadow Mountain MHC'!Y34+Springhaven!Y34+'Star Valley Ranch'!Y45+Sunhaven!Y41+'Sunny Grove'!Y40+Tarponaire!Y44+'Val Vista RV Resort'!Y73+'Webster RV Resort LLC'!Y60+'Wekiva Falls RV Resort'!Y84+'West Jupiter RV Resort'!Y41+'Western Way RV Resort LLC'!Y133</f>
      </c>
      <c r="Z13" s="22">
        <f>'Agave Village (ag011)'!Z66+'Agave Village LLC'!Z55+'Brookhaven Estates (bo260)'!Z48+'Brookhaven RV Resort'!Z44+'Courtly Manor'!Z37+'Courtly Manor Park (co669)'!Z38+'Cross Creek RV'!Z133+'Cross Creek RV Resort (cr994)'!Z139+'El Rio De Oro (el289)'!Z35+'El Rio del Oro'!Z38+'Endless Summer RV Resort'!Z56+'Endless Summer RV Resort (en079'!Z48+Evergreen!Z35+'Far Horizons'!Z35+'Far Horizons (fa105)'!Z35+'Floridian Sandalwood (fl356)'!Z32+'Floridian Sandalwood MHC'!Z36+Glenhaven!Z40+'Glenhaven Estates (gl317)'!Z40+'Harbor Lights (ha310)'!Z41+'Harbor Lights MHC'!Z39+'Harvest Gate'!Z49+'Hunter Run RV Estates'!Z90+'Hunters Run RV Estates (hu116)'!Z203+'Jade Isle (ja068)'!Z32+'Jade Isle MHC'!Z34+'Kakusha Estates (ka045)'!Z38+'Kakusha MHC'!Z37+'Lakeside Village'!Z43+'Lakeside Village (la482)'!Z45+'Lakewood Village (la481)'!Z104+'Lakewood Village MHC LLC'!Z124+'Maple Corner'!Z57+'Maple Corner (ma490)'!Z47+'Marlboro Court (ma489)'!Z35+'Marlboro Court MHC LLC'!Z35+'May Manor'!Z139+'May Manor (ma488)'!Z71+'Mobiland by the Sea (mo320)'!Z40+'Mobiland By The Sea MHC'!Z41+'Moss Landing'!Z68+'Moss Landing (mo321)'!Z60+'Oak Springs'!Z72+'Oak Springs MHC (oa150)'!Z48+'Orange Manor East'!Z37+'Orange Manor East (or125)'!Z40+'Pacific Manor'!Z46+'Pacific Manor (pa602)'!Z48+Parkhaven!Z103+Ridgecrest!Z53+Riverest!Z47+'Riverview MHRV LLC'!Z50+Rosehaven!Z115+'Sanctuary RV Resort'!Z227+'Shadow Mountain MHC'!Z34+Springhaven!Z34+'Star Valley Ranch'!Z45+Sunhaven!Z41+'Sunny Grove'!Z40+Tarponaire!Z44+'Val Vista RV Resort'!Z73+'Webster RV Resort LLC'!Z60+'Wekiva Falls RV Resort'!Z84+'West Jupiter RV Resort'!Z41+'Western Way RV Resort LLC'!Z133</f>
      </c>
      <c r="AA13" s="22">
        <f>'Agave Village (ag011)'!AA66+'Agave Village LLC'!AA55+'Brookhaven Estates (bo260)'!AA48+'Brookhaven RV Resort'!AA44+'Courtly Manor'!AA37+'Courtly Manor Park (co669)'!AA38+'Cross Creek RV'!AA133+'Cross Creek RV Resort (cr994)'!AA139+'El Rio De Oro (el289)'!AA35+'El Rio del Oro'!AA38+'Endless Summer RV Resort'!AA56+'Endless Summer RV Resort (en079'!AA48+Evergreen!AA35+'Far Horizons'!AA35+'Far Horizons (fa105)'!AA35+'Floridian Sandalwood (fl356)'!AA32+'Floridian Sandalwood MHC'!AA36+Glenhaven!AA40+'Glenhaven Estates (gl317)'!AA40+'Harbor Lights (ha310)'!AA41+'Harbor Lights MHC'!AA39+'Harvest Gate'!AA49+'Hunter Run RV Estates'!AA90+'Hunters Run RV Estates (hu116)'!AA203+'Jade Isle (ja068)'!AA32+'Jade Isle MHC'!AA34+'Kakusha Estates (ka045)'!AA38+'Kakusha MHC'!AA37+'Lakeside Village'!AA43+'Lakeside Village (la482)'!AA45+'Lakewood Village (la481)'!AA104+'Lakewood Village MHC LLC'!AA124+'Maple Corner'!AA57+'Maple Corner (ma490)'!AA47+'Marlboro Court (ma489)'!AA35+'Marlboro Court MHC LLC'!AA35+'May Manor'!AA139+'May Manor (ma488)'!AA71+'Mobiland by the Sea (mo320)'!AA40+'Mobiland By The Sea MHC'!AA41+'Moss Landing'!AA68+'Moss Landing (mo321)'!AA60+'Oak Springs'!AA72+'Oak Springs MHC (oa150)'!AA48+'Orange Manor East'!AA37+'Orange Manor East (or125)'!AA40+'Pacific Manor'!AA46+'Pacific Manor (pa602)'!AA48+Parkhaven!AA103+Ridgecrest!AA53+Riverest!AA47+'Riverview MHRV LLC'!AA50+Rosehaven!AA115+'Sanctuary RV Resort'!AA227+'Shadow Mountain MHC'!AA34+Springhaven!AA34+'Star Valley Ranch'!AA45+Sunhaven!AA41+'Sunny Grove'!AA40+Tarponaire!AA44+'Val Vista RV Resort'!AA73+'Webster RV Resort LLC'!AA60+'Wekiva Falls RV Resort'!AA84+'West Jupiter RV Resort'!AA41+'Western Way RV Resort LLC'!AA133</f>
      </c>
      <c r="AB13" s="22">
        <f>'Agave Village (ag011)'!AB66+'Agave Village LLC'!AB55+'Brookhaven Estates (bo260)'!AB48+'Brookhaven RV Resort'!AB44+'Courtly Manor'!AB37+'Courtly Manor Park (co669)'!AB38+'Cross Creek RV'!AB133+'Cross Creek RV Resort (cr994)'!AB139+'El Rio De Oro (el289)'!AB35+'El Rio del Oro'!AB38+'Endless Summer RV Resort'!AB56+'Endless Summer RV Resort (en079'!AB48+Evergreen!AB35+'Far Horizons'!AB35+'Far Horizons (fa105)'!AB35+'Floridian Sandalwood (fl356)'!AB32+'Floridian Sandalwood MHC'!AB36+Glenhaven!AB40+'Glenhaven Estates (gl317)'!AB40+'Harbor Lights (ha310)'!AB41+'Harbor Lights MHC'!AB39+'Harvest Gate'!AB49+'Hunter Run RV Estates'!AB90+'Hunters Run RV Estates (hu116)'!AB203+'Jade Isle (ja068)'!AB32+'Jade Isle MHC'!AB34+'Kakusha Estates (ka045)'!AB38+'Kakusha MHC'!AB37+'Lakeside Village'!AB43+'Lakeside Village (la482)'!AB45+'Lakewood Village (la481)'!AB104+'Lakewood Village MHC LLC'!AB124+'Maple Corner'!AB57+'Maple Corner (ma490)'!AB47+'Marlboro Court (ma489)'!AB35+'Marlboro Court MHC LLC'!AB35+'May Manor'!AB139+'May Manor (ma488)'!AB71+'Mobiland by the Sea (mo320)'!AB40+'Mobiland By The Sea MHC'!AB41+'Moss Landing'!AB68+'Moss Landing (mo321)'!AB60+'Oak Springs'!AB72+'Oak Springs MHC (oa150)'!AB48+'Orange Manor East'!AB37+'Orange Manor East (or125)'!AB40+'Pacific Manor'!AB46+'Pacific Manor (pa602)'!AB48+Parkhaven!AB103+Ridgecrest!AB53+Riverest!AB47+'Riverview MHRV LLC'!AB50+Rosehaven!AB115+'Sanctuary RV Resort'!AB227+'Shadow Mountain MHC'!AB34+Springhaven!AB34+'Star Valley Ranch'!AB45+Sunhaven!AB41+'Sunny Grove'!AB40+Tarponaire!AB44+'Val Vista RV Resort'!AB73+'Webster RV Resort LLC'!AB60+'Wekiva Falls RV Resort'!AB84+'West Jupiter RV Resort'!AB41+'Western Way RV Resort LLC'!AB133</f>
      </c>
      <c r="AC13" s="22">
        <f>'Agave Village (ag011)'!AC66+'Agave Village LLC'!AC55+'Brookhaven Estates (bo260)'!AC48+'Brookhaven RV Resort'!AC44+'Courtly Manor'!AC37+'Courtly Manor Park (co669)'!AC38+'Cross Creek RV'!AC133+'Cross Creek RV Resort (cr994)'!AC139+'El Rio De Oro (el289)'!AC35+'El Rio del Oro'!AC38+'Endless Summer RV Resort'!AC56+'Endless Summer RV Resort (en079'!AC48+Evergreen!AC35+'Far Horizons'!AC35+'Far Horizons (fa105)'!AC35+'Floridian Sandalwood (fl356)'!AC32+'Floridian Sandalwood MHC'!AC36+Glenhaven!AC40+'Glenhaven Estates (gl317)'!AC40+'Harbor Lights (ha310)'!AC41+'Harbor Lights MHC'!AC39+'Harvest Gate'!AC49+'Hunter Run RV Estates'!AC90+'Hunters Run RV Estates (hu116)'!AC203+'Jade Isle (ja068)'!AC32+'Jade Isle MHC'!AC34+'Kakusha Estates (ka045)'!AC38+'Kakusha MHC'!AC37+'Lakeside Village'!AC43+'Lakeside Village (la482)'!AC45+'Lakewood Village (la481)'!AC104+'Lakewood Village MHC LLC'!AC124+'Maple Corner'!AC57+'Maple Corner (ma490)'!AC47+'Marlboro Court (ma489)'!AC35+'Marlboro Court MHC LLC'!AC35+'May Manor'!AC139+'May Manor (ma488)'!AC71+'Mobiland by the Sea (mo320)'!AC40+'Mobiland By The Sea MHC'!AC41+'Moss Landing'!AC68+'Moss Landing (mo321)'!AC60+'Oak Springs'!AC72+'Oak Springs MHC (oa150)'!AC48+'Orange Manor East'!AC37+'Orange Manor East (or125)'!AC40+'Pacific Manor'!AC46+'Pacific Manor (pa602)'!AC48+Parkhaven!AC103+Ridgecrest!AC53+Riverest!AC47+'Riverview MHRV LLC'!AC50+Rosehaven!AC115+'Sanctuary RV Resort'!AC227+'Shadow Mountain MHC'!AC34+Springhaven!AC34+'Star Valley Ranch'!AC45+Sunhaven!AC41+'Sunny Grove'!AC40+Tarponaire!AC44+'Val Vista RV Resort'!AC73+'Webster RV Resort LLC'!AC60+'Wekiva Falls RV Resort'!AC84+'West Jupiter RV Resort'!AC41+'Western Way RV Resort LLC'!AC133</f>
      </c>
      <c r="AD13" s="22">
        <f>'Agave Village (ag011)'!AD66+'Agave Village LLC'!AD55+'Brookhaven Estates (bo260)'!AD48+'Brookhaven RV Resort'!AD44+'Courtly Manor'!AD37+'Courtly Manor Park (co669)'!AD38+'Cross Creek RV'!AD133+'Cross Creek RV Resort (cr994)'!AD139+'El Rio De Oro (el289)'!AD35+'El Rio del Oro'!AD38+'Endless Summer RV Resort'!AD56+'Endless Summer RV Resort (en079'!AD48+Evergreen!AD35+'Far Horizons'!AD35+'Far Horizons (fa105)'!AD35+'Floridian Sandalwood (fl356)'!AD32+'Floridian Sandalwood MHC'!AD36+Glenhaven!AD40+'Glenhaven Estates (gl317)'!AD40+'Harbor Lights (ha310)'!AD41+'Harbor Lights MHC'!AD39+'Harvest Gate'!AD49+'Hunter Run RV Estates'!AD90+'Hunters Run RV Estates (hu116)'!AD203+'Jade Isle (ja068)'!AD32+'Jade Isle MHC'!AD34+'Kakusha Estates (ka045)'!AD38+'Kakusha MHC'!AD37+'Lakeside Village'!AD43+'Lakeside Village (la482)'!AD45+'Lakewood Village (la481)'!AD104+'Lakewood Village MHC LLC'!AD124+'Maple Corner'!AD57+'Maple Corner (ma490)'!AD47+'Marlboro Court (ma489)'!AD35+'Marlboro Court MHC LLC'!AD35+'May Manor'!AD139+'May Manor (ma488)'!AD71+'Mobiland by the Sea (mo320)'!AD40+'Mobiland By The Sea MHC'!AD41+'Moss Landing'!AD68+'Moss Landing (mo321)'!AD60+'Oak Springs'!AD72+'Oak Springs MHC (oa150)'!AD48+'Orange Manor East'!AD37+'Orange Manor East (or125)'!AD40+'Pacific Manor'!AD46+'Pacific Manor (pa602)'!AD48+Parkhaven!AD103+Ridgecrest!AD53+Riverest!AD47+'Riverview MHRV LLC'!AD50+Rosehaven!AD115+'Sanctuary RV Resort'!AD227+'Shadow Mountain MHC'!AD34+Springhaven!AD34+'Star Valley Ranch'!AD45+Sunhaven!AD41+'Sunny Grove'!AD40+Tarponaire!AD44+'Val Vista RV Resort'!AD73+'Webster RV Resort LLC'!AD60+'Wekiva Falls RV Resort'!AD84+'West Jupiter RV Resort'!AD41+'Western Way RV Resort LLC'!AD133</f>
      </c>
      <c r="AE13" s="22">
        <f>'Agave Village (ag011)'!AE66+'Agave Village LLC'!AE55+'Brookhaven Estates (bo260)'!AE48+'Brookhaven RV Resort'!AE44+'Courtly Manor'!AE37+'Courtly Manor Park (co669)'!AE38+'Cross Creek RV'!AE133+'Cross Creek RV Resort (cr994)'!AE139+'El Rio De Oro (el289)'!AE35+'El Rio del Oro'!AE38+'Endless Summer RV Resort'!AE56+'Endless Summer RV Resort (en079'!AE48+Evergreen!AE35+'Far Horizons'!AE35+'Far Horizons (fa105)'!AE35+'Floridian Sandalwood (fl356)'!AE32+'Floridian Sandalwood MHC'!AE36+Glenhaven!AE40+'Glenhaven Estates (gl317)'!AE40+'Harbor Lights (ha310)'!AE41+'Harbor Lights MHC'!AE39+'Harvest Gate'!AE49+'Hunter Run RV Estates'!AE90+'Hunters Run RV Estates (hu116)'!AE203+'Jade Isle (ja068)'!AE32+'Jade Isle MHC'!AE34+'Kakusha Estates (ka045)'!AE38+'Kakusha MHC'!AE37+'Lakeside Village'!AE43+'Lakeside Village (la482)'!AE45+'Lakewood Village (la481)'!AE104+'Lakewood Village MHC LLC'!AE124+'Maple Corner'!AE57+'Maple Corner (ma490)'!AE47+'Marlboro Court (ma489)'!AE35+'Marlboro Court MHC LLC'!AE35+'May Manor'!AE139+'May Manor (ma488)'!AE71+'Mobiland by the Sea (mo320)'!AE40+'Mobiland By The Sea MHC'!AE41+'Moss Landing'!AE68+'Moss Landing (mo321)'!AE60+'Oak Springs'!AE72+'Oak Springs MHC (oa150)'!AE48+'Orange Manor East'!AE37+'Orange Manor East (or125)'!AE40+'Pacific Manor'!AE46+'Pacific Manor (pa602)'!AE48+Parkhaven!AE103+Ridgecrest!AE53+Riverest!AE47+'Riverview MHRV LLC'!AE50+Rosehaven!AE115+'Sanctuary RV Resort'!AE227+'Shadow Mountain MHC'!AE34+Springhaven!AE34+'Star Valley Ranch'!AE45+Sunhaven!AE41+'Sunny Grove'!AE40+Tarponaire!AE44+'Val Vista RV Resort'!AE73+'Webster RV Resort LLC'!AE60+'Wekiva Falls RV Resort'!AE84+'West Jupiter RV Resort'!AE41+'Western Way RV Resort LLC'!AE133</f>
      </c>
      <c r="AF13" s="22">
        <f>'Agave Village (ag011)'!AF66+'Agave Village LLC'!AF55+'Brookhaven Estates (bo260)'!AF48+'Brookhaven RV Resort'!AF44+'Courtly Manor'!AF37+'Courtly Manor Park (co669)'!AF38+'Cross Creek RV'!AF133+'Cross Creek RV Resort (cr994)'!AF139+'El Rio De Oro (el289)'!AF35+'El Rio del Oro'!AF38+'Endless Summer RV Resort'!AF56+'Endless Summer RV Resort (en079'!AF48+Evergreen!AF35+'Far Horizons'!AF35+'Far Horizons (fa105)'!AF35+'Floridian Sandalwood (fl356)'!AF32+'Floridian Sandalwood MHC'!AF36+Glenhaven!AF40+'Glenhaven Estates (gl317)'!AF40+'Harbor Lights (ha310)'!AF41+'Harbor Lights MHC'!AF39+'Harvest Gate'!AF49+'Hunter Run RV Estates'!AF90+'Hunters Run RV Estates (hu116)'!AF203+'Jade Isle (ja068)'!AF32+'Jade Isle MHC'!AF34+'Kakusha Estates (ka045)'!AF38+'Kakusha MHC'!AF37+'Lakeside Village'!AF43+'Lakeside Village (la482)'!AF45+'Lakewood Village (la481)'!AF104+'Lakewood Village MHC LLC'!AF124+'Maple Corner'!AF57+'Maple Corner (ma490)'!AF47+'Marlboro Court (ma489)'!AF35+'Marlboro Court MHC LLC'!AF35+'May Manor'!AF139+'May Manor (ma488)'!AF71+'Mobiland by the Sea (mo320)'!AF40+'Mobiland By The Sea MHC'!AF41+'Moss Landing'!AF68+'Moss Landing (mo321)'!AF60+'Oak Springs'!AF72+'Oak Springs MHC (oa150)'!AF48+'Orange Manor East'!AF37+'Orange Manor East (or125)'!AF40+'Pacific Manor'!AF46+'Pacific Manor (pa602)'!AF48+Parkhaven!AF103+Ridgecrest!AF53+Riverest!AF47+'Riverview MHRV LLC'!AF50+Rosehaven!AF115+'Sanctuary RV Resort'!AF227+'Shadow Mountain MHC'!AF34+Springhaven!AF34+'Star Valley Ranch'!AF45+Sunhaven!AF41+'Sunny Grove'!AF40+Tarponaire!AF44+'Val Vista RV Resort'!AF73+'Webster RV Resort LLC'!AF60+'Wekiva Falls RV Resort'!AF84+'West Jupiter RV Resort'!AF41+'Western Way RV Resort LLC'!AF133</f>
      </c>
      <c r="AG13" s="22">
        <f>'Agave Village (ag011)'!AG66+'Agave Village LLC'!AG55+'Brookhaven Estates (bo260)'!AG48+'Brookhaven RV Resort'!AG44+'Courtly Manor'!AG37+'Courtly Manor Park (co669)'!AG38+'Cross Creek RV'!AG133+'Cross Creek RV Resort (cr994)'!AG139+'El Rio De Oro (el289)'!AG35+'El Rio del Oro'!AG38+'Endless Summer RV Resort'!AG56+'Endless Summer RV Resort (en079'!AG48+Evergreen!AG35+'Far Horizons'!AG35+'Far Horizons (fa105)'!AG35+'Floridian Sandalwood (fl356)'!AG32+'Floridian Sandalwood MHC'!AG36+Glenhaven!AG40+'Glenhaven Estates (gl317)'!AG40+'Harbor Lights (ha310)'!AG41+'Harbor Lights MHC'!AG39+'Harvest Gate'!AG49+'Hunter Run RV Estates'!AG90+'Hunters Run RV Estates (hu116)'!AG203+'Jade Isle (ja068)'!AG32+'Jade Isle MHC'!AG34+'Kakusha Estates (ka045)'!AG38+'Kakusha MHC'!AG37+'Lakeside Village'!AG43+'Lakeside Village (la482)'!AG45+'Lakewood Village (la481)'!AG104+'Lakewood Village MHC LLC'!AG124+'Maple Corner'!AG57+'Maple Corner (ma490)'!AG47+'Marlboro Court (ma489)'!AG35+'Marlboro Court MHC LLC'!AG35+'May Manor'!AG139+'May Manor (ma488)'!AG71+'Mobiland by the Sea (mo320)'!AG40+'Mobiland By The Sea MHC'!AG41+'Moss Landing'!AG68+'Moss Landing (mo321)'!AG60+'Oak Springs'!AG72+'Oak Springs MHC (oa150)'!AG48+'Orange Manor East'!AG37+'Orange Manor East (or125)'!AG40+'Pacific Manor'!AG46+'Pacific Manor (pa602)'!AG48+Parkhaven!AG103+Ridgecrest!AG53+Riverest!AG47+'Riverview MHRV LLC'!AG50+Rosehaven!AG115+'Sanctuary RV Resort'!AG227+'Shadow Mountain MHC'!AG34+Springhaven!AG34+'Star Valley Ranch'!AG45+Sunhaven!AG41+'Sunny Grove'!AG40+Tarponaire!AG44+'Val Vista RV Resort'!AG73+'Webster RV Resort LLC'!AG60+'Wekiva Falls RV Resort'!AG84+'West Jupiter RV Resort'!AG41+'Western Way RV Resort LLC'!AG133</f>
      </c>
      <c r="AH13" s="22">
        <f>'Agave Village (ag011)'!AH66+'Agave Village LLC'!AH55+'Brookhaven Estates (bo260)'!AH48+'Brookhaven RV Resort'!AH44+'Courtly Manor'!AH37+'Courtly Manor Park (co669)'!AH38+'Cross Creek RV'!AH133+'Cross Creek RV Resort (cr994)'!AH139+'El Rio De Oro (el289)'!AH35+'El Rio del Oro'!AH38+'Endless Summer RV Resort'!AH56+'Endless Summer RV Resort (en079'!AH48+Evergreen!AH35+'Far Horizons'!AH35+'Far Horizons (fa105)'!AH35+'Floridian Sandalwood (fl356)'!AH32+'Floridian Sandalwood MHC'!AH36+Glenhaven!AH40+'Glenhaven Estates (gl317)'!AH40+'Harbor Lights (ha310)'!AH41+'Harbor Lights MHC'!AH39+'Harvest Gate'!AH49+'Hunter Run RV Estates'!AH90+'Hunters Run RV Estates (hu116)'!AH203+'Jade Isle (ja068)'!AH32+'Jade Isle MHC'!AH34+'Kakusha Estates (ka045)'!AH38+'Kakusha MHC'!AH37+'Lakeside Village'!AH43+'Lakeside Village (la482)'!AH45+'Lakewood Village (la481)'!AH104+'Lakewood Village MHC LLC'!AH124+'Maple Corner'!AH57+'Maple Corner (ma490)'!AH47+'Marlboro Court (ma489)'!AH35+'Marlboro Court MHC LLC'!AH35+'May Manor'!AH139+'May Manor (ma488)'!AH71+'Mobiland by the Sea (mo320)'!AH40+'Mobiland By The Sea MHC'!AH41+'Moss Landing'!AH68+'Moss Landing (mo321)'!AH60+'Oak Springs'!AH72+'Oak Springs MHC (oa150)'!AH48+'Orange Manor East'!AH37+'Orange Manor East (or125)'!AH40+'Pacific Manor'!AH46+'Pacific Manor (pa602)'!AH48+Parkhaven!AH103+Ridgecrest!AH53+Riverest!AH47+'Riverview MHRV LLC'!AH50+Rosehaven!AH115+'Sanctuary RV Resort'!AH227+'Shadow Mountain MHC'!AH34+Springhaven!AH34+'Star Valley Ranch'!AH45+Sunhaven!AH41+'Sunny Grove'!AH40+Tarponaire!AH44+'Val Vista RV Resort'!AH73+'Webster RV Resort LLC'!AH60+'Wekiva Falls RV Resort'!AH84+'West Jupiter RV Resort'!AH41+'Western Way RV Resort LLC'!AH133</f>
      </c>
      <c r="AI13" s="22">
        <f>'Agave Village (ag011)'!AI66+'Agave Village LLC'!AI55+'Brookhaven Estates (bo260)'!AI48+'Brookhaven RV Resort'!AI44+'Courtly Manor'!AI37+'Courtly Manor Park (co669)'!AI38+'Cross Creek RV'!AI133+'Cross Creek RV Resort (cr994)'!AI139+'El Rio De Oro (el289)'!AI35+'El Rio del Oro'!AI38+'Endless Summer RV Resort'!AI56+'Endless Summer RV Resort (en079'!AI48+Evergreen!AI35+'Far Horizons'!AI35+'Far Horizons (fa105)'!AI35+'Floridian Sandalwood (fl356)'!AI32+'Floridian Sandalwood MHC'!AI36+Glenhaven!AI40+'Glenhaven Estates (gl317)'!AI40+'Harbor Lights (ha310)'!AI41+'Harbor Lights MHC'!AI39+'Harvest Gate'!AI49+'Hunter Run RV Estates'!AI90+'Hunters Run RV Estates (hu116)'!AI203+'Jade Isle (ja068)'!AI32+'Jade Isle MHC'!AI34+'Kakusha Estates (ka045)'!AI38+'Kakusha MHC'!AI37+'Lakeside Village'!AI43+'Lakeside Village (la482)'!AI45+'Lakewood Village (la481)'!AI104+'Lakewood Village MHC LLC'!AI124+'Maple Corner'!AI57+'Maple Corner (ma490)'!AI47+'Marlboro Court (ma489)'!AI35+'Marlboro Court MHC LLC'!AI35+'May Manor'!AI139+'May Manor (ma488)'!AI71+'Mobiland by the Sea (mo320)'!AI40+'Mobiland By The Sea MHC'!AI41+'Moss Landing'!AI68+'Moss Landing (mo321)'!AI60+'Oak Springs'!AI72+'Oak Springs MHC (oa150)'!AI48+'Orange Manor East'!AI37+'Orange Manor East (or125)'!AI40+'Pacific Manor'!AI46+'Pacific Manor (pa602)'!AI48+Parkhaven!AI103+Ridgecrest!AI53+Riverest!AI47+'Riverview MHRV LLC'!AI50+Rosehaven!AI115+'Sanctuary RV Resort'!AI227+'Shadow Mountain MHC'!AI34+Springhaven!AI34+'Star Valley Ranch'!AI45+Sunhaven!AI41+'Sunny Grove'!AI40+Tarponaire!AI44+'Val Vista RV Resort'!AI73+'Webster RV Resort LLC'!AI60+'Wekiva Falls RV Resort'!AI84+'West Jupiter RV Resort'!AI41+'Western Way RV Resort LLC'!AI133</f>
      </c>
      <c r="AJ13" s="22">
        <f>'Agave Village (ag011)'!AJ66+'Agave Village LLC'!AJ55+'Brookhaven Estates (bo260)'!AJ48+'Brookhaven RV Resort'!AJ44+'Courtly Manor'!AJ37+'Courtly Manor Park (co669)'!AJ38+'Cross Creek RV'!AJ133+'Cross Creek RV Resort (cr994)'!AJ139+'El Rio De Oro (el289)'!AJ35+'El Rio del Oro'!AJ38+'Endless Summer RV Resort'!AJ56+'Endless Summer RV Resort (en079'!AJ48+Evergreen!AJ35+'Far Horizons'!AJ35+'Far Horizons (fa105)'!AJ35+'Floridian Sandalwood (fl356)'!AJ32+'Floridian Sandalwood MHC'!AJ36+Glenhaven!AJ40+'Glenhaven Estates (gl317)'!AJ40+'Harbor Lights (ha310)'!AJ41+'Harbor Lights MHC'!AJ39+'Harvest Gate'!AJ49+'Hunter Run RV Estates'!AJ90+'Hunters Run RV Estates (hu116)'!AJ203+'Jade Isle (ja068)'!AJ32+'Jade Isle MHC'!AJ34+'Kakusha Estates (ka045)'!AJ38+'Kakusha MHC'!AJ37+'Lakeside Village'!AJ43+'Lakeside Village (la482)'!AJ45+'Lakewood Village (la481)'!AJ104+'Lakewood Village MHC LLC'!AJ124+'Maple Corner'!AJ57+'Maple Corner (ma490)'!AJ47+'Marlboro Court (ma489)'!AJ35+'Marlboro Court MHC LLC'!AJ35+'May Manor'!AJ139+'May Manor (ma488)'!AJ71+'Mobiland by the Sea (mo320)'!AJ40+'Mobiland By The Sea MHC'!AJ41+'Moss Landing'!AJ68+'Moss Landing (mo321)'!AJ60+'Oak Springs'!AJ72+'Oak Springs MHC (oa150)'!AJ48+'Orange Manor East'!AJ37+'Orange Manor East (or125)'!AJ40+'Pacific Manor'!AJ46+'Pacific Manor (pa602)'!AJ48+Parkhaven!AJ103+Ridgecrest!AJ53+Riverest!AJ47+'Riverview MHRV LLC'!AJ50+Rosehaven!AJ115+'Sanctuary RV Resort'!AJ227+'Shadow Mountain MHC'!AJ34+Springhaven!AJ34+'Star Valley Ranch'!AJ45+Sunhaven!AJ41+'Sunny Grove'!AJ40+Tarponaire!AJ44+'Val Vista RV Resort'!AJ73+'Webster RV Resort LLC'!AJ60+'Wekiva Falls RV Resort'!AJ84+'West Jupiter RV Resort'!AJ41+'Western Way RV Resort LLC'!AJ133</f>
      </c>
      <c r="AK13" s="23"/>
    </row>
    <row r="15" ht="12.75" customHeight="1" spans="2:37" x14ac:dyDescent="0.25">
      <c r="B15" s="11" t="s">
        <v>46</v>
      </c>
      <c r="C15" s="12"/>
      <c r="D15" s="13"/>
      <c r="E15" s="14" t="s">
        <v>7</v>
      </c>
      <c r="F15" s="14" t="s">
        <v>8</v>
      </c>
      <c r="G15" s="14" t="s">
        <v>9</v>
      </c>
      <c r="H15" s="14" t="s">
        <v>10</v>
      </c>
      <c r="I15" s="14" t="s">
        <v>11</v>
      </c>
      <c r="J15" s="14" t="s">
        <v>12</v>
      </c>
      <c r="K15" s="14" t="s">
        <v>13</v>
      </c>
      <c r="L15" s="14" t="s">
        <v>14</v>
      </c>
      <c r="M15" s="14" t="s">
        <v>15</v>
      </c>
      <c r="N15" s="14" t="s">
        <v>16</v>
      </c>
      <c r="O15" s="14" t="s">
        <v>17</v>
      </c>
      <c r="P15" s="14" t="s">
        <v>18</v>
      </c>
      <c r="Q15" s="14" t="s">
        <v>19</v>
      </c>
      <c r="R15" s="14" t="s">
        <v>20</v>
      </c>
      <c r="S15" s="14" t="s">
        <v>21</v>
      </c>
      <c r="T15" s="14" t="s">
        <v>22</v>
      </c>
      <c r="U15" s="14" t="s">
        <v>23</v>
      </c>
      <c r="V15" s="14" t="s">
        <v>24</v>
      </c>
      <c r="W15" s="14" t="s">
        <v>25</v>
      </c>
      <c r="X15" s="14" t="s">
        <v>26</v>
      </c>
      <c r="Y15" s="14" t="s">
        <v>27</v>
      </c>
      <c r="Z15" s="14" t="s">
        <v>28</v>
      </c>
      <c r="AA15" s="14" t="s">
        <v>29</v>
      </c>
      <c r="AB15" s="14" t="s">
        <v>30</v>
      </c>
      <c r="AC15" s="14" t="s">
        <v>31</v>
      </c>
      <c r="AD15" s="14" t="s">
        <v>32</v>
      </c>
      <c r="AE15" s="14" t="s">
        <v>33</v>
      </c>
      <c r="AF15" s="14" t="s">
        <v>34</v>
      </c>
      <c r="AG15" s="14" t="s">
        <v>35</v>
      </c>
      <c r="AH15" s="14" t="s">
        <v>36</v>
      </c>
      <c r="AI15" s="14" t="s">
        <v>37</v>
      </c>
      <c r="AJ15" s="14" t="s">
        <v>38</v>
      </c>
      <c r="AK15" s="15"/>
    </row>
    <row r="16" ht="12.75" customHeight="1" spans="2:37" x14ac:dyDescent="0.25">
      <c r="B16" s="16" t="s">
        <v>41</v>
      </c>
      <c r="C16" s="17"/>
      <c r="D16" s="17"/>
      <c r="E16" s="18">
        <f>'Agave Village (ag011)'!E69+'Agave Village LLC'!E58+'Brookhaven Estates (bo260)'!E51+'Brookhaven RV Resort'!E47+'Courtly Manor'!E40+'Courtly Manor Park (co669)'!E41+'Cross Creek RV'!E136+'Cross Creek RV Resort (cr994)'!E142+'El Rio De Oro (el289)'!E38+'El Rio del Oro'!E41+'Endless Summer RV Resort'!E59+'Endless Summer RV Resort (en079'!E51+Evergreen!E38+'Far Horizons'!E38+'Far Horizons (fa105)'!E38+'Floridian Sandalwood (fl356)'!E35+'Floridian Sandalwood MHC'!E39+Glenhaven!E43+'Glenhaven Estates (gl317)'!E43+'Harbor Lights (ha310)'!E44+'Harbor Lights MHC'!E42+'Harvest Gate'!E52+'Hunter Run RV Estates'!E93+'Hunters Run RV Estates (hu116)'!E206+'Jade Isle (ja068)'!E35+'Jade Isle MHC'!E37+'Kakusha Estates (ka045)'!E41+'Kakusha MHC'!E40+'Lakeside Village'!E46+'Lakeside Village (la482)'!E48+'Lakewood Village (la481)'!E107+'Lakewood Village MHC LLC'!E127+'Maple Corner'!E60+'Maple Corner (ma490)'!E50+'Marlboro Court (ma489)'!E38+'Marlboro Court MHC LLC'!E38+'May Manor'!E142+'May Manor (ma488)'!E74+'Mobiland by the Sea (mo320)'!E43+'Mobiland By The Sea MHC'!E44+'Moss Landing'!E71+'Moss Landing (mo321)'!E63+'Oak Springs'!E75+'Oak Springs MHC (oa150)'!E51+'Orange Manor East'!E40+'Orange Manor East (or125)'!E43+'Pacific Manor'!E49+'Pacific Manor (pa602)'!E51+Parkhaven!E106+Ridgecrest!E56+Riverest!E50+'Riverview MHRV LLC'!E53+Rosehaven!E118+'Sanctuary RV Resort'!E230+'Shadow Mountain MHC'!E37+Springhaven!E37+'Star Valley Ranch'!E48+Sunhaven!E44+'Sunny Grove'!E43+Tarponaire!E47+'Val Vista RV Resort'!E76+'Webster RV Resort LLC'!E63+'Wekiva Falls RV Resort'!E87+'West Jupiter RV Resort'!E44+'Western Way RV Resort LLC'!E136</f>
      </c>
      <c r="F16" s="18">
        <f>'Agave Village (ag011)'!F69+'Agave Village LLC'!F58+'Brookhaven Estates (bo260)'!F51+'Brookhaven RV Resort'!F47+'Courtly Manor'!F40+'Courtly Manor Park (co669)'!F41+'Cross Creek RV'!F136+'Cross Creek RV Resort (cr994)'!F142+'El Rio De Oro (el289)'!F38+'El Rio del Oro'!F41+'Endless Summer RV Resort'!F59+'Endless Summer RV Resort (en079'!F51+Evergreen!F38+'Far Horizons'!F38+'Far Horizons (fa105)'!F38+'Floridian Sandalwood (fl356)'!F35+'Floridian Sandalwood MHC'!F39+Glenhaven!F43+'Glenhaven Estates (gl317)'!F43+'Harbor Lights (ha310)'!F44+'Harbor Lights MHC'!F42+'Harvest Gate'!F52+'Hunter Run RV Estates'!F93+'Hunters Run RV Estates (hu116)'!F206+'Jade Isle (ja068)'!F35+'Jade Isle MHC'!F37+'Kakusha Estates (ka045)'!F41+'Kakusha MHC'!F40+'Lakeside Village'!F46+'Lakeside Village (la482)'!F48+'Lakewood Village (la481)'!F107+'Lakewood Village MHC LLC'!F127+'Maple Corner'!F60+'Maple Corner (ma490)'!F50+'Marlboro Court (ma489)'!F38+'Marlboro Court MHC LLC'!F38+'May Manor'!F142+'May Manor (ma488)'!F74+'Mobiland by the Sea (mo320)'!F43+'Mobiland By The Sea MHC'!F44+'Moss Landing'!F71+'Moss Landing (mo321)'!F63+'Oak Springs'!F75+'Oak Springs MHC (oa150)'!F51+'Orange Manor East'!F40+'Orange Manor East (or125)'!F43+'Pacific Manor'!F49+'Pacific Manor (pa602)'!F51+Parkhaven!F106+Ridgecrest!F56+Riverest!F50+'Riverview MHRV LLC'!F53+Rosehaven!F118+'Sanctuary RV Resort'!F230+'Shadow Mountain MHC'!F37+Springhaven!F37+'Star Valley Ranch'!F48+Sunhaven!F44+'Sunny Grove'!F43+Tarponaire!F47+'Val Vista RV Resort'!F76+'Webster RV Resort LLC'!F63+'Wekiva Falls RV Resort'!F87+'West Jupiter RV Resort'!F44+'Western Way RV Resort LLC'!F136</f>
      </c>
      <c r="G16" s="18">
        <f>'Agave Village (ag011)'!G69+'Agave Village LLC'!G58+'Brookhaven Estates (bo260)'!G51+'Brookhaven RV Resort'!G47+'Courtly Manor'!G40+'Courtly Manor Park (co669)'!G41+'Cross Creek RV'!G136+'Cross Creek RV Resort (cr994)'!G142+'El Rio De Oro (el289)'!G38+'El Rio del Oro'!G41+'Endless Summer RV Resort'!G59+'Endless Summer RV Resort (en079'!G51+Evergreen!G38+'Far Horizons'!G38+'Far Horizons (fa105)'!G38+'Floridian Sandalwood (fl356)'!G35+'Floridian Sandalwood MHC'!G39+Glenhaven!G43+'Glenhaven Estates (gl317)'!G43+'Harbor Lights (ha310)'!G44+'Harbor Lights MHC'!G42+'Harvest Gate'!G52+'Hunter Run RV Estates'!G93+'Hunters Run RV Estates (hu116)'!G206+'Jade Isle (ja068)'!G35+'Jade Isle MHC'!G37+'Kakusha Estates (ka045)'!G41+'Kakusha MHC'!G40+'Lakeside Village'!G46+'Lakeside Village (la482)'!G48+'Lakewood Village (la481)'!G107+'Lakewood Village MHC LLC'!G127+'Maple Corner'!G60+'Maple Corner (ma490)'!G50+'Marlboro Court (ma489)'!G38+'Marlboro Court MHC LLC'!G38+'May Manor'!G142+'May Manor (ma488)'!G74+'Mobiland by the Sea (mo320)'!G43+'Mobiland By The Sea MHC'!G44+'Moss Landing'!G71+'Moss Landing (mo321)'!G63+'Oak Springs'!G75+'Oak Springs MHC (oa150)'!G51+'Orange Manor East'!G40+'Orange Manor East (or125)'!G43+'Pacific Manor'!G49+'Pacific Manor (pa602)'!G51+Parkhaven!G106+Ridgecrest!G56+Riverest!G50+'Riverview MHRV LLC'!G53+Rosehaven!G118+'Sanctuary RV Resort'!G230+'Shadow Mountain MHC'!G37+Springhaven!G37+'Star Valley Ranch'!G48+Sunhaven!G44+'Sunny Grove'!G43+Tarponaire!G47+'Val Vista RV Resort'!G76+'Webster RV Resort LLC'!G63+'Wekiva Falls RV Resort'!G87+'West Jupiter RV Resort'!G44+'Western Way RV Resort LLC'!G136</f>
      </c>
      <c r="H16" s="18">
        <f>'Agave Village (ag011)'!H69+'Agave Village LLC'!H58+'Brookhaven Estates (bo260)'!H51+'Brookhaven RV Resort'!H47+'Courtly Manor'!H40+'Courtly Manor Park (co669)'!H41+'Cross Creek RV'!H136+'Cross Creek RV Resort (cr994)'!H142+'El Rio De Oro (el289)'!H38+'El Rio del Oro'!H41+'Endless Summer RV Resort'!H59+'Endless Summer RV Resort (en079'!H51+Evergreen!H38+'Far Horizons'!H38+'Far Horizons (fa105)'!H38+'Floridian Sandalwood (fl356)'!H35+'Floridian Sandalwood MHC'!H39+Glenhaven!H43+'Glenhaven Estates (gl317)'!H43+'Harbor Lights (ha310)'!H44+'Harbor Lights MHC'!H42+'Harvest Gate'!H52+'Hunter Run RV Estates'!H93+'Hunters Run RV Estates (hu116)'!H206+'Jade Isle (ja068)'!H35+'Jade Isle MHC'!H37+'Kakusha Estates (ka045)'!H41+'Kakusha MHC'!H40+'Lakeside Village'!H46+'Lakeside Village (la482)'!H48+'Lakewood Village (la481)'!H107+'Lakewood Village MHC LLC'!H127+'Maple Corner'!H60+'Maple Corner (ma490)'!H50+'Marlboro Court (ma489)'!H38+'Marlboro Court MHC LLC'!H38+'May Manor'!H142+'May Manor (ma488)'!H74+'Mobiland by the Sea (mo320)'!H43+'Mobiland By The Sea MHC'!H44+'Moss Landing'!H71+'Moss Landing (mo321)'!H63+'Oak Springs'!H75+'Oak Springs MHC (oa150)'!H51+'Orange Manor East'!H40+'Orange Manor East (or125)'!H43+'Pacific Manor'!H49+'Pacific Manor (pa602)'!H51+Parkhaven!H106+Ridgecrest!H56+Riverest!H50+'Riverview MHRV LLC'!H53+Rosehaven!H118+'Sanctuary RV Resort'!H230+'Shadow Mountain MHC'!H37+Springhaven!H37+'Star Valley Ranch'!H48+Sunhaven!H44+'Sunny Grove'!H43+Tarponaire!H47+'Val Vista RV Resort'!H76+'Webster RV Resort LLC'!H63+'Wekiva Falls RV Resort'!H87+'West Jupiter RV Resort'!H44+'Western Way RV Resort LLC'!H136</f>
      </c>
      <c r="I16" s="18">
        <f>'Agave Village (ag011)'!I69+'Agave Village LLC'!I58+'Brookhaven Estates (bo260)'!I51+'Brookhaven RV Resort'!I47+'Courtly Manor'!I40+'Courtly Manor Park (co669)'!I41+'Cross Creek RV'!I136+'Cross Creek RV Resort (cr994)'!I142+'El Rio De Oro (el289)'!I38+'El Rio del Oro'!I41+'Endless Summer RV Resort'!I59+'Endless Summer RV Resort (en079'!I51+Evergreen!I38+'Far Horizons'!I38+'Far Horizons (fa105)'!I38+'Floridian Sandalwood (fl356)'!I35+'Floridian Sandalwood MHC'!I39+Glenhaven!I43+'Glenhaven Estates (gl317)'!I43+'Harbor Lights (ha310)'!I44+'Harbor Lights MHC'!I42+'Harvest Gate'!I52+'Hunter Run RV Estates'!I93+'Hunters Run RV Estates (hu116)'!I206+'Jade Isle (ja068)'!I35+'Jade Isle MHC'!I37+'Kakusha Estates (ka045)'!I41+'Kakusha MHC'!I40+'Lakeside Village'!I46+'Lakeside Village (la482)'!I48+'Lakewood Village (la481)'!I107+'Lakewood Village MHC LLC'!I127+'Maple Corner'!I60+'Maple Corner (ma490)'!I50+'Marlboro Court (ma489)'!I38+'Marlboro Court MHC LLC'!I38+'May Manor'!I142+'May Manor (ma488)'!I74+'Mobiland by the Sea (mo320)'!I43+'Mobiland By The Sea MHC'!I44+'Moss Landing'!I71+'Moss Landing (mo321)'!I63+'Oak Springs'!I75+'Oak Springs MHC (oa150)'!I51+'Orange Manor East'!I40+'Orange Manor East (or125)'!I43+'Pacific Manor'!I49+'Pacific Manor (pa602)'!I51+Parkhaven!I106+Ridgecrest!I56+Riverest!I50+'Riverview MHRV LLC'!I53+Rosehaven!I118+'Sanctuary RV Resort'!I230+'Shadow Mountain MHC'!I37+Springhaven!I37+'Star Valley Ranch'!I48+Sunhaven!I44+'Sunny Grove'!I43+Tarponaire!I47+'Val Vista RV Resort'!I76+'Webster RV Resort LLC'!I63+'Wekiva Falls RV Resort'!I87+'West Jupiter RV Resort'!I44+'Western Way RV Resort LLC'!I136</f>
      </c>
      <c r="J16" s="18">
        <f>'Agave Village (ag011)'!J69+'Agave Village LLC'!J58+'Brookhaven Estates (bo260)'!J51+'Brookhaven RV Resort'!J47+'Courtly Manor'!J40+'Courtly Manor Park (co669)'!J41+'Cross Creek RV'!J136+'Cross Creek RV Resort (cr994)'!J142+'El Rio De Oro (el289)'!J38+'El Rio del Oro'!J41+'Endless Summer RV Resort'!J59+'Endless Summer RV Resort (en079'!J51+Evergreen!J38+'Far Horizons'!J38+'Far Horizons (fa105)'!J38+'Floridian Sandalwood (fl356)'!J35+'Floridian Sandalwood MHC'!J39+Glenhaven!J43+'Glenhaven Estates (gl317)'!J43+'Harbor Lights (ha310)'!J44+'Harbor Lights MHC'!J42+'Harvest Gate'!J52+'Hunter Run RV Estates'!J93+'Hunters Run RV Estates (hu116)'!J206+'Jade Isle (ja068)'!J35+'Jade Isle MHC'!J37+'Kakusha Estates (ka045)'!J41+'Kakusha MHC'!J40+'Lakeside Village'!J46+'Lakeside Village (la482)'!J48+'Lakewood Village (la481)'!J107+'Lakewood Village MHC LLC'!J127+'Maple Corner'!J60+'Maple Corner (ma490)'!J50+'Marlboro Court (ma489)'!J38+'Marlboro Court MHC LLC'!J38+'May Manor'!J142+'May Manor (ma488)'!J74+'Mobiland by the Sea (mo320)'!J43+'Mobiland By The Sea MHC'!J44+'Moss Landing'!J71+'Moss Landing (mo321)'!J63+'Oak Springs'!J75+'Oak Springs MHC (oa150)'!J51+'Orange Manor East'!J40+'Orange Manor East (or125)'!J43+'Pacific Manor'!J49+'Pacific Manor (pa602)'!J51+Parkhaven!J106+Ridgecrest!J56+Riverest!J50+'Riverview MHRV LLC'!J53+Rosehaven!J118+'Sanctuary RV Resort'!J230+'Shadow Mountain MHC'!J37+Springhaven!J37+'Star Valley Ranch'!J48+Sunhaven!J44+'Sunny Grove'!J43+Tarponaire!J47+'Val Vista RV Resort'!J76+'Webster RV Resort LLC'!J63+'Wekiva Falls RV Resort'!J87+'West Jupiter RV Resort'!J44+'Western Way RV Resort LLC'!J136</f>
      </c>
      <c r="K16" s="18">
        <f>'Agave Village (ag011)'!K69+'Agave Village LLC'!K58+'Brookhaven Estates (bo260)'!K51+'Brookhaven RV Resort'!K47+'Courtly Manor'!K40+'Courtly Manor Park (co669)'!K41+'Cross Creek RV'!K136+'Cross Creek RV Resort (cr994)'!K142+'El Rio De Oro (el289)'!K38+'El Rio del Oro'!K41+'Endless Summer RV Resort'!K59+'Endless Summer RV Resort (en079'!K51+Evergreen!K38+'Far Horizons'!K38+'Far Horizons (fa105)'!K38+'Floridian Sandalwood (fl356)'!K35+'Floridian Sandalwood MHC'!K39+Glenhaven!K43+'Glenhaven Estates (gl317)'!K43+'Harbor Lights (ha310)'!K44+'Harbor Lights MHC'!K42+'Harvest Gate'!K52+'Hunter Run RV Estates'!K93+'Hunters Run RV Estates (hu116)'!K206+'Jade Isle (ja068)'!K35+'Jade Isle MHC'!K37+'Kakusha Estates (ka045)'!K41+'Kakusha MHC'!K40+'Lakeside Village'!K46+'Lakeside Village (la482)'!K48+'Lakewood Village (la481)'!K107+'Lakewood Village MHC LLC'!K127+'Maple Corner'!K60+'Maple Corner (ma490)'!K50+'Marlboro Court (ma489)'!K38+'Marlboro Court MHC LLC'!K38+'May Manor'!K142+'May Manor (ma488)'!K74+'Mobiland by the Sea (mo320)'!K43+'Mobiland By The Sea MHC'!K44+'Moss Landing'!K71+'Moss Landing (mo321)'!K63+'Oak Springs'!K75+'Oak Springs MHC (oa150)'!K51+'Orange Manor East'!K40+'Orange Manor East (or125)'!K43+'Pacific Manor'!K49+'Pacific Manor (pa602)'!K51+Parkhaven!K106+Ridgecrest!K56+Riverest!K50+'Riverview MHRV LLC'!K53+Rosehaven!K118+'Sanctuary RV Resort'!K230+'Shadow Mountain MHC'!K37+Springhaven!K37+'Star Valley Ranch'!K48+Sunhaven!K44+'Sunny Grove'!K43+Tarponaire!K47+'Val Vista RV Resort'!K76+'Webster RV Resort LLC'!K63+'Wekiva Falls RV Resort'!K87+'West Jupiter RV Resort'!K44+'Western Way RV Resort LLC'!K136</f>
      </c>
      <c r="L16" s="18">
        <f>'Agave Village (ag011)'!L69+'Agave Village LLC'!L58+'Brookhaven Estates (bo260)'!L51+'Brookhaven RV Resort'!L47+'Courtly Manor'!L40+'Courtly Manor Park (co669)'!L41+'Cross Creek RV'!L136+'Cross Creek RV Resort (cr994)'!L142+'El Rio De Oro (el289)'!L38+'El Rio del Oro'!L41+'Endless Summer RV Resort'!L59+'Endless Summer RV Resort (en079'!L51+Evergreen!L38+'Far Horizons'!L38+'Far Horizons (fa105)'!L38+'Floridian Sandalwood (fl356)'!L35+'Floridian Sandalwood MHC'!L39+Glenhaven!L43+'Glenhaven Estates (gl317)'!L43+'Harbor Lights (ha310)'!L44+'Harbor Lights MHC'!L42+'Harvest Gate'!L52+'Hunter Run RV Estates'!L93+'Hunters Run RV Estates (hu116)'!L206+'Jade Isle (ja068)'!L35+'Jade Isle MHC'!L37+'Kakusha Estates (ka045)'!L41+'Kakusha MHC'!L40+'Lakeside Village'!L46+'Lakeside Village (la482)'!L48+'Lakewood Village (la481)'!L107+'Lakewood Village MHC LLC'!L127+'Maple Corner'!L60+'Maple Corner (ma490)'!L50+'Marlboro Court (ma489)'!L38+'Marlboro Court MHC LLC'!L38+'May Manor'!L142+'May Manor (ma488)'!L74+'Mobiland by the Sea (mo320)'!L43+'Mobiland By The Sea MHC'!L44+'Moss Landing'!L71+'Moss Landing (mo321)'!L63+'Oak Springs'!L75+'Oak Springs MHC (oa150)'!L51+'Orange Manor East'!L40+'Orange Manor East (or125)'!L43+'Pacific Manor'!L49+'Pacific Manor (pa602)'!L51+Parkhaven!L106+Ridgecrest!L56+Riverest!L50+'Riverview MHRV LLC'!L53+Rosehaven!L118+'Sanctuary RV Resort'!L230+'Shadow Mountain MHC'!L37+Springhaven!L37+'Star Valley Ranch'!L48+Sunhaven!L44+'Sunny Grove'!L43+Tarponaire!L47+'Val Vista RV Resort'!L76+'Webster RV Resort LLC'!L63+'Wekiva Falls RV Resort'!L87+'West Jupiter RV Resort'!L44+'Western Way RV Resort LLC'!L136</f>
      </c>
      <c r="M16" s="18">
        <f>'Agave Village (ag011)'!M69+'Agave Village LLC'!M58+'Brookhaven Estates (bo260)'!M51+'Brookhaven RV Resort'!M47+'Courtly Manor'!M40+'Courtly Manor Park (co669)'!M41+'Cross Creek RV'!M136+'Cross Creek RV Resort (cr994)'!M142+'El Rio De Oro (el289)'!M38+'El Rio del Oro'!M41+'Endless Summer RV Resort'!M59+'Endless Summer RV Resort (en079'!M51+Evergreen!M38+'Far Horizons'!M38+'Far Horizons (fa105)'!M38+'Floridian Sandalwood (fl356)'!M35+'Floridian Sandalwood MHC'!M39+Glenhaven!M43+'Glenhaven Estates (gl317)'!M43+'Harbor Lights (ha310)'!M44+'Harbor Lights MHC'!M42+'Harvest Gate'!M52+'Hunter Run RV Estates'!M93+'Hunters Run RV Estates (hu116)'!M206+'Jade Isle (ja068)'!M35+'Jade Isle MHC'!M37+'Kakusha Estates (ka045)'!M41+'Kakusha MHC'!M40+'Lakeside Village'!M46+'Lakeside Village (la482)'!M48+'Lakewood Village (la481)'!M107+'Lakewood Village MHC LLC'!M127+'Maple Corner'!M60+'Maple Corner (ma490)'!M50+'Marlboro Court (ma489)'!M38+'Marlboro Court MHC LLC'!M38+'May Manor'!M142+'May Manor (ma488)'!M74+'Mobiland by the Sea (mo320)'!M43+'Mobiland By The Sea MHC'!M44+'Moss Landing'!M71+'Moss Landing (mo321)'!M63+'Oak Springs'!M75+'Oak Springs MHC (oa150)'!M51+'Orange Manor East'!M40+'Orange Manor East (or125)'!M43+'Pacific Manor'!M49+'Pacific Manor (pa602)'!M51+Parkhaven!M106+Ridgecrest!M56+Riverest!M50+'Riverview MHRV LLC'!M53+Rosehaven!M118+'Sanctuary RV Resort'!M230+'Shadow Mountain MHC'!M37+Springhaven!M37+'Star Valley Ranch'!M48+Sunhaven!M44+'Sunny Grove'!M43+Tarponaire!M47+'Val Vista RV Resort'!M76+'Webster RV Resort LLC'!M63+'Wekiva Falls RV Resort'!M87+'West Jupiter RV Resort'!M44+'Western Way RV Resort LLC'!M136</f>
      </c>
      <c r="N16" s="18">
        <f>'Agave Village (ag011)'!N69+'Agave Village LLC'!N58+'Brookhaven Estates (bo260)'!N51+'Brookhaven RV Resort'!N47+'Courtly Manor'!N40+'Courtly Manor Park (co669)'!N41+'Cross Creek RV'!N136+'Cross Creek RV Resort (cr994)'!N142+'El Rio De Oro (el289)'!N38+'El Rio del Oro'!N41+'Endless Summer RV Resort'!N59+'Endless Summer RV Resort (en079'!N51+Evergreen!N38+'Far Horizons'!N38+'Far Horizons (fa105)'!N38+'Floridian Sandalwood (fl356)'!N35+'Floridian Sandalwood MHC'!N39+Glenhaven!N43+'Glenhaven Estates (gl317)'!N43+'Harbor Lights (ha310)'!N44+'Harbor Lights MHC'!N42+'Harvest Gate'!N52+'Hunter Run RV Estates'!N93+'Hunters Run RV Estates (hu116)'!N206+'Jade Isle (ja068)'!N35+'Jade Isle MHC'!N37+'Kakusha Estates (ka045)'!N41+'Kakusha MHC'!N40+'Lakeside Village'!N46+'Lakeside Village (la482)'!N48+'Lakewood Village (la481)'!N107+'Lakewood Village MHC LLC'!N127+'Maple Corner'!N60+'Maple Corner (ma490)'!N50+'Marlboro Court (ma489)'!N38+'Marlboro Court MHC LLC'!N38+'May Manor'!N142+'May Manor (ma488)'!N74+'Mobiland by the Sea (mo320)'!N43+'Mobiland By The Sea MHC'!N44+'Moss Landing'!N71+'Moss Landing (mo321)'!N63+'Oak Springs'!N75+'Oak Springs MHC (oa150)'!N51+'Orange Manor East'!N40+'Orange Manor East (or125)'!N43+'Pacific Manor'!N49+'Pacific Manor (pa602)'!N51+Parkhaven!N106+Ridgecrest!N56+Riverest!N50+'Riverview MHRV LLC'!N53+Rosehaven!N118+'Sanctuary RV Resort'!N230+'Shadow Mountain MHC'!N37+Springhaven!N37+'Star Valley Ranch'!N48+Sunhaven!N44+'Sunny Grove'!N43+Tarponaire!N47+'Val Vista RV Resort'!N76+'Webster RV Resort LLC'!N63+'Wekiva Falls RV Resort'!N87+'West Jupiter RV Resort'!N44+'Western Way RV Resort LLC'!N136</f>
      </c>
      <c r="O16" s="18">
        <f>'Agave Village (ag011)'!O69+'Agave Village LLC'!O58+'Brookhaven Estates (bo260)'!O51+'Brookhaven RV Resort'!O47+'Courtly Manor'!O40+'Courtly Manor Park (co669)'!O41+'Cross Creek RV'!O136+'Cross Creek RV Resort (cr994)'!O142+'El Rio De Oro (el289)'!O38+'El Rio del Oro'!O41+'Endless Summer RV Resort'!O59+'Endless Summer RV Resort (en079'!O51+Evergreen!O38+'Far Horizons'!O38+'Far Horizons (fa105)'!O38+'Floridian Sandalwood (fl356)'!O35+'Floridian Sandalwood MHC'!O39+Glenhaven!O43+'Glenhaven Estates (gl317)'!O43+'Harbor Lights (ha310)'!O44+'Harbor Lights MHC'!O42+'Harvest Gate'!O52+'Hunter Run RV Estates'!O93+'Hunters Run RV Estates (hu116)'!O206+'Jade Isle (ja068)'!O35+'Jade Isle MHC'!O37+'Kakusha Estates (ka045)'!O41+'Kakusha MHC'!O40+'Lakeside Village'!O46+'Lakeside Village (la482)'!O48+'Lakewood Village (la481)'!O107+'Lakewood Village MHC LLC'!O127+'Maple Corner'!O60+'Maple Corner (ma490)'!O50+'Marlboro Court (ma489)'!O38+'Marlboro Court MHC LLC'!O38+'May Manor'!O142+'May Manor (ma488)'!O74+'Mobiland by the Sea (mo320)'!O43+'Mobiland By The Sea MHC'!O44+'Moss Landing'!O71+'Moss Landing (mo321)'!O63+'Oak Springs'!O75+'Oak Springs MHC (oa150)'!O51+'Orange Manor East'!O40+'Orange Manor East (or125)'!O43+'Pacific Manor'!O49+'Pacific Manor (pa602)'!O51+Parkhaven!O106+Ridgecrest!O56+Riverest!O50+'Riverview MHRV LLC'!O53+Rosehaven!O118+'Sanctuary RV Resort'!O230+'Shadow Mountain MHC'!O37+Springhaven!O37+'Star Valley Ranch'!O48+Sunhaven!O44+'Sunny Grove'!O43+Tarponaire!O47+'Val Vista RV Resort'!O76+'Webster RV Resort LLC'!O63+'Wekiva Falls RV Resort'!O87+'West Jupiter RV Resort'!O44+'Western Way RV Resort LLC'!O136</f>
      </c>
      <c r="P16" s="18">
        <f>'Agave Village (ag011)'!P69+'Agave Village LLC'!P58+'Brookhaven Estates (bo260)'!P51+'Brookhaven RV Resort'!P47+'Courtly Manor'!P40+'Courtly Manor Park (co669)'!P41+'Cross Creek RV'!P136+'Cross Creek RV Resort (cr994)'!P142+'El Rio De Oro (el289)'!P38+'El Rio del Oro'!P41+'Endless Summer RV Resort'!P59+'Endless Summer RV Resort (en079'!P51+Evergreen!P38+'Far Horizons'!P38+'Far Horizons (fa105)'!P38+'Floridian Sandalwood (fl356)'!P35+'Floridian Sandalwood MHC'!P39+Glenhaven!P43+'Glenhaven Estates (gl317)'!P43+'Harbor Lights (ha310)'!P44+'Harbor Lights MHC'!P42+'Harvest Gate'!P52+'Hunter Run RV Estates'!P93+'Hunters Run RV Estates (hu116)'!P206+'Jade Isle (ja068)'!P35+'Jade Isle MHC'!P37+'Kakusha Estates (ka045)'!P41+'Kakusha MHC'!P40+'Lakeside Village'!P46+'Lakeside Village (la482)'!P48+'Lakewood Village (la481)'!P107+'Lakewood Village MHC LLC'!P127+'Maple Corner'!P60+'Maple Corner (ma490)'!P50+'Marlboro Court (ma489)'!P38+'Marlboro Court MHC LLC'!P38+'May Manor'!P142+'May Manor (ma488)'!P74+'Mobiland by the Sea (mo320)'!P43+'Mobiland By The Sea MHC'!P44+'Moss Landing'!P71+'Moss Landing (mo321)'!P63+'Oak Springs'!P75+'Oak Springs MHC (oa150)'!P51+'Orange Manor East'!P40+'Orange Manor East (or125)'!P43+'Pacific Manor'!P49+'Pacific Manor (pa602)'!P51+Parkhaven!P106+Ridgecrest!P56+Riverest!P50+'Riverview MHRV LLC'!P53+Rosehaven!P118+'Sanctuary RV Resort'!P230+'Shadow Mountain MHC'!P37+Springhaven!P37+'Star Valley Ranch'!P48+Sunhaven!P44+'Sunny Grove'!P43+Tarponaire!P47+'Val Vista RV Resort'!P76+'Webster RV Resort LLC'!P63+'Wekiva Falls RV Resort'!P87+'West Jupiter RV Resort'!P44+'Western Way RV Resort LLC'!P136</f>
      </c>
      <c r="Q16" s="18">
        <f>'Agave Village (ag011)'!Q69+'Agave Village LLC'!Q58+'Brookhaven Estates (bo260)'!Q51+'Brookhaven RV Resort'!Q47+'Courtly Manor'!Q40+'Courtly Manor Park (co669)'!Q41+'Cross Creek RV'!Q136+'Cross Creek RV Resort (cr994)'!Q142+'El Rio De Oro (el289)'!Q38+'El Rio del Oro'!Q41+'Endless Summer RV Resort'!Q59+'Endless Summer RV Resort (en079'!Q51+Evergreen!Q38+'Far Horizons'!Q38+'Far Horizons (fa105)'!Q38+'Floridian Sandalwood (fl356)'!Q35+'Floridian Sandalwood MHC'!Q39+Glenhaven!Q43+'Glenhaven Estates (gl317)'!Q43+'Harbor Lights (ha310)'!Q44+'Harbor Lights MHC'!Q42+'Harvest Gate'!Q52+'Hunter Run RV Estates'!Q93+'Hunters Run RV Estates (hu116)'!Q206+'Jade Isle (ja068)'!Q35+'Jade Isle MHC'!Q37+'Kakusha Estates (ka045)'!Q41+'Kakusha MHC'!Q40+'Lakeside Village'!Q46+'Lakeside Village (la482)'!Q48+'Lakewood Village (la481)'!Q107+'Lakewood Village MHC LLC'!Q127+'Maple Corner'!Q60+'Maple Corner (ma490)'!Q50+'Marlboro Court (ma489)'!Q38+'Marlboro Court MHC LLC'!Q38+'May Manor'!Q142+'May Manor (ma488)'!Q74+'Mobiland by the Sea (mo320)'!Q43+'Mobiland By The Sea MHC'!Q44+'Moss Landing'!Q71+'Moss Landing (mo321)'!Q63+'Oak Springs'!Q75+'Oak Springs MHC (oa150)'!Q51+'Orange Manor East'!Q40+'Orange Manor East (or125)'!Q43+'Pacific Manor'!Q49+'Pacific Manor (pa602)'!Q51+Parkhaven!Q106+Ridgecrest!Q56+Riverest!Q50+'Riverview MHRV LLC'!Q53+Rosehaven!Q118+'Sanctuary RV Resort'!Q230+'Shadow Mountain MHC'!Q37+Springhaven!Q37+'Star Valley Ranch'!Q48+Sunhaven!Q44+'Sunny Grove'!Q43+Tarponaire!Q47+'Val Vista RV Resort'!Q76+'Webster RV Resort LLC'!Q63+'Wekiva Falls RV Resort'!Q87+'West Jupiter RV Resort'!Q44+'Western Way RV Resort LLC'!Q136</f>
      </c>
      <c r="R16" s="18">
        <f>'Agave Village (ag011)'!R69+'Agave Village LLC'!R58+'Brookhaven Estates (bo260)'!R51+'Brookhaven RV Resort'!R47+'Courtly Manor'!R40+'Courtly Manor Park (co669)'!R41+'Cross Creek RV'!R136+'Cross Creek RV Resort (cr994)'!R142+'El Rio De Oro (el289)'!R38+'El Rio del Oro'!R41+'Endless Summer RV Resort'!R59+'Endless Summer RV Resort (en079'!R51+Evergreen!R38+'Far Horizons'!R38+'Far Horizons (fa105)'!R38+'Floridian Sandalwood (fl356)'!R35+'Floridian Sandalwood MHC'!R39+Glenhaven!R43+'Glenhaven Estates (gl317)'!R43+'Harbor Lights (ha310)'!R44+'Harbor Lights MHC'!R42+'Harvest Gate'!R52+'Hunter Run RV Estates'!R93+'Hunters Run RV Estates (hu116)'!R206+'Jade Isle (ja068)'!R35+'Jade Isle MHC'!R37+'Kakusha Estates (ka045)'!R41+'Kakusha MHC'!R40+'Lakeside Village'!R46+'Lakeside Village (la482)'!R48+'Lakewood Village (la481)'!R107+'Lakewood Village MHC LLC'!R127+'Maple Corner'!R60+'Maple Corner (ma490)'!R50+'Marlboro Court (ma489)'!R38+'Marlboro Court MHC LLC'!R38+'May Manor'!R142+'May Manor (ma488)'!R74+'Mobiland by the Sea (mo320)'!R43+'Mobiland By The Sea MHC'!R44+'Moss Landing'!R71+'Moss Landing (mo321)'!R63+'Oak Springs'!R75+'Oak Springs MHC (oa150)'!R51+'Orange Manor East'!R40+'Orange Manor East (or125)'!R43+'Pacific Manor'!R49+'Pacific Manor (pa602)'!R51+Parkhaven!R106+Ridgecrest!R56+Riverest!R50+'Riverview MHRV LLC'!R53+Rosehaven!R118+'Sanctuary RV Resort'!R230+'Shadow Mountain MHC'!R37+Springhaven!R37+'Star Valley Ranch'!R48+Sunhaven!R44+'Sunny Grove'!R43+Tarponaire!R47+'Val Vista RV Resort'!R76+'Webster RV Resort LLC'!R63+'Wekiva Falls RV Resort'!R87+'West Jupiter RV Resort'!R44+'Western Way RV Resort LLC'!R136</f>
      </c>
      <c r="S16" s="18">
        <f>'Agave Village (ag011)'!S69+'Agave Village LLC'!S58+'Brookhaven Estates (bo260)'!S51+'Brookhaven RV Resort'!S47+'Courtly Manor'!S40+'Courtly Manor Park (co669)'!S41+'Cross Creek RV'!S136+'Cross Creek RV Resort (cr994)'!S142+'El Rio De Oro (el289)'!S38+'El Rio del Oro'!S41+'Endless Summer RV Resort'!S59+'Endless Summer RV Resort (en079'!S51+Evergreen!S38+'Far Horizons'!S38+'Far Horizons (fa105)'!S38+'Floridian Sandalwood (fl356)'!S35+'Floridian Sandalwood MHC'!S39+Glenhaven!S43+'Glenhaven Estates (gl317)'!S43+'Harbor Lights (ha310)'!S44+'Harbor Lights MHC'!S42+'Harvest Gate'!S52+'Hunter Run RV Estates'!S93+'Hunters Run RV Estates (hu116)'!S206+'Jade Isle (ja068)'!S35+'Jade Isle MHC'!S37+'Kakusha Estates (ka045)'!S41+'Kakusha MHC'!S40+'Lakeside Village'!S46+'Lakeside Village (la482)'!S48+'Lakewood Village (la481)'!S107+'Lakewood Village MHC LLC'!S127+'Maple Corner'!S60+'Maple Corner (ma490)'!S50+'Marlboro Court (ma489)'!S38+'Marlboro Court MHC LLC'!S38+'May Manor'!S142+'May Manor (ma488)'!S74+'Mobiland by the Sea (mo320)'!S43+'Mobiland By The Sea MHC'!S44+'Moss Landing'!S71+'Moss Landing (mo321)'!S63+'Oak Springs'!S75+'Oak Springs MHC (oa150)'!S51+'Orange Manor East'!S40+'Orange Manor East (or125)'!S43+'Pacific Manor'!S49+'Pacific Manor (pa602)'!S51+Parkhaven!S106+Ridgecrest!S56+Riverest!S50+'Riverview MHRV LLC'!S53+Rosehaven!S118+'Sanctuary RV Resort'!S230+'Shadow Mountain MHC'!S37+Springhaven!S37+'Star Valley Ranch'!S48+Sunhaven!S44+'Sunny Grove'!S43+Tarponaire!S47+'Val Vista RV Resort'!S76+'Webster RV Resort LLC'!S63+'Wekiva Falls RV Resort'!S87+'West Jupiter RV Resort'!S44+'Western Way RV Resort LLC'!S136</f>
      </c>
      <c r="T16" s="18">
        <f>'Agave Village (ag011)'!T69+'Agave Village LLC'!T58+'Brookhaven Estates (bo260)'!T51+'Brookhaven RV Resort'!T47+'Courtly Manor'!T40+'Courtly Manor Park (co669)'!T41+'Cross Creek RV'!T136+'Cross Creek RV Resort (cr994)'!T142+'El Rio De Oro (el289)'!T38+'El Rio del Oro'!T41+'Endless Summer RV Resort'!T59+'Endless Summer RV Resort (en079'!T51+Evergreen!T38+'Far Horizons'!T38+'Far Horizons (fa105)'!T38+'Floridian Sandalwood (fl356)'!T35+'Floridian Sandalwood MHC'!T39+Glenhaven!T43+'Glenhaven Estates (gl317)'!T43+'Harbor Lights (ha310)'!T44+'Harbor Lights MHC'!T42+'Harvest Gate'!T52+'Hunter Run RV Estates'!T93+'Hunters Run RV Estates (hu116)'!T206+'Jade Isle (ja068)'!T35+'Jade Isle MHC'!T37+'Kakusha Estates (ka045)'!T41+'Kakusha MHC'!T40+'Lakeside Village'!T46+'Lakeside Village (la482)'!T48+'Lakewood Village (la481)'!T107+'Lakewood Village MHC LLC'!T127+'Maple Corner'!T60+'Maple Corner (ma490)'!T50+'Marlboro Court (ma489)'!T38+'Marlboro Court MHC LLC'!T38+'May Manor'!T142+'May Manor (ma488)'!T74+'Mobiland by the Sea (mo320)'!T43+'Mobiland By The Sea MHC'!T44+'Moss Landing'!T71+'Moss Landing (mo321)'!T63+'Oak Springs'!T75+'Oak Springs MHC (oa150)'!T51+'Orange Manor East'!T40+'Orange Manor East (or125)'!T43+'Pacific Manor'!T49+'Pacific Manor (pa602)'!T51+Parkhaven!T106+Ridgecrest!T56+Riverest!T50+'Riverview MHRV LLC'!T53+Rosehaven!T118+'Sanctuary RV Resort'!T230+'Shadow Mountain MHC'!T37+Springhaven!T37+'Star Valley Ranch'!T48+Sunhaven!T44+'Sunny Grove'!T43+Tarponaire!T47+'Val Vista RV Resort'!T76+'Webster RV Resort LLC'!T63+'Wekiva Falls RV Resort'!T87+'West Jupiter RV Resort'!T44+'Western Way RV Resort LLC'!T136</f>
      </c>
      <c r="U16" s="18">
        <f>'Agave Village (ag011)'!U69+'Agave Village LLC'!U58+'Brookhaven Estates (bo260)'!U51+'Brookhaven RV Resort'!U47+'Courtly Manor'!U40+'Courtly Manor Park (co669)'!U41+'Cross Creek RV'!U136+'Cross Creek RV Resort (cr994)'!U142+'El Rio De Oro (el289)'!U38+'El Rio del Oro'!U41+'Endless Summer RV Resort'!U59+'Endless Summer RV Resort (en079'!U51+Evergreen!U38+'Far Horizons'!U38+'Far Horizons (fa105)'!U38+'Floridian Sandalwood (fl356)'!U35+'Floridian Sandalwood MHC'!U39+Glenhaven!U43+'Glenhaven Estates (gl317)'!U43+'Harbor Lights (ha310)'!U44+'Harbor Lights MHC'!U42+'Harvest Gate'!U52+'Hunter Run RV Estates'!U93+'Hunters Run RV Estates (hu116)'!U206+'Jade Isle (ja068)'!U35+'Jade Isle MHC'!U37+'Kakusha Estates (ka045)'!U41+'Kakusha MHC'!U40+'Lakeside Village'!U46+'Lakeside Village (la482)'!U48+'Lakewood Village (la481)'!U107+'Lakewood Village MHC LLC'!U127+'Maple Corner'!U60+'Maple Corner (ma490)'!U50+'Marlboro Court (ma489)'!U38+'Marlboro Court MHC LLC'!U38+'May Manor'!U142+'May Manor (ma488)'!U74+'Mobiland by the Sea (mo320)'!U43+'Mobiland By The Sea MHC'!U44+'Moss Landing'!U71+'Moss Landing (mo321)'!U63+'Oak Springs'!U75+'Oak Springs MHC (oa150)'!U51+'Orange Manor East'!U40+'Orange Manor East (or125)'!U43+'Pacific Manor'!U49+'Pacific Manor (pa602)'!U51+Parkhaven!U106+Ridgecrest!U56+Riverest!U50+'Riverview MHRV LLC'!U53+Rosehaven!U118+'Sanctuary RV Resort'!U230+'Shadow Mountain MHC'!U37+Springhaven!U37+'Star Valley Ranch'!U48+Sunhaven!U44+'Sunny Grove'!U43+Tarponaire!U47+'Val Vista RV Resort'!U76+'Webster RV Resort LLC'!U63+'Wekiva Falls RV Resort'!U87+'West Jupiter RV Resort'!U44+'Western Way RV Resort LLC'!U136</f>
      </c>
      <c r="V16" s="18">
        <f>'Agave Village (ag011)'!V69+'Agave Village LLC'!V58+'Brookhaven Estates (bo260)'!V51+'Brookhaven RV Resort'!V47+'Courtly Manor'!V40+'Courtly Manor Park (co669)'!V41+'Cross Creek RV'!V136+'Cross Creek RV Resort (cr994)'!V142+'El Rio De Oro (el289)'!V38+'El Rio del Oro'!V41+'Endless Summer RV Resort'!V59+'Endless Summer RV Resort (en079'!V51+Evergreen!V38+'Far Horizons'!V38+'Far Horizons (fa105)'!V38+'Floridian Sandalwood (fl356)'!V35+'Floridian Sandalwood MHC'!V39+Glenhaven!V43+'Glenhaven Estates (gl317)'!V43+'Harbor Lights (ha310)'!V44+'Harbor Lights MHC'!V42+'Harvest Gate'!V52+'Hunter Run RV Estates'!V93+'Hunters Run RV Estates (hu116)'!V206+'Jade Isle (ja068)'!V35+'Jade Isle MHC'!V37+'Kakusha Estates (ka045)'!V41+'Kakusha MHC'!V40+'Lakeside Village'!V46+'Lakeside Village (la482)'!V48+'Lakewood Village (la481)'!V107+'Lakewood Village MHC LLC'!V127+'Maple Corner'!V60+'Maple Corner (ma490)'!V50+'Marlboro Court (ma489)'!V38+'Marlboro Court MHC LLC'!V38+'May Manor'!V142+'May Manor (ma488)'!V74+'Mobiland by the Sea (mo320)'!V43+'Mobiland By The Sea MHC'!V44+'Moss Landing'!V71+'Moss Landing (mo321)'!V63+'Oak Springs'!V75+'Oak Springs MHC (oa150)'!V51+'Orange Manor East'!V40+'Orange Manor East (or125)'!V43+'Pacific Manor'!V49+'Pacific Manor (pa602)'!V51+Parkhaven!V106+Ridgecrest!V56+Riverest!V50+'Riverview MHRV LLC'!V53+Rosehaven!V118+'Sanctuary RV Resort'!V230+'Shadow Mountain MHC'!V37+Springhaven!V37+'Star Valley Ranch'!V48+Sunhaven!V44+'Sunny Grove'!V43+Tarponaire!V47+'Val Vista RV Resort'!V76+'Webster RV Resort LLC'!V63+'Wekiva Falls RV Resort'!V87+'West Jupiter RV Resort'!V44+'Western Way RV Resort LLC'!V136</f>
      </c>
      <c r="W16" s="18">
        <f>'Agave Village (ag011)'!W69+'Agave Village LLC'!W58+'Brookhaven Estates (bo260)'!W51+'Brookhaven RV Resort'!W47+'Courtly Manor'!W40+'Courtly Manor Park (co669)'!W41+'Cross Creek RV'!W136+'Cross Creek RV Resort (cr994)'!W142+'El Rio De Oro (el289)'!W38+'El Rio del Oro'!W41+'Endless Summer RV Resort'!W59+'Endless Summer RV Resort (en079'!W51+Evergreen!W38+'Far Horizons'!W38+'Far Horizons (fa105)'!W38+'Floridian Sandalwood (fl356)'!W35+'Floridian Sandalwood MHC'!W39+Glenhaven!W43+'Glenhaven Estates (gl317)'!W43+'Harbor Lights (ha310)'!W44+'Harbor Lights MHC'!W42+'Harvest Gate'!W52+'Hunter Run RV Estates'!W93+'Hunters Run RV Estates (hu116)'!W206+'Jade Isle (ja068)'!W35+'Jade Isle MHC'!W37+'Kakusha Estates (ka045)'!W41+'Kakusha MHC'!W40+'Lakeside Village'!W46+'Lakeside Village (la482)'!W48+'Lakewood Village (la481)'!W107+'Lakewood Village MHC LLC'!W127+'Maple Corner'!W60+'Maple Corner (ma490)'!W50+'Marlboro Court (ma489)'!W38+'Marlboro Court MHC LLC'!W38+'May Manor'!W142+'May Manor (ma488)'!W74+'Mobiland by the Sea (mo320)'!W43+'Mobiland By The Sea MHC'!W44+'Moss Landing'!W71+'Moss Landing (mo321)'!W63+'Oak Springs'!W75+'Oak Springs MHC (oa150)'!W51+'Orange Manor East'!W40+'Orange Manor East (or125)'!W43+'Pacific Manor'!W49+'Pacific Manor (pa602)'!W51+Parkhaven!W106+Ridgecrest!W56+Riverest!W50+'Riverview MHRV LLC'!W53+Rosehaven!W118+'Sanctuary RV Resort'!W230+'Shadow Mountain MHC'!W37+Springhaven!W37+'Star Valley Ranch'!W48+Sunhaven!W44+'Sunny Grove'!W43+Tarponaire!W47+'Val Vista RV Resort'!W76+'Webster RV Resort LLC'!W63+'Wekiva Falls RV Resort'!W87+'West Jupiter RV Resort'!W44+'Western Way RV Resort LLC'!W136</f>
      </c>
      <c r="X16" s="18">
        <f>'Agave Village (ag011)'!X69+'Agave Village LLC'!X58+'Brookhaven Estates (bo260)'!X51+'Brookhaven RV Resort'!X47+'Courtly Manor'!X40+'Courtly Manor Park (co669)'!X41+'Cross Creek RV'!X136+'Cross Creek RV Resort (cr994)'!X142+'El Rio De Oro (el289)'!X38+'El Rio del Oro'!X41+'Endless Summer RV Resort'!X59+'Endless Summer RV Resort (en079'!X51+Evergreen!X38+'Far Horizons'!X38+'Far Horizons (fa105)'!X38+'Floridian Sandalwood (fl356)'!X35+'Floridian Sandalwood MHC'!X39+Glenhaven!X43+'Glenhaven Estates (gl317)'!X43+'Harbor Lights (ha310)'!X44+'Harbor Lights MHC'!X42+'Harvest Gate'!X52+'Hunter Run RV Estates'!X93+'Hunters Run RV Estates (hu116)'!X206+'Jade Isle (ja068)'!X35+'Jade Isle MHC'!X37+'Kakusha Estates (ka045)'!X41+'Kakusha MHC'!X40+'Lakeside Village'!X46+'Lakeside Village (la482)'!X48+'Lakewood Village (la481)'!X107+'Lakewood Village MHC LLC'!X127+'Maple Corner'!X60+'Maple Corner (ma490)'!X50+'Marlboro Court (ma489)'!X38+'Marlboro Court MHC LLC'!X38+'May Manor'!X142+'May Manor (ma488)'!X74+'Mobiland by the Sea (mo320)'!X43+'Mobiland By The Sea MHC'!X44+'Moss Landing'!X71+'Moss Landing (mo321)'!X63+'Oak Springs'!X75+'Oak Springs MHC (oa150)'!X51+'Orange Manor East'!X40+'Orange Manor East (or125)'!X43+'Pacific Manor'!X49+'Pacific Manor (pa602)'!X51+Parkhaven!X106+Ridgecrest!X56+Riverest!X50+'Riverview MHRV LLC'!X53+Rosehaven!X118+'Sanctuary RV Resort'!X230+'Shadow Mountain MHC'!X37+Springhaven!X37+'Star Valley Ranch'!X48+Sunhaven!X44+'Sunny Grove'!X43+Tarponaire!X47+'Val Vista RV Resort'!X76+'Webster RV Resort LLC'!X63+'Wekiva Falls RV Resort'!X87+'West Jupiter RV Resort'!X44+'Western Way RV Resort LLC'!X136</f>
      </c>
      <c r="Y16" s="18">
        <f>'Agave Village (ag011)'!Y69+'Agave Village LLC'!Y58+'Brookhaven Estates (bo260)'!Y51+'Brookhaven RV Resort'!Y47+'Courtly Manor'!Y40+'Courtly Manor Park (co669)'!Y41+'Cross Creek RV'!Y136+'Cross Creek RV Resort (cr994)'!Y142+'El Rio De Oro (el289)'!Y38+'El Rio del Oro'!Y41+'Endless Summer RV Resort'!Y59+'Endless Summer RV Resort (en079'!Y51+Evergreen!Y38+'Far Horizons'!Y38+'Far Horizons (fa105)'!Y38+'Floridian Sandalwood (fl356)'!Y35+'Floridian Sandalwood MHC'!Y39+Glenhaven!Y43+'Glenhaven Estates (gl317)'!Y43+'Harbor Lights (ha310)'!Y44+'Harbor Lights MHC'!Y42+'Harvest Gate'!Y52+'Hunter Run RV Estates'!Y93+'Hunters Run RV Estates (hu116)'!Y206+'Jade Isle (ja068)'!Y35+'Jade Isle MHC'!Y37+'Kakusha Estates (ka045)'!Y41+'Kakusha MHC'!Y40+'Lakeside Village'!Y46+'Lakeside Village (la482)'!Y48+'Lakewood Village (la481)'!Y107+'Lakewood Village MHC LLC'!Y127+'Maple Corner'!Y60+'Maple Corner (ma490)'!Y50+'Marlboro Court (ma489)'!Y38+'Marlboro Court MHC LLC'!Y38+'May Manor'!Y142+'May Manor (ma488)'!Y74+'Mobiland by the Sea (mo320)'!Y43+'Mobiland By The Sea MHC'!Y44+'Moss Landing'!Y71+'Moss Landing (mo321)'!Y63+'Oak Springs'!Y75+'Oak Springs MHC (oa150)'!Y51+'Orange Manor East'!Y40+'Orange Manor East (or125)'!Y43+'Pacific Manor'!Y49+'Pacific Manor (pa602)'!Y51+Parkhaven!Y106+Ridgecrest!Y56+Riverest!Y50+'Riverview MHRV LLC'!Y53+Rosehaven!Y118+'Sanctuary RV Resort'!Y230+'Shadow Mountain MHC'!Y37+Springhaven!Y37+'Star Valley Ranch'!Y48+Sunhaven!Y44+'Sunny Grove'!Y43+Tarponaire!Y47+'Val Vista RV Resort'!Y76+'Webster RV Resort LLC'!Y63+'Wekiva Falls RV Resort'!Y87+'West Jupiter RV Resort'!Y44+'Western Way RV Resort LLC'!Y136</f>
      </c>
      <c r="Z16" s="18">
        <f>'Agave Village (ag011)'!Z69+'Agave Village LLC'!Z58+'Brookhaven Estates (bo260)'!Z51+'Brookhaven RV Resort'!Z47+'Courtly Manor'!Z40+'Courtly Manor Park (co669)'!Z41+'Cross Creek RV'!Z136+'Cross Creek RV Resort (cr994)'!Z142+'El Rio De Oro (el289)'!Z38+'El Rio del Oro'!Z41+'Endless Summer RV Resort'!Z59+'Endless Summer RV Resort (en079'!Z51+Evergreen!Z38+'Far Horizons'!Z38+'Far Horizons (fa105)'!Z38+'Floridian Sandalwood (fl356)'!Z35+'Floridian Sandalwood MHC'!Z39+Glenhaven!Z43+'Glenhaven Estates (gl317)'!Z43+'Harbor Lights (ha310)'!Z44+'Harbor Lights MHC'!Z42+'Harvest Gate'!Z52+'Hunter Run RV Estates'!Z93+'Hunters Run RV Estates (hu116)'!Z206+'Jade Isle (ja068)'!Z35+'Jade Isle MHC'!Z37+'Kakusha Estates (ka045)'!Z41+'Kakusha MHC'!Z40+'Lakeside Village'!Z46+'Lakeside Village (la482)'!Z48+'Lakewood Village (la481)'!Z107+'Lakewood Village MHC LLC'!Z127+'Maple Corner'!Z60+'Maple Corner (ma490)'!Z50+'Marlboro Court (ma489)'!Z38+'Marlboro Court MHC LLC'!Z38+'May Manor'!Z142+'May Manor (ma488)'!Z74+'Mobiland by the Sea (mo320)'!Z43+'Mobiland By The Sea MHC'!Z44+'Moss Landing'!Z71+'Moss Landing (mo321)'!Z63+'Oak Springs'!Z75+'Oak Springs MHC (oa150)'!Z51+'Orange Manor East'!Z40+'Orange Manor East (or125)'!Z43+'Pacific Manor'!Z49+'Pacific Manor (pa602)'!Z51+Parkhaven!Z106+Ridgecrest!Z56+Riverest!Z50+'Riverview MHRV LLC'!Z53+Rosehaven!Z118+'Sanctuary RV Resort'!Z230+'Shadow Mountain MHC'!Z37+Springhaven!Z37+'Star Valley Ranch'!Z48+Sunhaven!Z44+'Sunny Grove'!Z43+Tarponaire!Z47+'Val Vista RV Resort'!Z76+'Webster RV Resort LLC'!Z63+'Wekiva Falls RV Resort'!Z87+'West Jupiter RV Resort'!Z44+'Western Way RV Resort LLC'!Z136</f>
      </c>
      <c r="AA16" s="18">
        <f>'Agave Village (ag011)'!AA69+'Agave Village LLC'!AA58+'Brookhaven Estates (bo260)'!AA51+'Brookhaven RV Resort'!AA47+'Courtly Manor'!AA40+'Courtly Manor Park (co669)'!AA41+'Cross Creek RV'!AA136+'Cross Creek RV Resort (cr994)'!AA142+'El Rio De Oro (el289)'!AA38+'El Rio del Oro'!AA41+'Endless Summer RV Resort'!AA59+'Endless Summer RV Resort (en079'!AA51+Evergreen!AA38+'Far Horizons'!AA38+'Far Horizons (fa105)'!AA38+'Floridian Sandalwood (fl356)'!AA35+'Floridian Sandalwood MHC'!AA39+Glenhaven!AA43+'Glenhaven Estates (gl317)'!AA43+'Harbor Lights (ha310)'!AA44+'Harbor Lights MHC'!AA42+'Harvest Gate'!AA52+'Hunter Run RV Estates'!AA93+'Hunters Run RV Estates (hu116)'!AA206+'Jade Isle (ja068)'!AA35+'Jade Isle MHC'!AA37+'Kakusha Estates (ka045)'!AA41+'Kakusha MHC'!AA40+'Lakeside Village'!AA46+'Lakeside Village (la482)'!AA48+'Lakewood Village (la481)'!AA107+'Lakewood Village MHC LLC'!AA127+'Maple Corner'!AA60+'Maple Corner (ma490)'!AA50+'Marlboro Court (ma489)'!AA38+'Marlboro Court MHC LLC'!AA38+'May Manor'!AA142+'May Manor (ma488)'!AA74+'Mobiland by the Sea (mo320)'!AA43+'Mobiland By The Sea MHC'!AA44+'Moss Landing'!AA71+'Moss Landing (mo321)'!AA63+'Oak Springs'!AA75+'Oak Springs MHC (oa150)'!AA51+'Orange Manor East'!AA40+'Orange Manor East (or125)'!AA43+'Pacific Manor'!AA49+'Pacific Manor (pa602)'!AA51+Parkhaven!AA106+Ridgecrest!AA56+Riverest!AA50+'Riverview MHRV LLC'!AA53+Rosehaven!AA118+'Sanctuary RV Resort'!AA230+'Shadow Mountain MHC'!AA37+Springhaven!AA37+'Star Valley Ranch'!AA48+Sunhaven!AA44+'Sunny Grove'!AA43+Tarponaire!AA47+'Val Vista RV Resort'!AA76+'Webster RV Resort LLC'!AA63+'Wekiva Falls RV Resort'!AA87+'West Jupiter RV Resort'!AA44+'Western Way RV Resort LLC'!AA136</f>
      </c>
      <c r="AB16" s="18">
        <f>'Agave Village (ag011)'!AB69+'Agave Village LLC'!AB58+'Brookhaven Estates (bo260)'!AB51+'Brookhaven RV Resort'!AB47+'Courtly Manor'!AB40+'Courtly Manor Park (co669)'!AB41+'Cross Creek RV'!AB136+'Cross Creek RV Resort (cr994)'!AB142+'El Rio De Oro (el289)'!AB38+'El Rio del Oro'!AB41+'Endless Summer RV Resort'!AB59+'Endless Summer RV Resort (en079'!AB51+Evergreen!AB38+'Far Horizons'!AB38+'Far Horizons (fa105)'!AB38+'Floridian Sandalwood (fl356)'!AB35+'Floridian Sandalwood MHC'!AB39+Glenhaven!AB43+'Glenhaven Estates (gl317)'!AB43+'Harbor Lights (ha310)'!AB44+'Harbor Lights MHC'!AB42+'Harvest Gate'!AB52+'Hunter Run RV Estates'!AB93+'Hunters Run RV Estates (hu116)'!AB206+'Jade Isle (ja068)'!AB35+'Jade Isle MHC'!AB37+'Kakusha Estates (ka045)'!AB41+'Kakusha MHC'!AB40+'Lakeside Village'!AB46+'Lakeside Village (la482)'!AB48+'Lakewood Village (la481)'!AB107+'Lakewood Village MHC LLC'!AB127+'Maple Corner'!AB60+'Maple Corner (ma490)'!AB50+'Marlboro Court (ma489)'!AB38+'Marlboro Court MHC LLC'!AB38+'May Manor'!AB142+'May Manor (ma488)'!AB74+'Mobiland by the Sea (mo320)'!AB43+'Mobiland By The Sea MHC'!AB44+'Moss Landing'!AB71+'Moss Landing (mo321)'!AB63+'Oak Springs'!AB75+'Oak Springs MHC (oa150)'!AB51+'Orange Manor East'!AB40+'Orange Manor East (or125)'!AB43+'Pacific Manor'!AB49+'Pacific Manor (pa602)'!AB51+Parkhaven!AB106+Ridgecrest!AB56+Riverest!AB50+'Riverview MHRV LLC'!AB53+Rosehaven!AB118+'Sanctuary RV Resort'!AB230+'Shadow Mountain MHC'!AB37+Springhaven!AB37+'Star Valley Ranch'!AB48+Sunhaven!AB44+'Sunny Grove'!AB43+Tarponaire!AB47+'Val Vista RV Resort'!AB76+'Webster RV Resort LLC'!AB63+'Wekiva Falls RV Resort'!AB87+'West Jupiter RV Resort'!AB44+'Western Way RV Resort LLC'!AB136</f>
      </c>
      <c r="AC16" s="18">
        <f>'Agave Village (ag011)'!AC69+'Agave Village LLC'!AC58+'Brookhaven Estates (bo260)'!AC51+'Brookhaven RV Resort'!AC47+'Courtly Manor'!AC40+'Courtly Manor Park (co669)'!AC41+'Cross Creek RV'!AC136+'Cross Creek RV Resort (cr994)'!AC142+'El Rio De Oro (el289)'!AC38+'El Rio del Oro'!AC41+'Endless Summer RV Resort'!AC59+'Endless Summer RV Resort (en079'!AC51+Evergreen!AC38+'Far Horizons'!AC38+'Far Horizons (fa105)'!AC38+'Floridian Sandalwood (fl356)'!AC35+'Floridian Sandalwood MHC'!AC39+Glenhaven!AC43+'Glenhaven Estates (gl317)'!AC43+'Harbor Lights (ha310)'!AC44+'Harbor Lights MHC'!AC42+'Harvest Gate'!AC52+'Hunter Run RV Estates'!AC93+'Hunters Run RV Estates (hu116)'!AC206+'Jade Isle (ja068)'!AC35+'Jade Isle MHC'!AC37+'Kakusha Estates (ka045)'!AC41+'Kakusha MHC'!AC40+'Lakeside Village'!AC46+'Lakeside Village (la482)'!AC48+'Lakewood Village (la481)'!AC107+'Lakewood Village MHC LLC'!AC127+'Maple Corner'!AC60+'Maple Corner (ma490)'!AC50+'Marlboro Court (ma489)'!AC38+'Marlboro Court MHC LLC'!AC38+'May Manor'!AC142+'May Manor (ma488)'!AC74+'Mobiland by the Sea (mo320)'!AC43+'Mobiland By The Sea MHC'!AC44+'Moss Landing'!AC71+'Moss Landing (mo321)'!AC63+'Oak Springs'!AC75+'Oak Springs MHC (oa150)'!AC51+'Orange Manor East'!AC40+'Orange Manor East (or125)'!AC43+'Pacific Manor'!AC49+'Pacific Manor (pa602)'!AC51+Parkhaven!AC106+Ridgecrest!AC56+Riverest!AC50+'Riverview MHRV LLC'!AC53+Rosehaven!AC118+'Sanctuary RV Resort'!AC230+'Shadow Mountain MHC'!AC37+Springhaven!AC37+'Star Valley Ranch'!AC48+Sunhaven!AC44+'Sunny Grove'!AC43+Tarponaire!AC47+'Val Vista RV Resort'!AC76+'Webster RV Resort LLC'!AC63+'Wekiva Falls RV Resort'!AC87+'West Jupiter RV Resort'!AC44+'Western Way RV Resort LLC'!AC136</f>
      </c>
      <c r="AD16" s="18">
        <f>'Agave Village (ag011)'!AD69+'Agave Village LLC'!AD58+'Brookhaven Estates (bo260)'!AD51+'Brookhaven RV Resort'!AD47+'Courtly Manor'!AD40+'Courtly Manor Park (co669)'!AD41+'Cross Creek RV'!AD136+'Cross Creek RV Resort (cr994)'!AD142+'El Rio De Oro (el289)'!AD38+'El Rio del Oro'!AD41+'Endless Summer RV Resort'!AD59+'Endless Summer RV Resort (en079'!AD51+Evergreen!AD38+'Far Horizons'!AD38+'Far Horizons (fa105)'!AD38+'Floridian Sandalwood (fl356)'!AD35+'Floridian Sandalwood MHC'!AD39+Glenhaven!AD43+'Glenhaven Estates (gl317)'!AD43+'Harbor Lights (ha310)'!AD44+'Harbor Lights MHC'!AD42+'Harvest Gate'!AD52+'Hunter Run RV Estates'!AD93+'Hunters Run RV Estates (hu116)'!AD206+'Jade Isle (ja068)'!AD35+'Jade Isle MHC'!AD37+'Kakusha Estates (ka045)'!AD41+'Kakusha MHC'!AD40+'Lakeside Village'!AD46+'Lakeside Village (la482)'!AD48+'Lakewood Village (la481)'!AD107+'Lakewood Village MHC LLC'!AD127+'Maple Corner'!AD60+'Maple Corner (ma490)'!AD50+'Marlboro Court (ma489)'!AD38+'Marlboro Court MHC LLC'!AD38+'May Manor'!AD142+'May Manor (ma488)'!AD74+'Mobiland by the Sea (mo320)'!AD43+'Mobiland By The Sea MHC'!AD44+'Moss Landing'!AD71+'Moss Landing (mo321)'!AD63+'Oak Springs'!AD75+'Oak Springs MHC (oa150)'!AD51+'Orange Manor East'!AD40+'Orange Manor East (or125)'!AD43+'Pacific Manor'!AD49+'Pacific Manor (pa602)'!AD51+Parkhaven!AD106+Ridgecrest!AD56+Riverest!AD50+'Riverview MHRV LLC'!AD53+Rosehaven!AD118+'Sanctuary RV Resort'!AD230+'Shadow Mountain MHC'!AD37+Springhaven!AD37+'Star Valley Ranch'!AD48+Sunhaven!AD44+'Sunny Grove'!AD43+Tarponaire!AD47+'Val Vista RV Resort'!AD76+'Webster RV Resort LLC'!AD63+'Wekiva Falls RV Resort'!AD87+'West Jupiter RV Resort'!AD44+'Western Way RV Resort LLC'!AD136</f>
      </c>
      <c r="AE16" s="18">
        <f>'Agave Village (ag011)'!AE69+'Agave Village LLC'!AE58+'Brookhaven Estates (bo260)'!AE51+'Brookhaven RV Resort'!AE47+'Courtly Manor'!AE40+'Courtly Manor Park (co669)'!AE41+'Cross Creek RV'!AE136+'Cross Creek RV Resort (cr994)'!AE142+'El Rio De Oro (el289)'!AE38+'El Rio del Oro'!AE41+'Endless Summer RV Resort'!AE59+'Endless Summer RV Resort (en079'!AE51+Evergreen!AE38+'Far Horizons'!AE38+'Far Horizons (fa105)'!AE38+'Floridian Sandalwood (fl356)'!AE35+'Floridian Sandalwood MHC'!AE39+Glenhaven!AE43+'Glenhaven Estates (gl317)'!AE43+'Harbor Lights (ha310)'!AE44+'Harbor Lights MHC'!AE42+'Harvest Gate'!AE52+'Hunter Run RV Estates'!AE93+'Hunters Run RV Estates (hu116)'!AE206+'Jade Isle (ja068)'!AE35+'Jade Isle MHC'!AE37+'Kakusha Estates (ka045)'!AE41+'Kakusha MHC'!AE40+'Lakeside Village'!AE46+'Lakeside Village (la482)'!AE48+'Lakewood Village (la481)'!AE107+'Lakewood Village MHC LLC'!AE127+'Maple Corner'!AE60+'Maple Corner (ma490)'!AE50+'Marlboro Court (ma489)'!AE38+'Marlboro Court MHC LLC'!AE38+'May Manor'!AE142+'May Manor (ma488)'!AE74+'Mobiland by the Sea (mo320)'!AE43+'Mobiland By The Sea MHC'!AE44+'Moss Landing'!AE71+'Moss Landing (mo321)'!AE63+'Oak Springs'!AE75+'Oak Springs MHC (oa150)'!AE51+'Orange Manor East'!AE40+'Orange Manor East (or125)'!AE43+'Pacific Manor'!AE49+'Pacific Manor (pa602)'!AE51+Parkhaven!AE106+Ridgecrest!AE56+Riverest!AE50+'Riverview MHRV LLC'!AE53+Rosehaven!AE118+'Sanctuary RV Resort'!AE230+'Shadow Mountain MHC'!AE37+Springhaven!AE37+'Star Valley Ranch'!AE48+Sunhaven!AE44+'Sunny Grove'!AE43+Tarponaire!AE47+'Val Vista RV Resort'!AE76+'Webster RV Resort LLC'!AE63+'Wekiva Falls RV Resort'!AE87+'West Jupiter RV Resort'!AE44+'Western Way RV Resort LLC'!AE136</f>
      </c>
      <c r="AF16" s="18">
        <f>'Agave Village (ag011)'!AF69+'Agave Village LLC'!AF58+'Brookhaven Estates (bo260)'!AF51+'Brookhaven RV Resort'!AF47+'Courtly Manor'!AF40+'Courtly Manor Park (co669)'!AF41+'Cross Creek RV'!AF136+'Cross Creek RV Resort (cr994)'!AF142+'El Rio De Oro (el289)'!AF38+'El Rio del Oro'!AF41+'Endless Summer RV Resort'!AF59+'Endless Summer RV Resort (en079'!AF51+Evergreen!AF38+'Far Horizons'!AF38+'Far Horizons (fa105)'!AF38+'Floridian Sandalwood (fl356)'!AF35+'Floridian Sandalwood MHC'!AF39+Glenhaven!AF43+'Glenhaven Estates (gl317)'!AF43+'Harbor Lights (ha310)'!AF44+'Harbor Lights MHC'!AF42+'Harvest Gate'!AF52+'Hunter Run RV Estates'!AF93+'Hunters Run RV Estates (hu116)'!AF206+'Jade Isle (ja068)'!AF35+'Jade Isle MHC'!AF37+'Kakusha Estates (ka045)'!AF41+'Kakusha MHC'!AF40+'Lakeside Village'!AF46+'Lakeside Village (la482)'!AF48+'Lakewood Village (la481)'!AF107+'Lakewood Village MHC LLC'!AF127+'Maple Corner'!AF60+'Maple Corner (ma490)'!AF50+'Marlboro Court (ma489)'!AF38+'Marlboro Court MHC LLC'!AF38+'May Manor'!AF142+'May Manor (ma488)'!AF74+'Mobiland by the Sea (mo320)'!AF43+'Mobiland By The Sea MHC'!AF44+'Moss Landing'!AF71+'Moss Landing (mo321)'!AF63+'Oak Springs'!AF75+'Oak Springs MHC (oa150)'!AF51+'Orange Manor East'!AF40+'Orange Manor East (or125)'!AF43+'Pacific Manor'!AF49+'Pacific Manor (pa602)'!AF51+Parkhaven!AF106+Ridgecrest!AF56+Riverest!AF50+'Riverview MHRV LLC'!AF53+Rosehaven!AF118+'Sanctuary RV Resort'!AF230+'Shadow Mountain MHC'!AF37+Springhaven!AF37+'Star Valley Ranch'!AF48+Sunhaven!AF44+'Sunny Grove'!AF43+Tarponaire!AF47+'Val Vista RV Resort'!AF76+'Webster RV Resort LLC'!AF63+'Wekiva Falls RV Resort'!AF87+'West Jupiter RV Resort'!AF44+'Western Way RV Resort LLC'!AF136</f>
      </c>
      <c r="AG16" s="18">
        <f>'Agave Village (ag011)'!AG69+'Agave Village LLC'!AG58+'Brookhaven Estates (bo260)'!AG51+'Brookhaven RV Resort'!AG47+'Courtly Manor'!AG40+'Courtly Manor Park (co669)'!AG41+'Cross Creek RV'!AG136+'Cross Creek RV Resort (cr994)'!AG142+'El Rio De Oro (el289)'!AG38+'El Rio del Oro'!AG41+'Endless Summer RV Resort'!AG59+'Endless Summer RV Resort (en079'!AG51+Evergreen!AG38+'Far Horizons'!AG38+'Far Horizons (fa105)'!AG38+'Floridian Sandalwood (fl356)'!AG35+'Floridian Sandalwood MHC'!AG39+Glenhaven!AG43+'Glenhaven Estates (gl317)'!AG43+'Harbor Lights (ha310)'!AG44+'Harbor Lights MHC'!AG42+'Harvest Gate'!AG52+'Hunter Run RV Estates'!AG93+'Hunters Run RV Estates (hu116)'!AG206+'Jade Isle (ja068)'!AG35+'Jade Isle MHC'!AG37+'Kakusha Estates (ka045)'!AG41+'Kakusha MHC'!AG40+'Lakeside Village'!AG46+'Lakeside Village (la482)'!AG48+'Lakewood Village (la481)'!AG107+'Lakewood Village MHC LLC'!AG127+'Maple Corner'!AG60+'Maple Corner (ma490)'!AG50+'Marlboro Court (ma489)'!AG38+'Marlboro Court MHC LLC'!AG38+'May Manor'!AG142+'May Manor (ma488)'!AG74+'Mobiland by the Sea (mo320)'!AG43+'Mobiland By The Sea MHC'!AG44+'Moss Landing'!AG71+'Moss Landing (mo321)'!AG63+'Oak Springs'!AG75+'Oak Springs MHC (oa150)'!AG51+'Orange Manor East'!AG40+'Orange Manor East (or125)'!AG43+'Pacific Manor'!AG49+'Pacific Manor (pa602)'!AG51+Parkhaven!AG106+Ridgecrest!AG56+Riverest!AG50+'Riverview MHRV LLC'!AG53+Rosehaven!AG118+'Sanctuary RV Resort'!AG230+'Shadow Mountain MHC'!AG37+Springhaven!AG37+'Star Valley Ranch'!AG48+Sunhaven!AG44+'Sunny Grove'!AG43+Tarponaire!AG47+'Val Vista RV Resort'!AG76+'Webster RV Resort LLC'!AG63+'Wekiva Falls RV Resort'!AG87+'West Jupiter RV Resort'!AG44+'Western Way RV Resort LLC'!AG136</f>
      </c>
      <c r="AH16" s="18">
        <f>'Agave Village (ag011)'!AH69+'Agave Village LLC'!AH58+'Brookhaven Estates (bo260)'!AH51+'Brookhaven RV Resort'!AH47+'Courtly Manor'!AH40+'Courtly Manor Park (co669)'!AH41+'Cross Creek RV'!AH136+'Cross Creek RV Resort (cr994)'!AH142+'El Rio De Oro (el289)'!AH38+'El Rio del Oro'!AH41+'Endless Summer RV Resort'!AH59+'Endless Summer RV Resort (en079'!AH51+Evergreen!AH38+'Far Horizons'!AH38+'Far Horizons (fa105)'!AH38+'Floridian Sandalwood (fl356)'!AH35+'Floridian Sandalwood MHC'!AH39+Glenhaven!AH43+'Glenhaven Estates (gl317)'!AH43+'Harbor Lights (ha310)'!AH44+'Harbor Lights MHC'!AH42+'Harvest Gate'!AH52+'Hunter Run RV Estates'!AH93+'Hunters Run RV Estates (hu116)'!AH206+'Jade Isle (ja068)'!AH35+'Jade Isle MHC'!AH37+'Kakusha Estates (ka045)'!AH41+'Kakusha MHC'!AH40+'Lakeside Village'!AH46+'Lakeside Village (la482)'!AH48+'Lakewood Village (la481)'!AH107+'Lakewood Village MHC LLC'!AH127+'Maple Corner'!AH60+'Maple Corner (ma490)'!AH50+'Marlboro Court (ma489)'!AH38+'Marlboro Court MHC LLC'!AH38+'May Manor'!AH142+'May Manor (ma488)'!AH74+'Mobiland by the Sea (mo320)'!AH43+'Mobiland By The Sea MHC'!AH44+'Moss Landing'!AH71+'Moss Landing (mo321)'!AH63+'Oak Springs'!AH75+'Oak Springs MHC (oa150)'!AH51+'Orange Manor East'!AH40+'Orange Manor East (or125)'!AH43+'Pacific Manor'!AH49+'Pacific Manor (pa602)'!AH51+Parkhaven!AH106+Ridgecrest!AH56+Riverest!AH50+'Riverview MHRV LLC'!AH53+Rosehaven!AH118+'Sanctuary RV Resort'!AH230+'Shadow Mountain MHC'!AH37+Springhaven!AH37+'Star Valley Ranch'!AH48+Sunhaven!AH44+'Sunny Grove'!AH43+Tarponaire!AH47+'Val Vista RV Resort'!AH76+'Webster RV Resort LLC'!AH63+'Wekiva Falls RV Resort'!AH87+'West Jupiter RV Resort'!AH44+'Western Way RV Resort LLC'!AH136</f>
      </c>
      <c r="AI16" s="18">
        <f>'Agave Village (ag011)'!AI69+'Agave Village LLC'!AI58+'Brookhaven Estates (bo260)'!AI51+'Brookhaven RV Resort'!AI47+'Courtly Manor'!AI40+'Courtly Manor Park (co669)'!AI41+'Cross Creek RV'!AI136+'Cross Creek RV Resort (cr994)'!AI142+'El Rio De Oro (el289)'!AI38+'El Rio del Oro'!AI41+'Endless Summer RV Resort'!AI59+'Endless Summer RV Resort (en079'!AI51+Evergreen!AI38+'Far Horizons'!AI38+'Far Horizons (fa105)'!AI38+'Floridian Sandalwood (fl356)'!AI35+'Floridian Sandalwood MHC'!AI39+Glenhaven!AI43+'Glenhaven Estates (gl317)'!AI43+'Harbor Lights (ha310)'!AI44+'Harbor Lights MHC'!AI42+'Harvest Gate'!AI52+'Hunter Run RV Estates'!AI93+'Hunters Run RV Estates (hu116)'!AI206+'Jade Isle (ja068)'!AI35+'Jade Isle MHC'!AI37+'Kakusha Estates (ka045)'!AI41+'Kakusha MHC'!AI40+'Lakeside Village'!AI46+'Lakeside Village (la482)'!AI48+'Lakewood Village (la481)'!AI107+'Lakewood Village MHC LLC'!AI127+'Maple Corner'!AI60+'Maple Corner (ma490)'!AI50+'Marlboro Court (ma489)'!AI38+'Marlboro Court MHC LLC'!AI38+'May Manor'!AI142+'May Manor (ma488)'!AI74+'Mobiland by the Sea (mo320)'!AI43+'Mobiland By The Sea MHC'!AI44+'Moss Landing'!AI71+'Moss Landing (mo321)'!AI63+'Oak Springs'!AI75+'Oak Springs MHC (oa150)'!AI51+'Orange Manor East'!AI40+'Orange Manor East (or125)'!AI43+'Pacific Manor'!AI49+'Pacific Manor (pa602)'!AI51+Parkhaven!AI106+Ridgecrest!AI56+Riverest!AI50+'Riverview MHRV LLC'!AI53+Rosehaven!AI118+'Sanctuary RV Resort'!AI230+'Shadow Mountain MHC'!AI37+Springhaven!AI37+'Star Valley Ranch'!AI48+Sunhaven!AI44+'Sunny Grove'!AI43+Tarponaire!AI47+'Val Vista RV Resort'!AI76+'Webster RV Resort LLC'!AI63+'Wekiva Falls RV Resort'!AI87+'West Jupiter RV Resort'!AI44+'Western Way RV Resort LLC'!AI136</f>
      </c>
      <c r="AJ16" s="18">
        <f>'Agave Village (ag011)'!AJ69+'Agave Village LLC'!AJ58+'Brookhaven Estates (bo260)'!AJ51+'Brookhaven RV Resort'!AJ47+'Courtly Manor'!AJ40+'Courtly Manor Park (co669)'!AJ41+'Cross Creek RV'!AJ136+'Cross Creek RV Resort (cr994)'!AJ142+'El Rio De Oro (el289)'!AJ38+'El Rio del Oro'!AJ41+'Endless Summer RV Resort'!AJ59+'Endless Summer RV Resort (en079'!AJ51+Evergreen!AJ38+'Far Horizons'!AJ38+'Far Horizons (fa105)'!AJ38+'Floridian Sandalwood (fl356)'!AJ35+'Floridian Sandalwood MHC'!AJ39+Glenhaven!AJ43+'Glenhaven Estates (gl317)'!AJ43+'Harbor Lights (ha310)'!AJ44+'Harbor Lights MHC'!AJ42+'Harvest Gate'!AJ52+'Hunter Run RV Estates'!AJ93+'Hunters Run RV Estates (hu116)'!AJ206+'Jade Isle (ja068)'!AJ35+'Jade Isle MHC'!AJ37+'Kakusha Estates (ka045)'!AJ41+'Kakusha MHC'!AJ40+'Lakeside Village'!AJ46+'Lakeside Village (la482)'!AJ48+'Lakewood Village (la481)'!AJ107+'Lakewood Village MHC LLC'!AJ127+'Maple Corner'!AJ60+'Maple Corner (ma490)'!AJ50+'Marlboro Court (ma489)'!AJ38+'Marlboro Court MHC LLC'!AJ38+'May Manor'!AJ142+'May Manor (ma488)'!AJ74+'Mobiland by the Sea (mo320)'!AJ43+'Mobiland By The Sea MHC'!AJ44+'Moss Landing'!AJ71+'Moss Landing (mo321)'!AJ63+'Oak Springs'!AJ75+'Oak Springs MHC (oa150)'!AJ51+'Orange Manor East'!AJ40+'Orange Manor East (or125)'!AJ43+'Pacific Manor'!AJ49+'Pacific Manor (pa602)'!AJ51+Parkhaven!AJ106+Ridgecrest!AJ56+Riverest!AJ50+'Riverview MHRV LLC'!AJ53+Rosehaven!AJ118+'Sanctuary RV Resort'!AJ230+'Shadow Mountain MHC'!AJ37+Springhaven!AJ37+'Star Valley Ranch'!AJ48+Sunhaven!AJ44+'Sunny Grove'!AJ43+Tarponaire!AJ47+'Val Vista RV Resort'!AJ76+'Webster RV Resort LLC'!AJ63+'Wekiva Falls RV Resort'!AJ87+'West Jupiter RV Resort'!AJ44+'Western Way RV Resort LLC'!AJ136</f>
      </c>
      <c r="AK16" s="19"/>
    </row>
    <row r="17" ht="12.75" customHeight="1" spans="2:37" x14ac:dyDescent="0.25">
      <c r="B17" s="16" t="s">
        <v>42</v>
      </c>
      <c r="C17" s="17"/>
      <c r="D17" s="17"/>
      <c r="E17" s="18">
        <f>'Agave Village (ag011)'!E70+'Agave Village LLC'!E59+'Brookhaven Estates (bo260)'!E52+'Brookhaven RV Resort'!E48+'Courtly Manor'!E41+'Courtly Manor Park (co669)'!E42+'Cross Creek RV'!E137+'Cross Creek RV Resort (cr994)'!E143+'El Rio De Oro (el289)'!E39+'El Rio del Oro'!E42+'Endless Summer RV Resort'!E60+'Endless Summer RV Resort (en079'!E52+Evergreen!E39+'Far Horizons'!E39+'Far Horizons (fa105)'!E39+'Floridian Sandalwood (fl356)'!E36+'Floridian Sandalwood MHC'!E40+Glenhaven!E44+'Glenhaven Estates (gl317)'!E44+'Harbor Lights (ha310)'!E45+'Harbor Lights MHC'!E43+'Harvest Gate'!E53+'Hunter Run RV Estates'!E94+'Hunters Run RV Estates (hu116)'!E207+'Jade Isle (ja068)'!E36+'Jade Isle MHC'!E38+'Kakusha Estates (ka045)'!E42+'Kakusha MHC'!E41+'Lakeside Village'!E47+'Lakeside Village (la482)'!E49+'Lakewood Village (la481)'!E108+'Lakewood Village MHC LLC'!E128+'Maple Corner'!E61+'Maple Corner (ma490)'!E51+'Marlboro Court (ma489)'!E39+'Marlboro Court MHC LLC'!E39+'May Manor'!E143+'May Manor (ma488)'!E75+'Mobiland by the Sea (mo320)'!E44+'Mobiland By The Sea MHC'!E45+'Moss Landing'!E72+'Moss Landing (mo321)'!E64+'Oak Springs'!E76+'Oak Springs MHC (oa150)'!E52+'Orange Manor East'!E41+'Orange Manor East (or125)'!E44+'Pacific Manor'!E50+'Pacific Manor (pa602)'!E52+Parkhaven!E107+Ridgecrest!E57+Riverest!E51+'Riverview MHRV LLC'!E54+Rosehaven!E119+'Sanctuary RV Resort'!E231+'Shadow Mountain MHC'!E38+Springhaven!E38+'Star Valley Ranch'!E49+Sunhaven!E45+'Sunny Grove'!E44+Tarponaire!E48+'Val Vista RV Resort'!E77+'Webster RV Resort LLC'!E64+'Wekiva Falls RV Resort'!E88+'West Jupiter RV Resort'!E45+'Western Way RV Resort LLC'!E137</f>
      </c>
      <c r="F17" s="18">
        <f>'Agave Village (ag011)'!F70+'Agave Village LLC'!F59+'Brookhaven Estates (bo260)'!F52+'Brookhaven RV Resort'!F48+'Courtly Manor'!F41+'Courtly Manor Park (co669)'!F42+'Cross Creek RV'!F137+'Cross Creek RV Resort (cr994)'!F143+'El Rio De Oro (el289)'!F39+'El Rio del Oro'!F42+'Endless Summer RV Resort'!F60+'Endless Summer RV Resort (en079'!F52+Evergreen!F39+'Far Horizons'!F39+'Far Horizons (fa105)'!F39+'Floridian Sandalwood (fl356)'!F36+'Floridian Sandalwood MHC'!F40+Glenhaven!F44+'Glenhaven Estates (gl317)'!F44+'Harbor Lights (ha310)'!F45+'Harbor Lights MHC'!F43+'Harvest Gate'!F53+'Hunter Run RV Estates'!F94+'Hunters Run RV Estates (hu116)'!F207+'Jade Isle (ja068)'!F36+'Jade Isle MHC'!F38+'Kakusha Estates (ka045)'!F42+'Kakusha MHC'!F41+'Lakeside Village'!F47+'Lakeside Village (la482)'!F49+'Lakewood Village (la481)'!F108+'Lakewood Village MHC LLC'!F128+'Maple Corner'!F61+'Maple Corner (ma490)'!F51+'Marlboro Court (ma489)'!F39+'Marlboro Court MHC LLC'!F39+'May Manor'!F143+'May Manor (ma488)'!F75+'Mobiland by the Sea (mo320)'!F44+'Mobiland By The Sea MHC'!F45+'Moss Landing'!F72+'Moss Landing (mo321)'!F64+'Oak Springs'!F76+'Oak Springs MHC (oa150)'!F52+'Orange Manor East'!F41+'Orange Manor East (or125)'!F44+'Pacific Manor'!F50+'Pacific Manor (pa602)'!F52+Parkhaven!F107+Ridgecrest!F57+Riverest!F51+'Riverview MHRV LLC'!F54+Rosehaven!F119+'Sanctuary RV Resort'!F231+'Shadow Mountain MHC'!F38+Springhaven!F38+'Star Valley Ranch'!F49+Sunhaven!F45+'Sunny Grove'!F44+Tarponaire!F48+'Val Vista RV Resort'!F77+'Webster RV Resort LLC'!F64+'Wekiva Falls RV Resort'!F88+'West Jupiter RV Resort'!F45+'Western Way RV Resort LLC'!F137</f>
      </c>
      <c r="G17" s="18">
        <f>'Agave Village (ag011)'!G70+'Agave Village LLC'!G59+'Brookhaven Estates (bo260)'!G52+'Brookhaven RV Resort'!G48+'Courtly Manor'!G41+'Courtly Manor Park (co669)'!G42+'Cross Creek RV'!G137+'Cross Creek RV Resort (cr994)'!G143+'El Rio De Oro (el289)'!G39+'El Rio del Oro'!G42+'Endless Summer RV Resort'!G60+'Endless Summer RV Resort (en079'!G52+Evergreen!G39+'Far Horizons'!G39+'Far Horizons (fa105)'!G39+'Floridian Sandalwood (fl356)'!G36+'Floridian Sandalwood MHC'!G40+Glenhaven!G44+'Glenhaven Estates (gl317)'!G44+'Harbor Lights (ha310)'!G45+'Harbor Lights MHC'!G43+'Harvest Gate'!G53+'Hunter Run RV Estates'!G94+'Hunters Run RV Estates (hu116)'!G207+'Jade Isle (ja068)'!G36+'Jade Isle MHC'!G38+'Kakusha Estates (ka045)'!G42+'Kakusha MHC'!G41+'Lakeside Village'!G47+'Lakeside Village (la482)'!G49+'Lakewood Village (la481)'!G108+'Lakewood Village MHC LLC'!G128+'Maple Corner'!G61+'Maple Corner (ma490)'!G51+'Marlboro Court (ma489)'!G39+'Marlboro Court MHC LLC'!G39+'May Manor'!G143+'May Manor (ma488)'!G75+'Mobiland by the Sea (mo320)'!G44+'Mobiland By The Sea MHC'!G45+'Moss Landing'!G72+'Moss Landing (mo321)'!G64+'Oak Springs'!G76+'Oak Springs MHC (oa150)'!G52+'Orange Manor East'!G41+'Orange Manor East (or125)'!G44+'Pacific Manor'!G50+'Pacific Manor (pa602)'!G52+Parkhaven!G107+Ridgecrest!G57+Riverest!G51+'Riverview MHRV LLC'!G54+Rosehaven!G119+'Sanctuary RV Resort'!G231+'Shadow Mountain MHC'!G38+Springhaven!G38+'Star Valley Ranch'!G49+Sunhaven!G45+'Sunny Grove'!G44+Tarponaire!G48+'Val Vista RV Resort'!G77+'Webster RV Resort LLC'!G64+'Wekiva Falls RV Resort'!G88+'West Jupiter RV Resort'!G45+'Western Way RV Resort LLC'!G137</f>
      </c>
      <c r="H17" s="18">
        <f>'Agave Village (ag011)'!H70+'Agave Village LLC'!H59+'Brookhaven Estates (bo260)'!H52+'Brookhaven RV Resort'!H48+'Courtly Manor'!H41+'Courtly Manor Park (co669)'!H42+'Cross Creek RV'!H137+'Cross Creek RV Resort (cr994)'!H143+'El Rio De Oro (el289)'!H39+'El Rio del Oro'!H42+'Endless Summer RV Resort'!H60+'Endless Summer RV Resort (en079'!H52+Evergreen!H39+'Far Horizons'!H39+'Far Horizons (fa105)'!H39+'Floridian Sandalwood (fl356)'!H36+'Floridian Sandalwood MHC'!H40+Glenhaven!H44+'Glenhaven Estates (gl317)'!H44+'Harbor Lights (ha310)'!H45+'Harbor Lights MHC'!H43+'Harvest Gate'!H53+'Hunter Run RV Estates'!H94+'Hunters Run RV Estates (hu116)'!H207+'Jade Isle (ja068)'!H36+'Jade Isle MHC'!H38+'Kakusha Estates (ka045)'!H42+'Kakusha MHC'!H41+'Lakeside Village'!H47+'Lakeside Village (la482)'!H49+'Lakewood Village (la481)'!H108+'Lakewood Village MHC LLC'!H128+'Maple Corner'!H61+'Maple Corner (ma490)'!H51+'Marlboro Court (ma489)'!H39+'Marlboro Court MHC LLC'!H39+'May Manor'!H143+'May Manor (ma488)'!H75+'Mobiland by the Sea (mo320)'!H44+'Mobiland By The Sea MHC'!H45+'Moss Landing'!H72+'Moss Landing (mo321)'!H64+'Oak Springs'!H76+'Oak Springs MHC (oa150)'!H52+'Orange Manor East'!H41+'Orange Manor East (or125)'!H44+'Pacific Manor'!H50+'Pacific Manor (pa602)'!H52+Parkhaven!H107+Ridgecrest!H57+Riverest!H51+'Riverview MHRV LLC'!H54+Rosehaven!H119+'Sanctuary RV Resort'!H231+'Shadow Mountain MHC'!H38+Springhaven!H38+'Star Valley Ranch'!H49+Sunhaven!H45+'Sunny Grove'!H44+Tarponaire!H48+'Val Vista RV Resort'!H77+'Webster RV Resort LLC'!H64+'Wekiva Falls RV Resort'!H88+'West Jupiter RV Resort'!H45+'Western Way RV Resort LLC'!H137</f>
      </c>
      <c r="I17" s="18">
        <f>'Agave Village (ag011)'!I70+'Agave Village LLC'!I59+'Brookhaven Estates (bo260)'!I52+'Brookhaven RV Resort'!I48+'Courtly Manor'!I41+'Courtly Manor Park (co669)'!I42+'Cross Creek RV'!I137+'Cross Creek RV Resort (cr994)'!I143+'El Rio De Oro (el289)'!I39+'El Rio del Oro'!I42+'Endless Summer RV Resort'!I60+'Endless Summer RV Resort (en079'!I52+Evergreen!I39+'Far Horizons'!I39+'Far Horizons (fa105)'!I39+'Floridian Sandalwood (fl356)'!I36+'Floridian Sandalwood MHC'!I40+Glenhaven!I44+'Glenhaven Estates (gl317)'!I44+'Harbor Lights (ha310)'!I45+'Harbor Lights MHC'!I43+'Harvest Gate'!I53+'Hunter Run RV Estates'!I94+'Hunters Run RV Estates (hu116)'!I207+'Jade Isle (ja068)'!I36+'Jade Isle MHC'!I38+'Kakusha Estates (ka045)'!I42+'Kakusha MHC'!I41+'Lakeside Village'!I47+'Lakeside Village (la482)'!I49+'Lakewood Village (la481)'!I108+'Lakewood Village MHC LLC'!I128+'Maple Corner'!I61+'Maple Corner (ma490)'!I51+'Marlboro Court (ma489)'!I39+'Marlboro Court MHC LLC'!I39+'May Manor'!I143+'May Manor (ma488)'!I75+'Mobiland by the Sea (mo320)'!I44+'Mobiland By The Sea MHC'!I45+'Moss Landing'!I72+'Moss Landing (mo321)'!I64+'Oak Springs'!I76+'Oak Springs MHC (oa150)'!I52+'Orange Manor East'!I41+'Orange Manor East (or125)'!I44+'Pacific Manor'!I50+'Pacific Manor (pa602)'!I52+Parkhaven!I107+Ridgecrest!I57+Riverest!I51+'Riverview MHRV LLC'!I54+Rosehaven!I119+'Sanctuary RV Resort'!I231+'Shadow Mountain MHC'!I38+Springhaven!I38+'Star Valley Ranch'!I49+Sunhaven!I45+'Sunny Grove'!I44+Tarponaire!I48+'Val Vista RV Resort'!I77+'Webster RV Resort LLC'!I64+'Wekiva Falls RV Resort'!I88+'West Jupiter RV Resort'!I45+'Western Way RV Resort LLC'!I137</f>
      </c>
      <c r="J17" s="18">
        <f>'Agave Village (ag011)'!J70+'Agave Village LLC'!J59+'Brookhaven Estates (bo260)'!J52+'Brookhaven RV Resort'!J48+'Courtly Manor'!J41+'Courtly Manor Park (co669)'!J42+'Cross Creek RV'!J137+'Cross Creek RV Resort (cr994)'!J143+'El Rio De Oro (el289)'!J39+'El Rio del Oro'!J42+'Endless Summer RV Resort'!J60+'Endless Summer RV Resort (en079'!J52+Evergreen!J39+'Far Horizons'!J39+'Far Horizons (fa105)'!J39+'Floridian Sandalwood (fl356)'!J36+'Floridian Sandalwood MHC'!J40+Glenhaven!J44+'Glenhaven Estates (gl317)'!J44+'Harbor Lights (ha310)'!J45+'Harbor Lights MHC'!J43+'Harvest Gate'!J53+'Hunter Run RV Estates'!J94+'Hunters Run RV Estates (hu116)'!J207+'Jade Isle (ja068)'!J36+'Jade Isle MHC'!J38+'Kakusha Estates (ka045)'!J42+'Kakusha MHC'!J41+'Lakeside Village'!J47+'Lakeside Village (la482)'!J49+'Lakewood Village (la481)'!J108+'Lakewood Village MHC LLC'!J128+'Maple Corner'!J61+'Maple Corner (ma490)'!J51+'Marlboro Court (ma489)'!J39+'Marlboro Court MHC LLC'!J39+'May Manor'!J143+'May Manor (ma488)'!J75+'Mobiland by the Sea (mo320)'!J44+'Mobiland By The Sea MHC'!J45+'Moss Landing'!J72+'Moss Landing (mo321)'!J64+'Oak Springs'!J76+'Oak Springs MHC (oa150)'!J52+'Orange Manor East'!J41+'Orange Manor East (or125)'!J44+'Pacific Manor'!J50+'Pacific Manor (pa602)'!J52+Parkhaven!J107+Ridgecrest!J57+Riverest!J51+'Riverview MHRV LLC'!J54+Rosehaven!J119+'Sanctuary RV Resort'!J231+'Shadow Mountain MHC'!J38+Springhaven!J38+'Star Valley Ranch'!J49+Sunhaven!J45+'Sunny Grove'!J44+Tarponaire!J48+'Val Vista RV Resort'!J77+'Webster RV Resort LLC'!J64+'Wekiva Falls RV Resort'!J88+'West Jupiter RV Resort'!J45+'Western Way RV Resort LLC'!J137</f>
      </c>
      <c r="K17" s="18">
        <f>'Agave Village (ag011)'!K70+'Agave Village LLC'!K59+'Brookhaven Estates (bo260)'!K52+'Brookhaven RV Resort'!K48+'Courtly Manor'!K41+'Courtly Manor Park (co669)'!K42+'Cross Creek RV'!K137+'Cross Creek RV Resort (cr994)'!K143+'El Rio De Oro (el289)'!K39+'El Rio del Oro'!K42+'Endless Summer RV Resort'!K60+'Endless Summer RV Resort (en079'!K52+Evergreen!K39+'Far Horizons'!K39+'Far Horizons (fa105)'!K39+'Floridian Sandalwood (fl356)'!K36+'Floridian Sandalwood MHC'!K40+Glenhaven!K44+'Glenhaven Estates (gl317)'!K44+'Harbor Lights (ha310)'!K45+'Harbor Lights MHC'!K43+'Harvest Gate'!K53+'Hunter Run RV Estates'!K94+'Hunters Run RV Estates (hu116)'!K207+'Jade Isle (ja068)'!K36+'Jade Isle MHC'!K38+'Kakusha Estates (ka045)'!K42+'Kakusha MHC'!K41+'Lakeside Village'!K47+'Lakeside Village (la482)'!K49+'Lakewood Village (la481)'!K108+'Lakewood Village MHC LLC'!K128+'Maple Corner'!K61+'Maple Corner (ma490)'!K51+'Marlboro Court (ma489)'!K39+'Marlboro Court MHC LLC'!K39+'May Manor'!K143+'May Manor (ma488)'!K75+'Mobiland by the Sea (mo320)'!K44+'Mobiland By The Sea MHC'!K45+'Moss Landing'!K72+'Moss Landing (mo321)'!K64+'Oak Springs'!K76+'Oak Springs MHC (oa150)'!K52+'Orange Manor East'!K41+'Orange Manor East (or125)'!K44+'Pacific Manor'!K50+'Pacific Manor (pa602)'!K52+Parkhaven!K107+Ridgecrest!K57+Riverest!K51+'Riverview MHRV LLC'!K54+Rosehaven!K119+'Sanctuary RV Resort'!K231+'Shadow Mountain MHC'!K38+Springhaven!K38+'Star Valley Ranch'!K49+Sunhaven!K45+'Sunny Grove'!K44+Tarponaire!K48+'Val Vista RV Resort'!K77+'Webster RV Resort LLC'!K64+'Wekiva Falls RV Resort'!K88+'West Jupiter RV Resort'!K45+'Western Way RV Resort LLC'!K137</f>
      </c>
      <c r="L17" s="18">
        <f>'Agave Village (ag011)'!L70+'Agave Village LLC'!L59+'Brookhaven Estates (bo260)'!L52+'Brookhaven RV Resort'!L48+'Courtly Manor'!L41+'Courtly Manor Park (co669)'!L42+'Cross Creek RV'!L137+'Cross Creek RV Resort (cr994)'!L143+'El Rio De Oro (el289)'!L39+'El Rio del Oro'!L42+'Endless Summer RV Resort'!L60+'Endless Summer RV Resort (en079'!L52+Evergreen!L39+'Far Horizons'!L39+'Far Horizons (fa105)'!L39+'Floridian Sandalwood (fl356)'!L36+'Floridian Sandalwood MHC'!L40+Glenhaven!L44+'Glenhaven Estates (gl317)'!L44+'Harbor Lights (ha310)'!L45+'Harbor Lights MHC'!L43+'Harvest Gate'!L53+'Hunter Run RV Estates'!L94+'Hunters Run RV Estates (hu116)'!L207+'Jade Isle (ja068)'!L36+'Jade Isle MHC'!L38+'Kakusha Estates (ka045)'!L42+'Kakusha MHC'!L41+'Lakeside Village'!L47+'Lakeside Village (la482)'!L49+'Lakewood Village (la481)'!L108+'Lakewood Village MHC LLC'!L128+'Maple Corner'!L61+'Maple Corner (ma490)'!L51+'Marlboro Court (ma489)'!L39+'Marlboro Court MHC LLC'!L39+'May Manor'!L143+'May Manor (ma488)'!L75+'Mobiland by the Sea (mo320)'!L44+'Mobiland By The Sea MHC'!L45+'Moss Landing'!L72+'Moss Landing (mo321)'!L64+'Oak Springs'!L76+'Oak Springs MHC (oa150)'!L52+'Orange Manor East'!L41+'Orange Manor East (or125)'!L44+'Pacific Manor'!L50+'Pacific Manor (pa602)'!L52+Parkhaven!L107+Ridgecrest!L57+Riverest!L51+'Riverview MHRV LLC'!L54+Rosehaven!L119+'Sanctuary RV Resort'!L231+'Shadow Mountain MHC'!L38+Springhaven!L38+'Star Valley Ranch'!L49+Sunhaven!L45+'Sunny Grove'!L44+Tarponaire!L48+'Val Vista RV Resort'!L77+'Webster RV Resort LLC'!L64+'Wekiva Falls RV Resort'!L88+'West Jupiter RV Resort'!L45+'Western Way RV Resort LLC'!L137</f>
      </c>
      <c r="M17" s="18">
        <f>'Agave Village (ag011)'!M70+'Agave Village LLC'!M59+'Brookhaven Estates (bo260)'!M52+'Brookhaven RV Resort'!M48+'Courtly Manor'!M41+'Courtly Manor Park (co669)'!M42+'Cross Creek RV'!M137+'Cross Creek RV Resort (cr994)'!M143+'El Rio De Oro (el289)'!M39+'El Rio del Oro'!M42+'Endless Summer RV Resort'!M60+'Endless Summer RV Resort (en079'!M52+Evergreen!M39+'Far Horizons'!M39+'Far Horizons (fa105)'!M39+'Floridian Sandalwood (fl356)'!M36+'Floridian Sandalwood MHC'!M40+Glenhaven!M44+'Glenhaven Estates (gl317)'!M44+'Harbor Lights (ha310)'!M45+'Harbor Lights MHC'!M43+'Harvest Gate'!M53+'Hunter Run RV Estates'!M94+'Hunters Run RV Estates (hu116)'!M207+'Jade Isle (ja068)'!M36+'Jade Isle MHC'!M38+'Kakusha Estates (ka045)'!M42+'Kakusha MHC'!M41+'Lakeside Village'!M47+'Lakeside Village (la482)'!M49+'Lakewood Village (la481)'!M108+'Lakewood Village MHC LLC'!M128+'Maple Corner'!M61+'Maple Corner (ma490)'!M51+'Marlboro Court (ma489)'!M39+'Marlboro Court MHC LLC'!M39+'May Manor'!M143+'May Manor (ma488)'!M75+'Mobiland by the Sea (mo320)'!M44+'Mobiland By The Sea MHC'!M45+'Moss Landing'!M72+'Moss Landing (mo321)'!M64+'Oak Springs'!M76+'Oak Springs MHC (oa150)'!M52+'Orange Manor East'!M41+'Orange Manor East (or125)'!M44+'Pacific Manor'!M50+'Pacific Manor (pa602)'!M52+Parkhaven!M107+Ridgecrest!M57+Riverest!M51+'Riverview MHRV LLC'!M54+Rosehaven!M119+'Sanctuary RV Resort'!M231+'Shadow Mountain MHC'!M38+Springhaven!M38+'Star Valley Ranch'!M49+Sunhaven!M45+'Sunny Grove'!M44+Tarponaire!M48+'Val Vista RV Resort'!M77+'Webster RV Resort LLC'!M64+'Wekiva Falls RV Resort'!M88+'West Jupiter RV Resort'!M45+'Western Way RV Resort LLC'!M137</f>
      </c>
      <c r="N17" s="18">
        <f>'Agave Village (ag011)'!N70+'Agave Village LLC'!N59+'Brookhaven Estates (bo260)'!N52+'Brookhaven RV Resort'!N48+'Courtly Manor'!N41+'Courtly Manor Park (co669)'!N42+'Cross Creek RV'!N137+'Cross Creek RV Resort (cr994)'!N143+'El Rio De Oro (el289)'!N39+'El Rio del Oro'!N42+'Endless Summer RV Resort'!N60+'Endless Summer RV Resort (en079'!N52+Evergreen!N39+'Far Horizons'!N39+'Far Horizons (fa105)'!N39+'Floridian Sandalwood (fl356)'!N36+'Floridian Sandalwood MHC'!N40+Glenhaven!N44+'Glenhaven Estates (gl317)'!N44+'Harbor Lights (ha310)'!N45+'Harbor Lights MHC'!N43+'Harvest Gate'!N53+'Hunter Run RV Estates'!N94+'Hunters Run RV Estates (hu116)'!N207+'Jade Isle (ja068)'!N36+'Jade Isle MHC'!N38+'Kakusha Estates (ka045)'!N42+'Kakusha MHC'!N41+'Lakeside Village'!N47+'Lakeside Village (la482)'!N49+'Lakewood Village (la481)'!N108+'Lakewood Village MHC LLC'!N128+'Maple Corner'!N61+'Maple Corner (ma490)'!N51+'Marlboro Court (ma489)'!N39+'Marlboro Court MHC LLC'!N39+'May Manor'!N143+'May Manor (ma488)'!N75+'Mobiland by the Sea (mo320)'!N44+'Mobiland By The Sea MHC'!N45+'Moss Landing'!N72+'Moss Landing (mo321)'!N64+'Oak Springs'!N76+'Oak Springs MHC (oa150)'!N52+'Orange Manor East'!N41+'Orange Manor East (or125)'!N44+'Pacific Manor'!N50+'Pacific Manor (pa602)'!N52+Parkhaven!N107+Ridgecrest!N57+Riverest!N51+'Riverview MHRV LLC'!N54+Rosehaven!N119+'Sanctuary RV Resort'!N231+'Shadow Mountain MHC'!N38+Springhaven!N38+'Star Valley Ranch'!N49+Sunhaven!N45+'Sunny Grove'!N44+Tarponaire!N48+'Val Vista RV Resort'!N77+'Webster RV Resort LLC'!N64+'Wekiva Falls RV Resort'!N88+'West Jupiter RV Resort'!N45+'Western Way RV Resort LLC'!N137</f>
      </c>
      <c r="O17" s="18">
        <f>'Agave Village (ag011)'!O70+'Agave Village LLC'!O59+'Brookhaven Estates (bo260)'!O52+'Brookhaven RV Resort'!O48+'Courtly Manor'!O41+'Courtly Manor Park (co669)'!O42+'Cross Creek RV'!O137+'Cross Creek RV Resort (cr994)'!O143+'El Rio De Oro (el289)'!O39+'El Rio del Oro'!O42+'Endless Summer RV Resort'!O60+'Endless Summer RV Resort (en079'!O52+Evergreen!O39+'Far Horizons'!O39+'Far Horizons (fa105)'!O39+'Floridian Sandalwood (fl356)'!O36+'Floridian Sandalwood MHC'!O40+Glenhaven!O44+'Glenhaven Estates (gl317)'!O44+'Harbor Lights (ha310)'!O45+'Harbor Lights MHC'!O43+'Harvest Gate'!O53+'Hunter Run RV Estates'!O94+'Hunters Run RV Estates (hu116)'!O207+'Jade Isle (ja068)'!O36+'Jade Isle MHC'!O38+'Kakusha Estates (ka045)'!O42+'Kakusha MHC'!O41+'Lakeside Village'!O47+'Lakeside Village (la482)'!O49+'Lakewood Village (la481)'!O108+'Lakewood Village MHC LLC'!O128+'Maple Corner'!O61+'Maple Corner (ma490)'!O51+'Marlboro Court (ma489)'!O39+'Marlboro Court MHC LLC'!O39+'May Manor'!O143+'May Manor (ma488)'!O75+'Mobiland by the Sea (mo320)'!O44+'Mobiland By The Sea MHC'!O45+'Moss Landing'!O72+'Moss Landing (mo321)'!O64+'Oak Springs'!O76+'Oak Springs MHC (oa150)'!O52+'Orange Manor East'!O41+'Orange Manor East (or125)'!O44+'Pacific Manor'!O50+'Pacific Manor (pa602)'!O52+Parkhaven!O107+Ridgecrest!O57+Riverest!O51+'Riverview MHRV LLC'!O54+Rosehaven!O119+'Sanctuary RV Resort'!O231+'Shadow Mountain MHC'!O38+Springhaven!O38+'Star Valley Ranch'!O49+Sunhaven!O45+'Sunny Grove'!O44+Tarponaire!O48+'Val Vista RV Resort'!O77+'Webster RV Resort LLC'!O64+'Wekiva Falls RV Resort'!O88+'West Jupiter RV Resort'!O45+'Western Way RV Resort LLC'!O137</f>
      </c>
      <c r="P17" s="18">
        <f>'Agave Village (ag011)'!P70+'Agave Village LLC'!P59+'Brookhaven Estates (bo260)'!P52+'Brookhaven RV Resort'!P48+'Courtly Manor'!P41+'Courtly Manor Park (co669)'!P42+'Cross Creek RV'!P137+'Cross Creek RV Resort (cr994)'!P143+'El Rio De Oro (el289)'!P39+'El Rio del Oro'!P42+'Endless Summer RV Resort'!P60+'Endless Summer RV Resort (en079'!P52+Evergreen!P39+'Far Horizons'!P39+'Far Horizons (fa105)'!P39+'Floridian Sandalwood (fl356)'!P36+'Floridian Sandalwood MHC'!P40+Glenhaven!P44+'Glenhaven Estates (gl317)'!P44+'Harbor Lights (ha310)'!P45+'Harbor Lights MHC'!P43+'Harvest Gate'!P53+'Hunter Run RV Estates'!P94+'Hunters Run RV Estates (hu116)'!P207+'Jade Isle (ja068)'!P36+'Jade Isle MHC'!P38+'Kakusha Estates (ka045)'!P42+'Kakusha MHC'!P41+'Lakeside Village'!P47+'Lakeside Village (la482)'!P49+'Lakewood Village (la481)'!P108+'Lakewood Village MHC LLC'!P128+'Maple Corner'!P61+'Maple Corner (ma490)'!P51+'Marlboro Court (ma489)'!P39+'Marlboro Court MHC LLC'!P39+'May Manor'!P143+'May Manor (ma488)'!P75+'Mobiland by the Sea (mo320)'!P44+'Mobiland By The Sea MHC'!P45+'Moss Landing'!P72+'Moss Landing (mo321)'!P64+'Oak Springs'!P76+'Oak Springs MHC (oa150)'!P52+'Orange Manor East'!P41+'Orange Manor East (or125)'!P44+'Pacific Manor'!P50+'Pacific Manor (pa602)'!P52+Parkhaven!P107+Ridgecrest!P57+Riverest!P51+'Riverview MHRV LLC'!P54+Rosehaven!P119+'Sanctuary RV Resort'!P231+'Shadow Mountain MHC'!P38+Springhaven!P38+'Star Valley Ranch'!P49+Sunhaven!P45+'Sunny Grove'!P44+Tarponaire!P48+'Val Vista RV Resort'!P77+'Webster RV Resort LLC'!P64+'Wekiva Falls RV Resort'!P88+'West Jupiter RV Resort'!P45+'Western Way RV Resort LLC'!P137</f>
      </c>
      <c r="Q17" s="18">
        <f>'Agave Village (ag011)'!Q70+'Agave Village LLC'!Q59+'Brookhaven Estates (bo260)'!Q52+'Brookhaven RV Resort'!Q48+'Courtly Manor'!Q41+'Courtly Manor Park (co669)'!Q42+'Cross Creek RV'!Q137+'Cross Creek RV Resort (cr994)'!Q143+'El Rio De Oro (el289)'!Q39+'El Rio del Oro'!Q42+'Endless Summer RV Resort'!Q60+'Endless Summer RV Resort (en079'!Q52+Evergreen!Q39+'Far Horizons'!Q39+'Far Horizons (fa105)'!Q39+'Floridian Sandalwood (fl356)'!Q36+'Floridian Sandalwood MHC'!Q40+Glenhaven!Q44+'Glenhaven Estates (gl317)'!Q44+'Harbor Lights (ha310)'!Q45+'Harbor Lights MHC'!Q43+'Harvest Gate'!Q53+'Hunter Run RV Estates'!Q94+'Hunters Run RV Estates (hu116)'!Q207+'Jade Isle (ja068)'!Q36+'Jade Isle MHC'!Q38+'Kakusha Estates (ka045)'!Q42+'Kakusha MHC'!Q41+'Lakeside Village'!Q47+'Lakeside Village (la482)'!Q49+'Lakewood Village (la481)'!Q108+'Lakewood Village MHC LLC'!Q128+'Maple Corner'!Q61+'Maple Corner (ma490)'!Q51+'Marlboro Court (ma489)'!Q39+'Marlboro Court MHC LLC'!Q39+'May Manor'!Q143+'May Manor (ma488)'!Q75+'Mobiland by the Sea (mo320)'!Q44+'Mobiland By The Sea MHC'!Q45+'Moss Landing'!Q72+'Moss Landing (mo321)'!Q64+'Oak Springs'!Q76+'Oak Springs MHC (oa150)'!Q52+'Orange Manor East'!Q41+'Orange Manor East (or125)'!Q44+'Pacific Manor'!Q50+'Pacific Manor (pa602)'!Q52+Parkhaven!Q107+Ridgecrest!Q57+Riverest!Q51+'Riverview MHRV LLC'!Q54+Rosehaven!Q119+'Sanctuary RV Resort'!Q231+'Shadow Mountain MHC'!Q38+Springhaven!Q38+'Star Valley Ranch'!Q49+Sunhaven!Q45+'Sunny Grove'!Q44+Tarponaire!Q48+'Val Vista RV Resort'!Q77+'Webster RV Resort LLC'!Q64+'Wekiva Falls RV Resort'!Q88+'West Jupiter RV Resort'!Q45+'Western Way RV Resort LLC'!Q137</f>
      </c>
      <c r="R17" s="18">
        <f>'Agave Village (ag011)'!R70+'Agave Village LLC'!R59+'Brookhaven Estates (bo260)'!R52+'Brookhaven RV Resort'!R48+'Courtly Manor'!R41+'Courtly Manor Park (co669)'!R42+'Cross Creek RV'!R137+'Cross Creek RV Resort (cr994)'!R143+'El Rio De Oro (el289)'!R39+'El Rio del Oro'!R42+'Endless Summer RV Resort'!R60+'Endless Summer RV Resort (en079'!R52+Evergreen!R39+'Far Horizons'!R39+'Far Horizons (fa105)'!R39+'Floridian Sandalwood (fl356)'!R36+'Floridian Sandalwood MHC'!R40+Glenhaven!R44+'Glenhaven Estates (gl317)'!R44+'Harbor Lights (ha310)'!R45+'Harbor Lights MHC'!R43+'Harvest Gate'!R53+'Hunter Run RV Estates'!R94+'Hunters Run RV Estates (hu116)'!R207+'Jade Isle (ja068)'!R36+'Jade Isle MHC'!R38+'Kakusha Estates (ka045)'!R42+'Kakusha MHC'!R41+'Lakeside Village'!R47+'Lakeside Village (la482)'!R49+'Lakewood Village (la481)'!R108+'Lakewood Village MHC LLC'!R128+'Maple Corner'!R61+'Maple Corner (ma490)'!R51+'Marlboro Court (ma489)'!R39+'Marlboro Court MHC LLC'!R39+'May Manor'!R143+'May Manor (ma488)'!R75+'Mobiland by the Sea (mo320)'!R44+'Mobiland By The Sea MHC'!R45+'Moss Landing'!R72+'Moss Landing (mo321)'!R64+'Oak Springs'!R76+'Oak Springs MHC (oa150)'!R52+'Orange Manor East'!R41+'Orange Manor East (or125)'!R44+'Pacific Manor'!R50+'Pacific Manor (pa602)'!R52+Parkhaven!R107+Ridgecrest!R57+Riverest!R51+'Riverview MHRV LLC'!R54+Rosehaven!R119+'Sanctuary RV Resort'!R231+'Shadow Mountain MHC'!R38+Springhaven!R38+'Star Valley Ranch'!R49+Sunhaven!R45+'Sunny Grove'!R44+Tarponaire!R48+'Val Vista RV Resort'!R77+'Webster RV Resort LLC'!R64+'Wekiva Falls RV Resort'!R88+'West Jupiter RV Resort'!R45+'Western Way RV Resort LLC'!R137</f>
      </c>
      <c r="S17" s="18">
        <f>'Agave Village (ag011)'!S70+'Agave Village LLC'!S59+'Brookhaven Estates (bo260)'!S52+'Brookhaven RV Resort'!S48+'Courtly Manor'!S41+'Courtly Manor Park (co669)'!S42+'Cross Creek RV'!S137+'Cross Creek RV Resort (cr994)'!S143+'El Rio De Oro (el289)'!S39+'El Rio del Oro'!S42+'Endless Summer RV Resort'!S60+'Endless Summer RV Resort (en079'!S52+Evergreen!S39+'Far Horizons'!S39+'Far Horizons (fa105)'!S39+'Floridian Sandalwood (fl356)'!S36+'Floridian Sandalwood MHC'!S40+Glenhaven!S44+'Glenhaven Estates (gl317)'!S44+'Harbor Lights (ha310)'!S45+'Harbor Lights MHC'!S43+'Harvest Gate'!S53+'Hunter Run RV Estates'!S94+'Hunters Run RV Estates (hu116)'!S207+'Jade Isle (ja068)'!S36+'Jade Isle MHC'!S38+'Kakusha Estates (ka045)'!S42+'Kakusha MHC'!S41+'Lakeside Village'!S47+'Lakeside Village (la482)'!S49+'Lakewood Village (la481)'!S108+'Lakewood Village MHC LLC'!S128+'Maple Corner'!S61+'Maple Corner (ma490)'!S51+'Marlboro Court (ma489)'!S39+'Marlboro Court MHC LLC'!S39+'May Manor'!S143+'May Manor (ma488)'!S75+'Mobiland by the Sea (mo320)'!S44+'Mobiland By The Sea MHC'!S45+'Moss Landing'!S72+'Moss Landing (mo321)'!S64+'Oak Springs'!S76+'Oak Springs MHC (oa150)'!S52+'Orange Manor East'!S41+'Orange Manor East (or125)'!S44+'Pacific Manor'!S50+'Pacific Manor (pa602)'!S52+Parkhaven!S107+Ridgecrest!S57+Riverest!S51+'Riverview MHRV LLC'!S54+Rosehaven!S119+'Sanctuary RV Resort'!S231+'Shadow Mountain MHC'!S38+Springhaven!S38+'Star Valley Ranch'!S49+Sunhaven!S45+'Sunny Grove'!S44+Tarponaire!S48+'Val Vista RV Resort'!S77+'Webster RV Resort LLC'!S64+'Wekiva Falls RV Resort'!S88+'West Jupiter RV Resort'!S45+'Western Way RV Resort LLC'!S137</f>
      </c>
      <c r="T17" s="18">
        <f>'Agave Village (ag011)'!T70+'Agave Village LLC'!T59+'Brookhaven Estates (bo260)'!T52+'Brookhaven RV Resort'!T48+'Courtly Manor'!T41+'Courtly Manor Park (co669)'!T42+'Cross Creek RV'!T137+'Cross Creek RV Resort (cr994)'!T143+'El Rio De Oro (el289)'!T39+'El Rio del Oro'!T42+'Endless Summer RV Resort'!T60+'Endless Summer RV Resort (en079'!T52+Evergreen!T39+'Far Horizons'!T39+'Far Horizons (fa105)'!T39+'Floridian Sandalwood (fl356)'!T36+'Floridian Sandalwood MHC'!T40+Glenhaven!T44+'Glenhaven Estates (gl317)'!T44+'Harbor Lights (ha310)'!T45+'Harbor Lights MHC'!T43+'Harvest Gate'!T53+'Hunter Run RV Estates'!T94+'Hunters Run RV Estates (hu116)'!T207+'Jade Isle (ja068)'!T36+'Jade Isle MHC'!T38+'Kakusha Estates (ka045)'!T42+'Kakusha MHC'!T41+'Lakeside Village'!T47+'Lakeside Village (la482)'!T49+'Lakewood Village (la481)'!T108+'Lakewood Village MHC LLC'!T128+'Maple Corner'!T61+'Maple Corner (ma490)'!T51+'Marlboro Court (ma489)'!T39+'Marlboro Court MHC LLC'!T39+'May Manor'!T143+'May Manor (ma488)'!T75+'Mobiland by the Sea (mo320)'!T44+'Mobiland By The Sea MHC'!T45+'Moss Landing'!T72+'Moss Landing (mo321)'!T64+'Oak Springs'!T76+'Oak Springs MHC (oa150)'!T52+'Orange Manor East'!T41+'Orange Manor East (or125)'!T44+'Pacific Manor'!T50+'Pacific Manor (pa602)'!T52+Parkhaven!T107+Ridgecrest!T57+Riverest!T51+'Riverview MHRV LLC'!T54+Rosehaven!T119+'Sanctuary RV Resort'!T231+'Shadow Mountain MHC'!T38+Springhaven!T38+'Star Valley Ranch'!T49+Sunhaven!T45+'Sunny Grove'!T44+Tarponaire!T48+'Val Vista RV Resort'!T77+'Webster RV Resort LLC'!T64+'Wekiva Falls RV Resort'!T88+'West Jupiter RV Resort'!T45+'Western Way RV Resort LLC'!T137</f>
      </c>
      <c r="U17" s="18">
        <f>'Agave Village (ag011)'!U70+'Agave Village LLC'!U59+'Brookhaven Estates (bo260)'!U52+'Brookhaven RV Resort'!U48+'Courtly Manor'!U41+'Courtly Manor Park (co669)'!U42+'Cross Creek RV'!U137+'Cross Creek RV Resort (cr994)'!U143+'El Rio De Oro (el289)'!U39+'El Rio del Oro'!U42+'Endless Summer RV Resort'!U60+'Endless Summer RV Resort (en079'!U52+Evergreen!U39+'Far Horizons'!U39+'Far Horizons (fa105)'!U39+'Floridian Sandalwood (fl356)'!U36+'Floridian Sandalwood MHC'!U40+Glenhaven!U44+'Glenhaven Estates (gl317)'!U44+'Harbor Lights (ha310)'!U45+'Harbor Lights MHC'!U43+'Harvest Gate'!U53+'Hunter Run RV Estates'!U94+'Hunters Run RV Estates (hu116)'!U207+'Jade Isle (ja068)'!U36+'Jade Isle MHC'!U38+'Kakusha Estates (ka045)'!U42+'Kakusha MHC'!U41+'Lakeside Village'!U47+'Lakeside Village (la482)'!U49+'Lakewood Village (la481)'!U108+'Lakewood Village MHC LLC'!U128+'Maple Corner'!U61+'Maple Corner (ma490)'!U51+'Marlboro Court (ma489)'!U39+'Marlboro Court MHC LLC'!U39+'May Manor'!U143+'May Manor (ma488)'!U75+'Mobiland by the Sea (mo320)'!U44+'Mobiland By The Sea MHC'!U45+'Moss Landing'!U72+'Moss Landing (mo321)'!U64+'Oak Springs'!U76+'Oak Springs MHC (oa150)'!U52+'Orange Manor East'!U41+'Orange Manor East (or125)'!U44+'Pacific Manor'!U50+'Pacific Manor (pa602)'!U52+Parkhaven!U107+Ridgecrest!U57+Riverest!U51+'Riverview MHRV LLC'!U54+Rosehaven!U119+'Sanctuary RV Resort'!U231+'Shadow Mountain MHC'!U38+Springhaven!U38+'Star Valley Ranch'!U49+Sunhaven!U45+'Sunny Grove'!U44+Tarponaire!U48+'Val Vista RV Resort'!U77+'Webster RV Resort LLC'!U64+'Wekiva Falls RV Resort'!U88+'West Jupiter RV Resort'!U45+'Western Way RV Resort LLC'!U137</f>
      </c>
      <c r="V17" s="18">
        <f>'Agave Village (ag011)'!V70+'Agave Village LLC'!V59+'Brookhaven Estates (bo260)'!V52+'Brookhaven RV Resort'!V48+'Courtly Manor'!V41+'Courtly Manor Park (co669)'!V42+'Cross Creek RV'!V137+'Cross Creek RV Resort (cr994)'!V143+'El Rio De Oro (el289)'!V39+'El Rio del Oro'!V42+'Endless Summer RV Resort'!V60+'Endless Summer RV Resort (en079'!V52+Evergreen!V39+'Far Horizons'!V39+'Far Horizons (fa105)'!V39+'Floridian Sandalwood (fl356)'!V36+'Floridian Sandalwood MHC'!V40+Glenhaven!V44+'Glenhaven Estates (gl317)'!V44+'Harbor Lights (ha310)'!V45+'Harbor Lights MHC'!V43+'Harvest Gate'!V53+'Hunter Run RV Estates'!V94+'Hunters Run RV Estates (hu116)'!V207+'Jade Isle (ja068)'!V36+'Jade Isle MHC'!V38+'Kakusha Estates (ka045)'!V42+'Kakusha MHC'!V41+'Lakeside Village'!V47+'Lakeside Village (la482)'!V49+'Lakewood Village (la481)'!V108+'Lakewood Village MHC LLC'!V128+'Maple Corner'!V61+'Maple Corner (ma490)'!V51+'Marlboro Court (ma489)'!V39+'Marlboro Court MHC LLC'!V39+'May Manor'!V143+'May Manor (ma488)'!V75+'Mobiland by the Sea (mo320)'!V44+'Mobiland By The Sea MHC'!V45+'Moss Landing'!V72+'Moss Landing (mo321)'!V64+'Oak Springs'!V76+'Oak Springs MHC (oa150)'!V52+'Orange Manor East'!V41+'Orange Manor East (or125)'!V44+'Pacific Manor'!V50+'Pacific Manor (pa602)'!V52+Parkhaven!V107+Ridgecrest!V57+Riverest!V51+'Riverview MHRV LLC'!V54+Rosehaven!V119+'Sanctuary RV Resort'!V231+'Shadow Mountain MHC'!V38+Springhaven!V38+'Star Valley Ranch'!V49+Sunhaven!V45+'Sunny Grove'!V44+Tarponaire!V48+'Val Vista RV Resort'!V77+'Webster RV Resort LLC'!V64+'Wekiva Falls RV Resort'!V88+'West Jupiter RV Resort'!V45+'Western Way RV Resort LLC'!V137</f>
      </c>
      <c r="W17" s="18">
        <f>'Agave Village (ag011)'!W70+'Agave Village LLC'!W59+'Brookhaven Estates (bo260)'!W52+'Brookhaven RV Resort'!W48+'Courtly Manor'!W41+'Courtly Manor Park (co669)'!W42+'Cross Creek RV'!W137+'Cross Creek RV Resort (cr994)'!W143+'El Rio De Oro (el289)'!W39+'El Rio del Oro'!W42+'Endless Summer RV Resort'!W60+'Endless Summer RV Resort (en079'!W52+Evergreen!W39+'Far Horizons'!W39+'Far Horizons (fa105)'!W39+'Floridian Sandalwood (fl356)'!W36+'Floridian Sandalwood MHC'!W40+Glenhaven!W44+'Glenhaven Estates (gl317)'!W44+'Harbor Lights (ha310)'!W45+'Harbor Lights MHC'!W43+'Harvest Gate'!W53+'Hunter Run RV Estates'!W94+'Hunters Run RV Estates (hu116)'!W207+'Jade Isle (ja068)'!W36+'Jade Isle MHC'!W38+'Kakusha Estates (ka045)'!W42+'Kakusha MHC'!W41+'Lakeside Village'!W47+'Lakeside Village (la482)'!W49+'Lakewood Village (la481)'!W108+'Lakewood Village MHC LLC'!W128+'Maple Corner'!W61+'Maple Corner (ma490)'!W51+'Marlboro Court (ma489)'!W39+'Marlboro Court MHC LLC'!W39+'May Manor'!W143+'May Manor (ma488)'!W75+'Mobiland by the Sea (mo320)'!W44+'Mobiland By The Sea MHC'!W45+'Moss Landing'!W72+'Moss Landing (mo321)'!W64+'Oak Springs'!W76+'Oak Springs MHC (oa150)'!W52+'Orange Manor East'!W41+'Orange Manor East (or125)'!W44+'Pacific Manor'!W50+'Pacific Manor (pa602)'!W52+Parkhaven!W107+Ridgecrest!W57+Riverest!W51+'Riverview MHRV LLC'!W54+Rosehaven!W119+'Sanctuary RV Resort'!W231+'Shadow Mountain MHC'!W38+Springhaven!W38+'Star Valley Ranch'!W49+Sunhaven!W45+'Sunny Grove'!W44+Tarponaire!W48+'Val Vista RV Resort'!W77+'Webster RV Resort LLC'!W64+'Wekiva Falls RV Resort'!W88+'West Jupiter RV Resort'!W45+'Western Way RV Resort LLC'!W137</f>
      </c>
      <c r="X17" s="18">
        <f>'Agave Village (ag011)'!X70+'Agave Village LLC'!X59+'Brookhaven Estates (bo260)'!X52+'Brookhaven RV Resort'!X48+'Courtly Manor'!X41+'Courtly Manor Park (co669)'!X42+'Cross Creek RV'!X137+'Cross Creek RV Resort (cr994)'!X143+'El Rio De Oro (el289)'!X39+'El Rio del Oro'!X42+'Endless Summer RV Resort'!X60+'Endless Summer RV Resort (en079'!X52+Evergreen!X39+'Far Horizons'!X39+'Far Horizons (fa105)'!X39+'Floridian Sandalwood (fl356)'!X36+'Floridian Sandalwood MHC'!X40+Glenhaven!X44+'Glenhaven Estates (gl317)'!X44+'Harbor Lights (ha310)'!X45+'Harbor Lights MHC'!X43+'Harvest Gate'!X53+'Hunter Run RV Estates'!X94+'Hunters Run RV Estates (hu116)'!X207+'Jade Isle (ja068)'!X36+'Jade Isle MHC'!X38+'Kakusha Estates (ka045)'!X42+'Kakusha MHC'!X41+'Lakeside Village'!X47+'Lakeside Village (la482)'!X49+'Lakewood Village (la481)'!X108+'Lakewood Village MHC LLC'!X128+'Maple Corner'!X61+'Maple Corner (ma490)'!X51+'Marlboro Court (ma489)'!X39+'Marlboro Court MHC LLC'!X39+'May Manor'!X143+'May Manor (ma488)'!X75+'Mobiland by the Sea (mo320)'!X44+'Mobiland By The Sea MHC'!X45+'Moss Landing'!X72+'Moss Landing (mo321)'!X64+'Oak Springs'!X76+'Oak Springs MHC (oa150)'!X52+'Orange Manor East'!X41+'Orange Manor East (or125)'!X44+'Pacific Manor'!X50+'Pacific Manor (pa602)'!X52+Parkhaven!X107+Ridgecrest!X57+Riverest!X51+'Riverview MHRV LLC'!X54+Rosehaven!X119+'Sanctuary RV Resort'!X231+'Shadow Mountain MHC'!X38+Springhaven!X38+'Star Valley Ranch'!X49+Sunhaven!X45+'Sunny Grove'!X44+Tarponaire!X48+'Val Vista RV Resort'!X77+'Webster RV Resort LLC'!X64+'Wekiva Falls RV Resort'!X88+'West Jupiter RV Resort'!X45+'Western Way RV Resort LLC'!X137</f>
      </c>
      <c r="Y17" s="18">
        <f>'Agave Village (ag011)'!Y70+'Agave Village LLC'!Y59+'Brookhaven Estates (bo260)'!Y52+'Brookhaven RV Resort'!Y48+'Courtly Manor'!Y41+'Courtly Manor Park (co669)'!Y42+'Cross Creek RV'!Y137+'Cross Creek RV Resort (cr994)'!Y143+'El Rio De Oro (el289)'!Y39+'El Rio del Oro'!Y42+'Endless Summer RV Resort'!Y60+'Endless Summer RV Resort (en079'!Y52+Evergreen!Y39+'Far Horizons'!Y39+'Far Horizons (fa105)'!Y39+'Floridian Sandalwood (fl356)'!Y36+'Floridian Sandalwood MHC'!Y40+Glenhaven!Y44+'Glenhaven Estates (gl317)'!Y44+'Harbor Lights (ha310)'!Y45+'Harbor Lights MHC'!Y43+'Harvest Gate'!Y53+'Hunter Run RV Estates'!Y94+'Hunters Run RV Estates (hu116)'!Y207+'Jade Isle (ja068)'!Y36+'Jade Isle MHC'!Y38+'Kakusha Estates (ka045)'!Y42+'Kakusha MHC'!Y41+'Lakeside Village'!Y47+'Lakeside Village (la482)'!Y49+'Lakewood Village (la481)'!Y108+'Lakewood Village MHC LLC'!Y128+'Maple Corner'!Y61+'Maple Corner (ma490)'!Y51+'Marlboro Court (ma489)'!Y39+'Marlboro Court MHC LLC'!Y39+'May Manor'!Y143+'May Manor (ma488)'!Y75+'Mobiland by the Sea (mo320)'!Y44+'Mobiland By The Sea MHC'!Y45+'Moss Landing'!Y72+'Moss Landing (mo321)'!Y64+'Oak Springs'!Y76+'Oak Springs MHC (oa150)'!Y52+'Orange Manor East'!Y41+'Orange Manor East (or125)'!Y44+'Pacific Manor'!Y50+'Pacific Manor (pa602)'!Y52+Parkhaven!Y107+Ridgecrest!Y57+Riverest!Y51+'Riverview MHRV LLC'!Y54+Rosehaven!Y119+'Sanctuary RV Resort'!Y231+'Shadow Mountain MHC'!Y38+Springhaven!Y38+'Star Valley Ranch'!Y49+Sunhaven!Y45+'Sunny Grove'!Y44+Tarponaire!Y48+'Val Vista RV Resort'!Y77+'Webster RV Resort LLC'!Y64+'Wekiva Falls RV Resort'!Y88+'West Jupiter RV Resort'!Y45+'Western Way RV Resort LLC'!Y137</f>
      </c>
      <c r="Z17" s="18">
        <f>'Agave Village (ag011)'!Z70+'Agave Village LLC'!Z59+'Brookhaven Estates (bo260)'!Z52+'Brookhaven RV Resort'!Z48+'Courtly Manor'!Z41+'Courtly Manor Park (co669)'!Z42+'Cross Creek RV'!Z137+'Cross Creek RV Resort (cr994)'!Z143+'El Rio De Oro (el289)'!Z39+'El Rio del Oro'!Z42+'Endless Summer RV Resort'!Z60+'Endless Summer RV Resort (en079'!Z52+Evergreen!Z39+'Far Horizons'!Z39+'Far Horizons (fa105)'!Z39+'Floridian Sandalwood (fl356)'!Z36+'Floridian Sandalwood MHC'!Z40+Glenhaven!Z44+'Glenhaven Estates (gl317)'!Z44+'Harbor Lights (ha310)'!Z45+'Harbor Lights MHC'!Z43+'Harvest Gate'!Z53+'Hunter Run RV Estates'!Z94+'Hunters Run RV Estates (hu116)'!Z207+'Jade Isle (ja068)'!Z36+'Jade Isle MHC'!Z38+'Kakusha Estates (ka045)'!Z42+'Kakusha MHC'!Z41+'Lakeside Village'!Z47+'Lakeside Village (la482)'!Z49+'Lakewood Village (la481)'!Z108+'Lakewood Village MHC LLC'!Z128+'Maple Corner'!Z61+'Maple Corner (ma490)'!Z51+'Marlboro Court (ma489)'!Z39+'Marlboro Court MHC LLC'!Z39+'May Manor'!Z143+'May Manor (ma488)'!Z75+'Mobiland by the Sea (mo320)'!Z44+'Mobiland By The Sea MHC'!Z45+'Moss Landing'!Z72+'Moss Landing (mo321)'!Z64+'Oak Springs'!Z76+'Oak Springs MHC (oa150)'!Z52+'Orange Manor East'!Z41+'Orange Manor East (or125)'!Z44+'Pacific Manor'!Z50+'Pacific Manor (pa602)'!Z52+Parkhaven!Z107+Ridgecrest!Z57+Riverest!Z51+'Riverview MHRV LLC'!Z54+Rosehaven!Z119+'Sanctuary RV Resort'!Z231+'Shadow Mountain MHC'!Z38+Springhaven!Z38+'Star Valley Ranch'!Z49+Sunhaven!Z45+'Sunny Grove'!Z44+Tarponaire!Z48+'Val Vista RV Resort'!Z77+'Webster RV Resort LLC'!Z64+'Wekiva Falls RV Resort'!Z88+'West Jupiter RV Resort'!Z45+'Western Way RV Resort LLC'!Z137</f>
      </c>
      <c r="AA17" s="18">
        <f>'Agave Village (ag011)'!AA70+'Agave Village LLC'!AA59+'Brookhaven Estates (bo260)'!AA52+'Brookhaven RV Resort'!AA48+'Courtly Manor'!AA41+'Courtly Manor Park (co669)'!AA42+'Cross Creek RV'!AA137+'Cross Creek RV Resort (cr994)'!AA143+'El Rio De Oro (el289)'!AA39+'El Rio del Oro'!AA42+'Endless Summer RV Resort'!AA60+'Endless Summer RV Resort (en079'!AA52+Evergreen!AA39+'Far Horizons'!AA39+'Far Horizons (fa105)'!AA39+'Floridian Sandalwood (fl356)'!AA36+'Floridian Sandalwood MHC'!AA40+Glenhaven!AA44+'Glenhaven Estates (gl317)'!AA44+'Harbor Lights (ha310)'!AA45+'Harbor Lights MHC'!AA43+'Harvest Gate'!AA53+'Hunter Run RV Estates'!AA94+'Hunters Run RV Estates (hu116)'!AA207+'Jade Isle (ja068)'!AA36+'Jade Isle MHC'!AA38+'Kakusha Estates (ka045)'!AA42+'Kakusha MHC'!AA41+'Lakeside Village'!AA47+'Lakeside Village (la482)'!AA49+'Lakewood Village (la481)'!AA108+'Lakewood Village MHC LLC'!AA128+'Maple Corner'!AA61+'Maple Corner (ma490)'!AA51+'Marlboro Court (ma489)'!AA39+'Marlboro Court MHC LLC'!AA39+'May Manor'!AA143+'May Manor (ma488)'!AA75+'Mobiland by the Sea (mo320)'!AA44+'Mobiland By The Sea MHC'!AA45+'Moss Landing'!AA72+'Moss Landing (mo321)'!AA64+'Oak Springs'!AA76+'Oak Springs MHC (oa150)'!AA52+'Orange Manor East'!AA41+'Orange Manor East (or125)'!AA44+'Pacific Manor'!AA50+'Pacific Manor (pa602)'!AA52+Parkhaven!AA107+Ridgecrest!AA57+Riverest!AA51+'Riverview MHRV LLC'!AA54+Rosehaven!AA119+'Sanctuary RV Resort'!AA231+'Shadow Mountain MHC'!AA38+Springhaven!AA38+'Star Valley Ranch'!AA49+Sunhaven!AA45+'Sunny Grove'!AA44+Tarponaire!AA48+'Val Vista RV Resort'!AA77+'Webster RV Resort LLC'!AA64+'Wekiva Falls RV Resort'!AA88+'West Jupiter RV Resort'!AA45+'Western Way RV Resort LLC'!AA137</f>
      </c>
      <c r="AB17" s="18">
        <f>'Agave Village (ag011)'!AB70+'Agave Village LLC'!AB59+'Brookhaven Estates (bo260)'!AB52+'Brookhaven RV Resort'!AB48+'Courtly Manor'!AB41+'Courtly Manor Park (co669)'!AB42+'Cross Creek RV'!AB137+'Cross Creek RV Resort (cr994)'!AB143+'El Rio De Oro (el289)'!AB39+'El Rio del Oro'!AB42+'Endless Summer RV Resort'!AB60+'Endless Summer RV Resort (en079'!AB52+Evergreen!AB39+'Far Horizons'!AB39+'Far Horizons (fa105)'!AB39+'Floridian Sandalwood (fl356)'!AB36+'Floridian Sandalwood MHC'!AB40+Glenhaven!AB44+'Glenhaven Estates (gl317)'!AB44+'Harbor Lights (ha310)'!AB45+'Harbor Lights MHC'!AB43+'Harvest Gate'!AB53+'Hunter Run RV Estates'!AB94+'Hunters Run RV Estates (hu116)'!AB207+'Jade Isle (ja068)'!AB36+'Jade Isle MHC'!AB38+'Kakusha Estates (ka045)'!AB42+'Kakusha MHC'!AB41+'Lakeside Village'!AB47+'Lakeside Village (la482)'!AB49+'Lakewood Village (la481)'!AB108+'Lakewood Village MHC LLC'!AB128+'Maple Corner'!AB61+'Maple Corner (ma490)'!AB51+'Marlboro Court (ma489)'!AB39+'Marlboro Court MHC LLC'!AB39+'May Manor'!AB143+'May Manor (ma488)'!AB75+'Mobiland by the Sea (mo320)'!AB44+'Mobiland By The Sea MHC'!AB45+'Moss Landing'!AB72+'Moss Landing (mo321)'!AB64+'Oak Springs'!AB76+'Oak Springs MHC (oa150)'!AB52+'Orange Manor East'!AB41+'Orange Manor East (or125)'!AB44+'Pacific Manor'!AB50+'Pacific Manor (pa602)'!AB52+Parkhaven!AB107+Ridgecrest!AB57+Riverest!AB51+'Riverview MHRV LLC'!AB54+Rosehaven!AB119+'Sanctuary RV Resort'!AB231+'Shadow Mountain MHC'!AB38+Springhaven!AB38+'Star Valley Ranch'!AB49+Sunhaven!AB45+'Sunny Grove'!AB44+Tarponaire!AB48+'Val Vista RV Resort'!AB77+'Webster RV Resort LLC'!AB64+'Wekiva Falls RV Resort'!AB88+'West Jupiter RV Resort'!AB45+'Western Way RV Resort LLC'!AB137</f>
      </c>
      <c r="AC17" s="18">
        <f>'Agave Village (ag011)'!AC70+'Agave Village LLC'!AC59+'Brookhaven Estates (bo260)'!AC52+'Brookhaven RV Resort'!AC48+'Courtly Manor'!AC41+'Courtly Manor Park (co669)'!AC42+'Cross Creek RV'!AC137+'Cross Creek RV Resort (cr994)'!AC143+'El Rio De Oro (el289)'!AC39+'El Rio del Oro'!AC42+'Endless Summer RV Resort'!AC60+'Endless Summer RV Resort (en079'!AC52+Evergreen!AC39+'Far Horizons'!AC39+'Far Horizons (fa105)'!AC39+'Floridian Sandalwood (fl356)'!AC36+'Floridian Sandalwood MHC'!AC40+Glenhaven!AC44+'Glenhaven Estates (gl317)'!AC44+'Harbor Lights (ha310)'!AC45+'Harbor Lights MHC'!AC43+'Harvest Gate'!AC53+'Hunter Run RV Estates'!AC94+'Hunters Run RV Estates (hu116)'!AC207+'Jade Isle (ja068)'!AC36+'Jade Isle MHC'!AC38+'Kakusha Estates (ka045)'!AC42+'Kakusha MHC'!AC41+'Lakeside Village'!AC47+'Lakeside Village (la482)'!AC49+'Lakewood Village (la481)'!AC108+'Lakewood Village MHC LLC'!AC128+'Maple Corner'!AC61+'Maple Corner (ma490)'!AC51+'Marlboro Court (ma489)'!AC39+'Marlboro Court MHC LLC'!AC39+'May Manor'!AC143+'May Manor (ma488)'!AC75+'Mobiland by the Sea (mo320)'!AC44+'Mobiland By The Sea MHC'!AC45+'Moss Landing'!AC72+'Moss Landing (mo321)'!AC64+'Oak Springs'!AC76+'Oak Springs MHC (oa150)'!AC52+'Orange Manor East'!AC41+'Orange Manor East (or125)'!AC44+'Pacific Manor'!AC50+'Pacific Manor (pa602)'!AC52+Parkhaven!AC107+Ridgecrest!AC57+Riverest!AC51+'Riverview MHRV LLC'!AC54+Rosehaven!AC119+'Sanctuary RV Resort'!AC231+'Shadow Mountain MHC'!AC38+Springhaven!AC38+'Star Valley Ranch'!AC49+Sunhaven!AC45+'Sunny Grove'!AC44+Tarponaire!AC48+'Val Vista RV Resort'!AC77+'Webster RV Resort LLC'!AC64+'Wekiva Falls RV Resort'!AC88+'West Jupiter RV Resort'!AC45+'Western Way RV Resort LLC'!AC137</f>
      </c>
      <c r="AD17" s="18">
        <f>'Agave Village (ag011)'!AD70+'Agave Village LLC'!AD59+'Brookhaven Estates (bo260)'!AD52+'Brookhaven RV Resort'!AD48+'Courtly Manor'!AD41+'Courtly Manor Park (co669)'!AD42+'Cross Creek RV'!AD137+'Cross Creek RV Resort (cr994)'!AD143+'El Rio De Oro (el289)'!AD39+'El Rio del Oro'!AD42+'Endless Summer RV Resort'!AD60+'Endless Summer RV Resort (en079'!AD52+Evergreen!AD39+'Far Horizons'!AD39+'Far Horizons (fa105)'!AD39+'Floridian Sandalwood (fl356)'!AD36+'Floridian Sandalwood MHC'!AD40+Glenhaven!AD44+'Glenhaven Estates (gl317)'!AD44+'Harbor Lights (ha310)'!AD45+'Harbor Lights MHC'!AD43+'Harvest Gate'!AD53+'Hunter Run RV Estates'!AD94+'Hunters Run RV Estates (hu116)'!AD207+'Jade Isle (ja068)'!AD36+'Jade Isle MHC'!AD38+'Kakusha Estates (ka045)'!AD42+'Kakusha MHC'!AD41+'Lakeside Village'!AD47+'Lakeside Village (la482)'!AD49+'Lakewood Village (la481)'!AD108+'Lakewood Village MHC LLC'!AD128+'Maple Corner'!AD61+'Maple Corner (ma490)'!AD51+'Marlboro Court (ma489)'!AD39+'Marlboro Court MHC LLC'!AD39+'May Manor'!AD143+'May Manor (ma488)'!AD75+'Mobiland by the Sea (mo320)'!AD44+'Mobiland By The Sea MHC'!AD45+'Moss Landing'!AD72+'Moss Landing (mo321)'!AD64+'Oak Springs'!AD76+'Oak Springs MHC (oa150)'!AD52+'Orange Manor East'!AD41+'Orange Manor East (or125)'!AD44+'Pacific Manor'!AD50+'Pacific Manor (pa602)'!AD52+Parkhaven!AD107+Ridgecrest!AD57+Riverest!AD51+'Riverview MHRV LLC'!AD54+Rosehaven!AD119+'Sanctuary RV Resort'!AD231+'Shadow Mountain MHC'!AD38+Springhaven!AD38+'Star Valley Ranch'!AD49+Sunhaven!AD45+'Sunny Grove'!AD44+Tarponaire!AD48+'Val Vista RV Resort'!AD77+'Webster RV Resort LLC'!AD64+'Wekiva Falls RV Resort'!AD88+'West Jupiter RV Resort'!AD45+'Western Way RV Resort LLC'!AD137</f>
      </c>
      <c r="AE17" s="18">
        <f>'Agave Village (ag011)'!AE70+'Agave Village LLC'!AE59+'Brookhaven Estates (bo260)'!AE52+'Brookhaven RV Resort'!AE48+'Courtly Manor'!AE41+'Courtly Manor Park (co669)'!AE42+'Cross Creek RV'!AE137+'Cross Creek RV Resort (cr994)'!AE143+'El Rio De Oro (el289)'!AE39+'El Rio del Oro'!AE42+'Endless Summer RV Resort'!AE60+'Endless Summer RV Resort (en079'!AE52+Evergreen!AE39+'Far Horizons'!AE39+'Far Horizons (fa105)'!AE39+'Floridian Sandalwood (fl356)'!AE36+'Floridian Sandalwood MHC'!AE40+Glenhaven!AE44+'Glenhaven Estates (gl317)'!AE44+'Harbor Lights (ha310)'!AE45+'Harbor Lights MHC'!AE43+'Harvest Gate'!AE53+'Hunter Run RV Estates'!AE94+'Hunters Run RV Estates (hu116)'!AE207+'Jade Isle (ja068)'!AE36+'Jade Isle MHC'!AE38+'Kakusha Estates (ka045)'!AE42+'Kakusha MHC'!AE41+'Lakeside Village'!AE47+'Lakeside Village (la482)'!AE49+'Lakewood Village (la481)'!AE108+'Lakewood Village MHC LLC'!AE128+'Maple Corner'!AE61+'Maple Corner (ma490)'!AE51+'Marlboro Court (ma489)'!AE39+'Marlboro Court MHC LLC'!AE39+'May Manor'!AE143+'May Manor (ma488)'!AE75+'Mobiland by the Sea (mo320)'!AE44+'Mobiland By The Sea MHC'!AE45+'Moss Landing'!AE72+'Moss Landing (mo321)'!AE64+'Oak Springs'!AE76+'Oak Springs MHC (oa150)'!AE52+'Orange Manor East'!AE41+'Orange Manor East (or125)'!AE44+'Pacific Manor'!AE50+'Pacific Manor (pa602)'!AE52+Parkhaven!AE107+Ridgecrest!AE57+Riverest!AE51+'Riverview MHRV LLC'!AE54+Rosehaven!AE119+'Sanctuary RV Resort'!AE231+'Shadow Mountain MHC'!AE38+Springhaven!AE38+'Star Valley Ranch'!AE49+Sunhaven!AE45+'Sunny Grove'!AE44+Tarponaire!AE48+'Val Vista RV Resort'!AE77+'Webster RV Resort LLC'!AE64+'Wekiva Falls RV Resort'!AE88+'West Jupiter RV Resort'!AE45+'Western Way RV Resort LLC'!AE137</f>
      </c>
      <c r="AF17" s="18">
        <f>'Agave Village (ag011)'!AF70+'Agave Village LLC'!AF59+'Brookhaven Estates (bo260)'!AF52+'Brookhaven RV Resort'!AF48+'Courtly Manor'!AF41+'Courtly Manor Park (co669)'!AF42+'Cross Creek RV'!AF137+'Cross Creek RV Resort (cr994)'!AF143+'El Rio De Oro (el289)'!AF39+'El Rio del Oro'!AF42+'Endless Summer RV Resort'!AF60+'Endless Summer RV Resort (en079'!AF52+Evergreen!AF39+'Far Horizons'!AF39+'Far Horizons (fa105)'!AF39+'Floridian Sandalwood (fl356)'!AF36+'Floridian Sandalwood MHC'!AF40+Glenhaven!AF44+'Glenhaven Estates (gl317)'!AF44+'Harbor Lights (ha310)'!AF45+'Harbor Lights MHC'!AF43+'Harvest Gate'!AF53+'Hunter Run RV Estates'!AF94+'Hunters Run RV Estates (hu116)'!AF207+'Jade Isle (ja068)'!AF36+'Jade Isle MHC'!AF38+'Kakusha Estates (ka045)'!AF42+'Kakusha MHC'!AF41+'Lakeside Village'!AF47+'Lakeside Village (la482)'!AF49+'Lakewood Village (la481)'!AF108+'Lakewood Village MHC LLC'!AF128+'Maple Corner'!AF61+'Maple Corner (ma490)'!AF51+'Marlboro Court (ma489)'!AF39+'Marlboro Court MHC LLC'!AF39+'May Manor'!AF143+'May Manor (ma488)'!AF75+'Mobiland by the Sea (mo320)'!AF44+'Mobiland By The Sea MHC'!AF45+'Moss Landing'!AF72+'Moss Landing (mo321)'!AF64+'Oak Springs'!AF76+'Oak Springs MHC (oa150)'!AF52+'Orange Manor East'!AF41+'Orange Manor East (or125)'!AF44+'Pacific Manor'!AF50+'Pacific Manor (pa602)'!AF52+Parkhaven!AF107+Ridgecrest!AF57+Riverest!AF51+'Riverview MHRV LLC'!AF54+Rosehaven!AF119+'Sanctuary RV Resort'!AF231+'Shadow Mountain MHC'!AF38+Springhaven!AF38+'Star Valley Ranch'!AF49+Sunhaven!AF45+'Sunny Grove'!AF44+Tarponaire!AF48+'Val Vista RV Resort'!AF77+'Webster RV Resort LLC'!AF64+'Wekiva Falls RV Resort'!AF88+'West Jupiter RV Resort'!AF45+'Western Way RV Resort LLC'!AF137</f>
      </c>
      <c r="AG17" s="18">
        <f>'Agave Village (ag011)'!AG70+'Agave Village LLC'!AG59+'Brookhaven Estates (bo260)'!AG52+'Brookhaven RV Resort'!AG48+'Courtly Manor'!AG41+'Courtly Manor Park (co669)'!AG42+'Cross Creek RV'!AG137+'Cross Creek RV Resort (cr994)'!AG143+'El Rio De Oro (el289)'!AG39+'El Rio del Oro'!AG42+'Endless Summer RV Resort'!AG60+'Endless Summer RV Resort (en079'!AG52+Evergreen!AG39+'Far Horizons'!AG39+'Far Horizons (fa105)'!AG39+'Floridian Sandalwood (fl356)'!AG36+'Floridian Sandalwood MHC'!AG40+Glenhaven!AG44+'Glenhaven Estates (gl317)'!AG44+'Harbor Lights (ha310)'!AG45+'Harbor Lights MHC'!AG43+'Harvest Gate'!AG53+'Hunter Run RV Estates'!AG94+'Hunters Run RV Estates (hu116)'!AG207+'Jade Isle (ja068)'!AG36+'Jade Isle MHC'!AG38+'Kakusha Estates (ka045)'!AG42+'Kakusha MHC'!AG41+'Lakeside Village'!AG47+'Lakeside Village (la482)'!AG49+'Lakewood Village (la481)'!AG108+'Lakewood Village MHC LLC'!AG128+'Maple Corner'!AG61+'Maple Corner (ma490)'!AG51+'Marlboro Court (ma489)'!AG39+'Marlboro Court MHC LLC'!AG39+'May Manor'!AG143+'May Manor (ma488)'!AG75+'Mobiland by the Sea (mo320)'!AG44+'Mobiland By The Sea MHC'!AG45+'Moss Landing'!AG72+'Moss Landing (mo321)'!AG64+'Oak Springs'!AG76+'Oak Springs MHC (oa150)'!AG52+'Orange Manor East'!AG41+'Orange Manor East (or125)'!AG44+'Pacific Manor'!AG50+'Pacific Manor (pa602)'!AG52+Parkhaven!AG107+Ridgecrest!AG57+Riverest!AG51+'Riverview MHRV LLC'!AG54+Rosehaven!AG119+'Sanctuary RV Resort'!AG231+'Shadow Mountain MHC'!AG38+Springhaven!AG38+'Star Valley Ranch'!AG49+Sunhaven!AG45+'Sunny Grove'!AG44+Tarponaire!AG48+'Val Vista RV Resort'!AG77+'Webster RV Resort LLC'!AG64+'Wekiva Falls RV Resort'!AG88+'West Jupiter RV Resort'!AG45+'Western Way RV Resort LLC'!AG137</f>
      </c>
      <c r="AH17" s="18">
        <f>'Agave Village (ag011)'!AH70+'Agave Village LLC'!AH59+'Brookhaven Estates (bo260)'!AH52+'Brookhaven RV Resort'!AH48+'Courtly Manor'!AH41+'Courtly Manor Park (co669)'!AH42+'Cross Creek RV'!AH137+'Cross Creek RV Resort (cr994)'!AH143+'El Rio De Oro (el289)'!AH39+'El Rio del Oro'!AH42+'Endless Summer RV Resort'!AH60+'Endless Summer RV Resort (en079'!AH52+Evergreen!AH39+'Far Horizons'!AH39+'Far Horizons (fa105)'!AH39+'Floridian Sandalwood (fl356)'!AH36+'Floridian Sandalwood MHC'!AH40+Glenhaven!AH44+'Glenhaven Estates (gl317)'!AH44+'Harbor Lights (ha310)'!AH45+'Harbor Lights MHC'!AH43+'Harvest Gate'!AH53+'Hunter Run RV Estates'!AH94+'Hunters Run RV Estates (hu116)'!AH207+'Jade Isle (ja068)'!AH36+'Jade Isle MHC'!AH38+'Kakusha Estates (ka045)'!AH42+'Kakusha MHC'!AH41+'Lakeside Village'!AH47+'Lakeside Village (la482)'!AH49+'Lakewood Village (la481)'!AH108+'Lakewood Village MHC LLC'!AH128+'Maple Corner'!AH61+'Maple Corner (ma490)'!AH51+'Marlboro Court (ma489)'!AH39+'Marlboro Court MHC LLC'!AH39+'May Manor'!AH143+'May Manor (ma488)'!AH75+'Mobiland by the Sea (mo320)'!AH44+'Mobiland By The Sea MHC'!AH45+'Moss Landing'!AH72+'Moss Landing (mo321)'!AH64+'Oak Springs'!AH76+'Oak Springs MHC (oa150)'!AH52+'Orange Manor East'!AH41+'Orange Manor East (or125)'!AH44+'Pacific Manor'!AH50+'Pacific Manor (pa602)'!AH52+Parkhaven!AH107+Ridgecrest!AH57+Riverest!AH51+'Riverview MHRV LLC'!AH54+Rosehaven!AH119+'Sanctuary RV Resort'!AH231+'Shadow Mountain MHC'!AH38+Springhaven!AH38+'Star Valley Ranch'!AH49+Sunhaven!AH45+'Sunny Grove'!AH44+Tarponaire!AH48+'Val Vista RV Resort'!AH77+'Webster RV Resort LLC'!AH64+'Wekiva Falls RV Resort'!AH88+'West Jupiter RV Resort'!AH45+'Western Way RV Resort LLC'!AH137</f>
      </c>
      <c r="AI17" s="18">
        <f>'Agave Village (ag011)'!AI70+'Agave Village LLC'!AI59+'Brookhaven Estates (bo260)'!AI52+'Brookhaven RV Resort'!AI48+'Courtly Manor'!AI41+'Courtly Manor Park (co669)'!AI42+'Cross Creek RV'!AI137+'Cross Creek RV Resort (cr994)'!AI143+'El Rio De Oro (el289)'!AI39+'El Rio del Oro'!AI42+'Endless Summer RV Resort'!AI60+'Endless Summer RV Resort (en079'!AI52+Evergreen!AI39+'Far Horizons'!AI39+'Far Horizons (fa105)'!AI39+'Floridian Sandalwood (fl356)'!AI36+'Floridian Sandalwood MHC'!AI40+Glenhaven!AI44+'Glenhaven Estates (gl317)'!AI44+'Harbor Lights (ha310)'!AI45+'Harbor Lights MHC'!AI43+'Harvest Gate'!AI53+'Hunter Run RV Estates'!AI94+'Hunters Run RV Estates (hu116)'!AI207+'Jade Isle (ja068)'!AI36+'Jade Isle MHC'!AI38+'Kakusha Estates (ka045)'!AI42+'Kakusha MHC'!AI41+'Lakeside Village'!AI47+'Lakeside Village (la482)'!AI49+'Lakewood Village (la481)'!AI108+'Lakewood Village MHC LLC'!AI128+'Maple Corner'!AI61+'Maple Corner (ma490)'!AI51+'Marlboro Court (ma489)'!AI39+'Marlboro Court MHC LLC'!AI39+'May Manor'!AI143+'May Manor (ma488)'!AI75+'Mobiland by the Sea (mo320)'!AI44+'Mobiland By The Sea MHC'!AI45+'Moss Landing'!AI72+'Moss Landing (mo321)'!AI64+'Oak Springs'!AI76+'Oak Springs MHC (oa150)'!AI52+'Orange Manor East'!AI41+'Orange Manor East (or125)'!AI44+'Pacific Manor'!AI50+'Pacific Manor (pa602)'!AI52+Parkhaven!AI107+Ridgecrest!AI57+Riverest!AI51+'Riverview MHRV LLC'!AI54+Rosehaven!AI119+'Sanctuary RV Resort'!AI231+'Shadow Mountain MHC'!AI38+Springhaven!AI38+'Star Valley Ranch'!AI49+Sunhaven!AI45+'Sunny Grove'!AI44+Tarponaire!AI48+'Val Vista RV Resort'!AI77+'Webster RV Resort LLC'!AI64+'Wekiva Falls RV Resort'!AI88+'West Jupiter RV Resort'!AI45+'Western Way RV Resort LLC'!AI137</f>
      </c>
      <c r="AJ17" s="18">
        <f>'Agave Village (ag011)'!AJ70+'Agave Village LLC'!AJ59+'Brookhaven Estates (bo260)'!AJ52+'Brookhaven RV Resort'!AJ48+'Courtly Manor'!AJ41+'Courtly Manor Park (co669)'!AJ42+'Cross Creek RV'!AJ137+'Cross Creek RV Resort (cr994)'!AJ143+'El Rio De Oro (el289)'!AJ39+'El Rio del Oro'!AJ42+'Endless Summer RV Resort'!AJ60+'Endless Summer RV Resort (en079'!AJ52+Evergreen!AJ39+'Far Horizons'!AJ39+'Far Horizons (fa105)'!AJ39+'Floridian Sandalwood (fl356)'!AJ36+'Floridian Sandalwood MHC'!AJ40+Glenhaven!AJ44+'Glenhaven Estates (gl317)'!AJ44+'Harbor Lights (ha310)'!AJ45+'Harbor Lights MHC'!AJ43+'Harvest Gate'!AJ53+'Hunter Run RV Estates'!AJ94+'Hunters Run RV Estates (hu116)'!AJ207+'Jade Isle (ja068)'!AJ36+'Jade Isle MHC'!AJ38+'Kakusha Estates (ka045)'!AJ42+'Kakusha MHC'!AJ41+'Lakeside Village'!AJ47+'Lakeside Village (la482)'!AJ49+'Lakewood Village (la481)'!AJ108+'Lakewood Village MHC LLC'!AJ128+'Maple Corner'!AJ61+'Maple Corner (ma490)'!AJ51+'Marlboro Court (ma489)'!AJ39+'Marlboro Court MHC LLC'!AJ39+'May Manor'!AJ143+'May Manor (ma488)'!AJ75+'Mobiland by the Sea (mo320)'!AJ44+'Mobiland By The Sea MHC'!AJ45+'Moss Landing'!AJ72+'Moss Landing (mo321)'!AJ64+'Oak Springs'!AJ76+'Oak Springs MHC (oa150)'!AJ52+'Orange Manor East'!AJ41+'Orange Manor East (or125)'!AJ44+'Pacific Manor'!AJ50+'Pacific Manor (pa602)'!AJ52+Parkhaven!AJ107+Ridgecrest!AJ57+Riverest!AJ51+'Riverview MHRV LLC'!AJ54+Rosehaven!AJ119+'Sanctuary RV Resort'!AJ231+'Shadow Mountain MHC'!AJ38+Springhaven!AJ38+'Star Valley Ranch'!AJ49+Sunhaven!AJ45+'Sunny Grove'!AJ44+Tarponaire!AJ48+'Val Vista RV Resort'!AJ77+'Webster RV Resort LLC'!AJ64+'Wekiva Falls RV Resort'!AJ88+'West Jupiter RV Resort'!AJ45+'Western Way RV Resort LLC'!AJ137</f>
      </c>
      <c r="AK17" s="19"/>
    </row>
    <row r="18" ht="12.75" customHeight="1" spans="2:37" x14ac:dyDescent="0.25">
      <c r="B18" s="16" t="s">
        <v>43</v>
      </c>
      <c r="C18" s="17"/>
      <c r="D18" s="17"/>
      <c r="E18" s="18">
        <f>'Agave Village (ag011)'!E71+'Agave Village LLC'!E60+'Brookhaven Estates (bo260)'!E53+'Brookhaven RV Resort'!E49+'Courtly Manor'!E42+'Courtly Manor Park (co669)'!E43+'Cross Creek RV'!E138+'Cross Creek RV Resort (cr994)'!E144+'El Rio De Oro (el289)'!E40+'El Rio del Oro'!E43+'Endless Summer RV Resort'!E61+'Endless Summer RV Resort (en079'!E53+Evergreen!E40+'Far Horizons'!E40+'Far Horizons (fa105)'!E40+'Floridian Sandalwood (fl356)'!E37+'Floridian Sandalwood MHC'!E41+Glenhaven!E45+'Glenhaven Estates (gl317)'!E45+'Harbor Lights (ha310)'!E46+'Harbor Lights MHC'!E44+'Harvest Gate'!E54+'Hunter Run RV Estates'!E95+'Hunters Run RV Estates (hu116)'!E208+'Jade Isle (ja068)'!E37+'Jade Isle MHC'!E39+'Kakusha Estates (ka045)'!E43+'Kakusha MHC'!E42+'Lakeside Village'!E48+'Lakeside Village (la482)'!E50+'Lakewood Village (la481)'!E109+'Lakewood Village MHC LLC'!E129+'Maple Corner'!E62+'Maple Corner (ma490)'!E52+'Marlboro Court (ma489)'!E40+'Marlboro Court MHC LLC'!E40+'May Manor'!E144+'May Manor (ma488)'!E76+'Mobiland by the Sea (mo320)'!E45+'Mobiland By The Sea MHC'!E46+'Moss Landing'!E73+'Moss Landing (mo321)'!E65+'Oak Springs'!E77+'Oak Springs MHC (oa150)'!E53+'Orange Manor East'!E42+'Orange Manor East (or125)'!E45+'Pacific Manor'!E51+'Pacific Manor (pa602)'!E53+Parkhaven!E108+Ridgecrest!E58+Riverest!E52+'Riverview MHRV LLC'!E55+Rosehaven!E120+'Sanctuary RV Resort'!E232+'Shadow Mountain MHC'!E39+Springhaven!E39+'Star Valley Ranch'!E50+Sunhaven!E46+'Sunny Grove'!E45+Tarponaire!E49+'Val Vista RV Resort'!E78+'Webster RV Resort LLC'!E65+'Wekiva Falls RV Resort'!E89+'West Jupiter RV Resort'!E46+'Western Way RV Resort LLC'!E138</f>
      </c>
      <c r="F18" s="18">
        <f>'Agave Village (ag011)'!F71+'Agave Village LLC'!F60+'Brookhaven Estates (bo260)'!F53+'Brookhaven RV Resort'!F49+'Courtly Manor'!F42+'Courtly Manor Park (co669)'!F43+'Cross Creek RV'!F138+'Cross Creek RV Resort (cr994)'!F144+'El Rio De Oro (el289)'!F40+'El Rio del Oro'!F43+'Endless Summer RV Resort'!F61+'Endless Summer RV Resort (en079'!F53+Evergreen!F40+'Far Horizons'!F40+'Far Horizons (fa105)'!F40+'Floridian Sandalwood (fl356)'!F37+'Floridian Sandalwood MHC'!F41+Glenhaven!F45+'Glenhaven Estates (gl317)'!F45+'Harbor Lights (ha310)'!F46+'Harbor Lights MHC'!F44+'Harvest Gate'!F54+'Hunter Run RV Estates'!F95+'Hunters Run RV Estates (hu116)'!F208+'Jade Isle (ja068)'!F37+'Jade Isle MHC'!F39+'Kakusha Estates (ka045)'!F43+'Kakusha MHC'!F42+'Lakeside Village'!F48+'Lakeside Village (la482)'!F50+'Lakewood Village (la481)'!F109+'Lakewood Village MHC LLC'!F129+'Maple Corner'!F62+'Maple Corner (ma490)'!F52+'Marlboro Court (ma489)'!F40+'Marlboro Court MHC LLC'!F40+'May Manor'!F144+'May Manor (ma488)'!F76+'Mobiland by the Sea (mo320)'!F45+'Mobiland By The Sea MHC'!F46+'Moss Landing'!F73+'Moss Landing (mo321)'!F65+'Oak Springs'!F77+'Oak Springs MHC (oa150)'!F53+'Orange Manor East'!F42+'Orange Manor East (or125)'!F45+'Pacific Manor'!F51+'Pacific Manor (pa602)'!F53+Parkhaven!F108+Ridgecrest!F58+Riverest!F52+'Riverview MHRV LLC'!F55+Rosehaven!F120+'Sanctuary RV Resort'!F232+'Shadow Mountain MHC'!F39+Springhaven!F39+'Star Valley Ranch'!F50+Sunhaven!F46+'Sunny Grove'!F45+Tarponaire!F49+'Val Vista RV Resort'!F78+'Webster RV Resort LLC'!F65+'Wekiva Falls RV Resort'!F89+'West Jupiter RV Resort'!F46+'Western Way RV Resort LLC'!F138</f>
      </c>
      <c r="G18" s="18">
        <f>'Agave Village (ag011)'!G71+'Agave Village LLC'!G60+'Brookhaven Estates (bo260)'!G53+'Brookhaven RV Resort'!G49+'Courtly Manor'!G42+'Courtly Manor Park (co669)'!G43+'Cross Creek RV'!G138+'Cross Creek RV Resort (cr994)'!G144+'El Rio De Oro (el289)'!G40+'El Rio del Oro'!G43+'Endless Summer RV Resort'!G61+'Endless Summer RV Resort (en079'!G53+Evergreen!G40+'Far Horizons'!G40+'Far Horizons (fa105)'!G40+'Floridian Sandalwood (fl356)'!G37+'Floridian Sandalwood MHC'!G41+Glenhaven!G45+'Glenhaven Estates (gl317)'!G45+'Harbor Lights (ha310)'!G46+'Harbor Lights MHC'!G44+'Harvest Gate'!G54+'Hunter Run RV Estates'!G95+'Hunters Run RV Estates (hu116)'!G208+'Jade Isle (ja068)'!G37+'Jade Isle MHC'!G39+'Kakusha Estates (ka045)'!G43+'Kakusha MHC'!G42+'Lakeside Village'!G48+'Lakeside Village (la482)'!G50+'Lakewood Village (la481)'!G109+'Lakewood Village MHC LLC'!G129+'Maple Corner'!G62+'Maple Corner (ma490)'!G52+'Marlboro Court (ma489)'!G40+'Marlboro Court MHC LLC'!G40+'May Manor'!G144+'May Manor (ma488)'!G76+'Mobiland by the Sea (mo320)'!G45+'Mobiland By The Sea MHC'!G46+'Moss Landing'!G73+'Moss Landing (mo321)'!G65+'Oak Springs'!G77+'Oak Springs MHC (oa150)'!G53+'Orange Manor East'!G42+'Orange Manor East (or125)'!G45+'Pacific Manor'!G51+'Pacific Manor (pa602)'!G53+Parkhaven!G108+Ridgecrest!G58+Riverest!G52+'Riverview MHRV LLC'!G55+Rosehaven!G120+'Sanctuary RV Resort'!G232+'Shadow Mountain MHC'!G39+Springhaven!G39+'Star Valley Ranch'!G50+Sunhaven!G46+'Sunny Grove'!G45+Tarponaire!G49+'Val Vista RV Resort'!G78+'Webster RV Resort LLC'!G65+'Wekiva Falls RV Resort'!G89+'West Jupiter RV Resort'!G46+'Western Way RV Resort LLC'!G138</f>
      </c>
      <c r="H18" s="18">
        <f>'Agave Village (ag011)'!H71+'Agave Village LLC'!H60+'Brookhaven Estates (bo260)'!H53+'Brookhaven RV Resort'!H49+'Courtly Manor'!H42+'Courtly Manor Park (co669)'!H43+'Cross Creek RV'!H138+'Cross Creek RV Resort (cr994)'!H144+'El Rio De Oro (el289)'!H40+'El Rio del Oro'!H43+'Endless Summer RV Resort'!H61+'Endless Summer RV Resort (en079'!H53+Evergreen!H40+'Far Horizons'!H40+'Far Horizons (fa105)'!H40+'Floridian Sandalwood (fl356)'!H37+'Floridian Sandalwood MHC'!H41+Glenhaven!H45+'Glenhaven Estates (gl317)'!H45+'Harbor Lights (ha310)'!H46+'Harbor Lights MHC'!H44+'Harvest Gate'!H54+'Hunter Run RV Estates'!H95+'Hunters Run RV Estates (hu116)'!H208+'Jade Isle (ja068)'!H37+'Jade Isle MHC'!H39+'Kakusha Estates (ka045)'!H43+'Kakusha MHC'!H42+'Lakeside Village'!H48+'Lakeside Village (la482)'!H50+'Lakewood Village (la481)'!H109+'Lakewood Village MHC LLC'!H129+'Maple Corner'!H62+'Maple Corner (ma490)'!H52+'Marlboro Court (ma489)'!H40+'Marlboro Court MHC LLC'!H40+'May Manor'!H144+'May Manor (ma488)'!H76+'Mobiland by the Sea (mo320)'!H45+'Mobiland By The Sea MHC'!H46+'Moss Landing'!H73+'Moss Landing (mo321)'!H65+'Oak Springs'!H77+'Oak Springs MHC (oa150)'!H53+'Orange Manor East'!H42+'Orange Manor East (or125)'!H45+'Pacific Manor'!H51+'Pacific Manor (pa602)'!H53+Parkhaven!H108+Ridgecrest!H58+Riverest!H52+'Riverview MHRV LLC'!H55+Rosehaven!H120+'Sanctuary RV Resort'!H232+'Shadow Mountain MHC'!H39+Springhaven!H39+'Star Valley Ranch'!H50+Sunhaven!H46+'Sunny Grove'!H45+Tarponaire!H49+'Val Vista RV Resort'!H78+'Webster RV Resort LLC'!H65+'Wekiva Falls RV Resort'!H89+'West Jupiter RV Resort'!H46+'Western Way RV Resort LLC'!H138</f>
      </c>
      <c r="I18" s="18">
        <f>'Agave Village (ag011)'!I71+'Agave Village LLC'!I60+'Brookhaven Estates (bo260)'!I53+'Brookhaven RV Resort'!I49+'Courtly Manor'!I42+'Courtly Manor Park (co669)'!I43+'Cross Creek RV'!I138+'Cross Creek RV Resort (cr994)'!I144+'El Rio De Oro (el289)'!I40+'El Rio del Oro'!I43+'Endless Summer RV Resort'!I61+'Endless Summer RV Resort (en079'!I53+Evergreen!I40+'Far Horizons'!I40+'Far Horizons (fa105)'!I40+'Floridian Sandalwood (fl356)'!I37+'Floridian Sandalwood MHC'!I41+Glenhaven!I45+'Glenhaven Estates (gl317)'!I45+'Harbor Lights (ha310)'!I46+'Harbor Lights MHC'!I44+'Harvest Gate'!I54+'Hunter Run RV Estates'!I95+'Hunters Run RV Estates (hu116)'!I208+'Jade Isle (ja068)'!I37+'Jade Isle MHC'!I39+'Kakusha Estates (ka045)'!I43+'Kakusha MHC'!I42+'Lakeside Village'!I48+'Lakeside Village (la482)'!I50+'Lakewood Village (la481)'!I109+'Lakewood Village MHC LLC'!I129+'Maple Corner'!I62+'Maple Corner (ma490)'!I52+'Marlboro Court (ma489)'!I40+'Marlboro Court MHC LLC'!I40+'May Manor'!I144+'May Manor (ma488)'!I76+'Mobiland by the Sea (mo320)'!I45+'Mobiland By The Sea MHC'!I46+'Moss Landing'!I73+'Moss Landing (mo321)'!I65+'Oak Springs'!I77+'Oak Springs MHC (oa150)'!I53+'Orange Manor East'!I42+'Orange Manor East (or125)'!I45+'Pacific Manor'!I51+'Pacific Manor (pa602)'!I53+Parkhaven!I108+Ridgecrest!I58+Riverest!I52+'Riverview MHRV LLC'!I55+Rosehaven!I120+'Sanctuary RV Resort'!I232+'Shadow Mountain MHC'!I39+Springhaven!I39+'Star Valley Ranch'!I50+Sunhaven!I46+'Sunny Grove'!I45+Tarponaire!I49+'Val Vista RV Resort'!I78+'Webster RV Resort LLC'!I65+'Wekiva Falls RV Resort'!I89+'West Jupiter RV Resort'!I46+'Western Way RV Resort LLC'!I138</f>
      </c>
      <c r="J18" s="18">
        <f>'Agave Village (ag011)'!J71+'Agave Village LLC'!J60+'Brookhaven Estates (bo260)'!J53+'Brookhaven RV Resort'!J49+'Courtly Manor'!J42+'Courtly Manor Park (co669)'!J43+'Cross Creek RV'!J138+'Cross Creek RV Resort (cr994)'!J144+'El Rio De Oro (el289)'!J40+'El Rio del Oro'!J43+'Endless Summer RV Resort'!J61+'Endless Summer RV Resort (en079'!J53+Evergreen!J40+'Far Horizons'!J40+'Far Horizons (fa105)'!J40+'Floridian Sandalwood (fl356)'!J37+'Floridian Sandalwood MHC'!J41+Glenhaven!J45+'Glenhaven Estates (gl317)'!J45+'Harbor Lights (ha310)'!J46+'Harbor Lights MHC'!J44+'Harvest Gate'!J54+'Hunter Run RV Estates'!J95+'Hunters Run RV Estates (hu116)'!J208+'Jade Isle (ja068)'!J37+'Jade Isle MHC'!J39+'Kakusha Estates (ka045)'!J43+'Kakusha MHC'!J42+'Lakeside Village'!J48+'Lakeside Village (la482)'!J50+'Lakewood Village (la481)'!J109+'Lakewood Village MHC LLC'!J129+'Maple Corner'!J62+'Maple Corner (ma490)'!J52+'Marlboro Court (ma489)'!J40+'Marlboro Court MHC LLC'!J40+'May Manor'!J144+'May Manor (ma488)'!J76+'Mobiland by the Sea (mo320)'!J45+'Mobiland By The Sea MHC'!J46+'Moss Landing'!J73+'Moss Landing (mo321)'!J65+'Oak Springs'!J77+'Oak Springs MHC (oa150)'!J53+'Orange Manor East'!J42+'Orange Manor East (or125)'!J45+'Pacific Manor'!J51+'Pacific Manor (pa602)'!J53+Parkhaven!J108+Ridgecrest!J58+Riverest!J52+'Riverview MHRV LLC'!J55+Rosehaven!J120+'Sanctuary RV Resort'!J232+'Shadow Mountain MHC'!J39+Springhaven!J39+'Star Valley Ranch'!J50+Sunhaven!J46+'Sunny Grove'!J45+Tarponaire!J49+'Val Vista RV Resort'!J78+'Webster RV Resort LLC'!J65+'Wekiva Falls RV Resort'!J89+'West Jupiter RV Resort'!J46+'Western Way RV Resort LLC'!J138</f>
      </c>
      <c r="K18" s="18">
        <f>'Agave Village (ag011)'!K71+'Agave Village LLC'!K60+'Brookhaven Estates (bo260)'!K53+'Brookhaven RV Resort'!K49+'Courtly Manor'!K42+'Courtly Manor Park (co669)'!K43+'Cross Creek RV'!K138+'Cross Creek RV Resort (cr994)'!K144+'El Rio De Oro (el289)'!K40+'El Rio del Oro'!K43+'Endless Summer RV Resort'!K61+'Endless Summer RV Resort (en079'!K53+Evergreen!K40+'Far Horizons'!K40+'Far Horizons (fa105)'!K40+'Floridian Sandalwood (fl356)'!K37+'Floridian Sandalwood MHC'!K41+Glenhaven!K45+'Glenhaven Estates (gl317)'!K45+'Harbor Lights (ha310)'!K46+'Harbor Lights MHC'!K44+'Harvest Gate'!K54+'Hunter Run RV Estates'!K95+'Hunters Run RV Estates (hu116)'!K208+'Jade Isle (ja068)'!K37+'Jade Isle MHC'!K39+'Kakusha Estates (ka045)'!K43+'Kakusha MHC'!K42+'Lakeside Village'!K48+'Lakeside Village (la482)'!K50+'Lakewood Village (la481)'!K109+'Lakewood Village MHC LLC'!K129+'Maple Corner'!K62+'Maple Corner (ma490)'!K52+'Marlboro Court (ma489)'!K40+'Marlboro Court MHC LLC'!K40+'May Manor'!K144+'May Manor (ma488)'!K76+'Mobiland by the Sea (mo320)'!K45+'Mobiland By The Sea MHC'!K46+'Moss Landing'!K73+'Moss Landing (mo321)'!K65+'Oak Springs'!K77+'Oak Springs MHC (oa150)'!K53+'Orange Manor East'!K42+'Orange Manor East (or125)'!K45+'Pacific Manor'!K51+'Pacific Manor (pa602)'!K53+Parkhaven!K108+Ridgecrest!K58+Riverest!K52+'Riverview MHRV LLC'!K55+Rosehaven!K120+'Sanctuary RV Resort'!K232+'Shadow Mountain MHC'!K39+Springhaven!K39+'Star Valley Ranch'!K50+Sunhaven!K46+'Sunny Grove'!K45+Tarponaire!K49+'Val Vista RV Resort'!K78+'Webster RV Resort LLC'!K65+'Wekiva Falls RV Resort'!K89+'West Jupiter RV Resort'!K46+'Western Way RV Resort LLC'!K138</f>
      </c>
      <c r="L18" s="18">
        <f>'Agave Village (ag011)'!L71+'Agave Village LLC'!L60+'Brookhaven Estates (bo260)'!L53+'Brookhaven RV Resort'!L49+'Courtly Manor'!L42+'Courtly Manor Park (co669)'!L43+'Cross Creek RV'!L138+'Cross Creek RV Resort (cr994)'!L144+'El Rio De Oro (el289)'!L40+'El Rio del Oro'!L43+'Endless Summer RV Resort'!L61+'Endless Summer RV Resort (en079'!L53+Evergreen!L40+'Far Horizons'!L40+'Far Horizons (fa105)'!L40+'Floridian Sandalwood (fl356)'!L37+'Floridian Sandalwood MHC'!L41+Glenhaven!L45+'Glenhaven Estates (gl317)'!L45+'Harbor Lights (ha310)'!L46+'Harbor Lights MHC'!L44+'Harvest Gate'!L54+'Hunter Run RV Estates'!L95+'Hunters Run RV Estates (hu116)'!L208+'Jade Isle (ja068)'!L37+'Jade Isle MHC'!L39+'Kakusha Estates (ka045)'!L43+'Kakusha MHC'!L42+'Lakeside Village'!L48+'Lakeside Village (la482)'!L50+'Lakewood Village (la481)'!L109+'Lakewood Village MHC LLC'!L129+'Maple Corner'!L62+'Maple Corner (ma490)'!L52+'Marlboro Court (ma489)'!L40+'Marlboro Court MHC LLC'!L40+'May Manor'!L144+'May Manor (ma488)'!L76+'Mobiland by the Sea (mo320)'!L45+'Mobiland By The Sea MHC'!L46+'Moss Landing'!L73+'Moss Landing (mo321)'!L65+'Oak Springs'!L77+'Oak Springs MHC (oa150)'!L53+'Orange Manor East'!L42+'Orange Manor East (or125)'!L45+'Pacific Manor'!L51+'Pacific Manor (pa602)'!L53+Parkhaven!L108+Ridgecrest!L58+Riverest!L52+'Riverview MHRV LLC'!L55+Rosehaven!L120+'Sanctuary RV Resort'!L232+'Shadow Mountain MHC'!L39+Springhaven!L39+'Star Valley Ranch'!L50+Sunhaven!L46+'Sunny Grove'!L45+Tarponaire!L49+'Val Vista RV Resort'!L78+'Webster RV Resort LLC'!L65+'Wekiva Falls RV Resort'!L89+'West Jupiter RV Resort'!L46+'Western Way RV Resort LLC'!L138</f>
      </c>
      <c r="M18" s="18">
        <f>'Agave Village (ag011)'!M71+'Agave Village LLC'!M60+'Brookhaven Estates (bo260)'!M53+'Brookhaven RV Resort'!M49+'Courtly Manor'!M42+'Courtly Manor Park (co669)'!M43+'Cross Creek RV'!M138+'Cross Creek RV Resort (cr994)'!M144+'El Rio De Oro (el289)'!M40+'El Rio del Oro'!M43+'Endless Summer RV Resort'!M61+'Endless Summer RV Resort (en079'!M53+Evergreen!M40+'Far Horizons'!M40+'Far Horizons (fa105)'!M40+'Floridian Sandalwood (fl356)'!M37+'Floridian Sandalwood MHC'!M41+Glenhaven!M45+'Glenhaven Estates (gl317)'!M45+'Harbor Lights (ha310)'!M46+'Harbor Lights MHC'!M44+'Harvest Gate'!M54+'Hunter Run RV Estates'!M95+'Hunters Run RV Estates (hu116)'!M208+'Jade Isle (ja068)'!M37+'Jade Isle MHC'!M39+'Kakusha Estates (ka045)'!M43+'Kakusha MHC'!M42+'Lakeside Village'!M48+'Lakeside Village (la482)'!M50+'Lakewood Village (la481)'!M109+'Lakewood Village MHC LLC'!M129+'Maple Corner'!M62+'Maple Corner (ma490)'!M52+'Marlboro Court (ma489)'!M40+'Marlboro Court MHC LLC'!M40+'May Manor'!M144+'May Manor (ma488)'!M76+'Mobiland by the Sea (mo320)'!M45+'Mobiland By The Sea MHC'!M46+'Moss Landing'!M73+'Moss Landing (mo321)'!M65+'Oak Springs'!M77+'Oak Springs MHC (oa150)'!M53+'Orange Manor East'!M42+'Orange Manor East (or125)'!M45+'Pacific Manor'!M51+'Pacific Manor (pa602)'!M53+Parkhaven!M108+Ridgecrest!M58+Riverest!M52+'Riverview MHRV LLC'!M55+Rosehaven!M120+'Sanctuary RV Resort'!M232+'Shadow Mountain MHC'!M39+Springhaven!M39+'Star Valley Ranch'!M50+Sunhaven!M46+'Sunny Grove'!M45+Tarponaire!M49+'Val Vista RV Resort'!M78+'Webster RV Resort LLC'!M65+'Wekiva Falls RV Resort'!M89+'West Jupiter RV Resort'!M46+'Western Way RV Resort LLC'!M138</f>
      </c>
      <c r="N18" s="18">
        <f>'Agave Village (ag011)'!N71+'Agave Village LLC'!N60+'Brookhaven Estates (bo260)'!N53+'Brookhaven RV Resort'!N49+'Courtly Manor'!N42+'Courtly Manor Park (co669)'!N43+'Cross Creek RV'!N138+'Cross Creek RV Resort (cr994)'!N144+'El Rio De Oro (el289)'!N40+'El Rio del Oro'!N43+'Endless Summer RV Resort'!N61+'Endless Summer RV Resort (en079'!N53+Evergreen!N40+'Far Horizons'!N40+'Far Horizons (fa105)'!N40+'Floridian Sandalwood (fl356)'!N37+'Floridian Sandalwood MHC'!N41+Glenhaven!N45+'Glenhaven Estates (gl317)'!N45+'Harbor Lights (ha310)'!N46+'Harbor Lights MHC'!N44+'Harvest Gate'!N54+'Hunter Run RV Estates'!N95+'Hunters Run RV Estates (hu116)'!N208+'Jade Isle (ja068)'!N37+'Jade Isle MHC'!N39+'Kakusha Estates (ka045)'!N43+'Kakusha MHC'!N42+'Lakeside Village'!N48+'Lakeside Village (la482)'!N50+'Lakewood Village (la481)'!N109+'Lakewood Village MHC LLC'!N129+'Maple Corner'!N62+'Maple Corner (ma490)'!N52+'Marlboro Court (ma489)'!N40+'Marlboro Court MHC LLC'!N40+'May Manor'!N144+'May Manor (ma488)'!N76+'Mobiland by the Sea (mo320)'!N45+'Mobiland By The Sea MHC'!N46+'Moss Landing'!N73+'Moss Landing (mo321)'!N65+'Oak Springs'!N77+'Oak Springs MHC (oa150)'!N53+'Orange Manor East'!N42+'Orange Manor East (or125)'!N45+'Pacific Manor'!N51+'Pacific Manor (pa602)'!N53+Parkhaven!N108+Ridgecrest!N58+Riverest!N52+'Riverview MHRV LLC'!N55+Rosehaven!N120+'Sanctuary RV Resort'!N232+'Shadow Mountain MHC'!N39+Springhaven!N39+'Star Valley Ranch'!N50+Sunhaven!N46+'Sunny Grove'!N45+Tarponaire!N49+'Val Vista RV Resort'!N78+'Webster RV Resort LLC'!N65+'Wekiva Falls RV Resort'!N89+'West Jupiter RV Resort'!N46+'Western Way RV Resort LLC'!N138</f>
      </c>
      <c r="O18" s="18">
        <f>'Agave Village (ag011)'!O71+'Agave Village LLC'!O60+'Brookhaven Estates (bo260)'!O53+'Brookhaven RV Resort'!O49+'Courtly Manor'!O42+'Courtly Manor Park (co669)'!O43+'Cross Creek RV'!O138+'Cross Creek RV Resort (cr994)'!O144+'El Rio De Oro (el289)'!O40+'El Rio del Oro'!O43+'Endless Summer RV Resort'!O61+'Endless Summer RV Resort (en079'!O53+Evergreen!O40+'Far Horizons'!O40+'Far Horizons (fa105)'!O40+'Floridian Sandalwood (fl356)'!O37+'Floridian Sandalwood MHC'!O41+Glenhaven!O45+'Glenhaven Estates (gl317)'!O45+'Harbor Lights (ha310)'!O46+'Harbor Lights MHC'!O44+'Harvest Gate'!O54+'Hunter Run RV Estates'!O95+'Hunters Run RV Estates (hu116)'!O208+'Jade Isle (ja068)'!O37+'Jade Isle MHC'!O39+'Kakusha Estates (ka045)'!O43+'Kakusha MHC'!O42+'Lakeside Village'!O48+'Lakeside Village (la482)'!O50+'Lakewood Village (la481)'!O109+'Lakewood Village MHC LLC'!O129+'Maple Corner'!O62+'Maple Corner (ma490)'!O52+'Marlboro Court (ma489)'!O40+'Marlboro Court MHC LLC'!O40+'May Manor'!O144+'May Manor (ma488)'!O76+'Mobiland by the Sea (mo320)'!O45+'Mobiland By The Sea MHC'!O46+'Moss Landing'!O73+'Moss Landing (mo321)'!O65+'Oak Springs'!O77+'Oak Springs MHC (oa150)'!O53+'Orange Manor East'!O42+'Orange Manor East (or125)'!O45+'Pacific Manor'!O51+'Pacific Manor (pa602)'!O53+Parkhaven!O108+Ridgecrest!O58+Riverest!O52+'Riverview MHRV LLC'!O55+Rosehaven!O120+'Sanctuary RV Resort'!O232+'Shadow Mountain MHC'!O39+Springhaven!O39+'Star Valley Ranch'!O50+Sunhaven!O46+'Sunny Grove'!O45+Tarponaire!O49+'Val Vista RV Resort'!O78+'Webster RV Resort LLC'!O65+'Wekiva Falls RV Resort'!O89+'West Jupiter RV Resort'!O46+'Western Way RV Resort LLC'!O138</f>
      </c>
      <c r="P18" s="18">
        <f>'Agave Village (ag011)'!P71+'Agave Village LLC'!P60+'Brookhaven Estates (bo260)'!P53+'Brookhaven RV Resort'!P49+'Courtly Manor'!P42+'Courtly Manor Park (co669)'!P43+'Cross Creek RV'!P138+'Cross Creek RV Resort (cr994)'!P144+'El Rio De Oro (el289)'!P40+'El Rio del Oro'!P43+'Endless Summer RV Resort'!P61+'Endless Summer RV Resort (en079'!P53+Evergreen!P40+'Far Horizons'!P40+'Far Horizons (fa105)'!P40+'Floridian Sandalwood (fl356)'!P37+'Floridian Sandalwood MHC'!P41+Glenhaven!P45+'Glenhaven Estates (gl317)'!P45+'Harbor Lights (ha310)'!P46+'Harbor Lights MHC'!P44+'Harvest Gate'!P54+'Hunter Run RV Estates'!P95+'Hunters Run RV Estates (hu116)'!P208+'Jade Isle (ja068)'!P37+'Jade Isle MHC'!P39+'Kakusha Estates (ka045)'!P43+'Kakusha MHC'!P42+'Lakeside Village'!P48+'Lakeside Village (la482)'!P50+'Lakewood Village (la481)'!P109+'Lakewood Village MHC LLC'!P129+'Maple Corner'!P62+'Maple Corner (ma490)'!P52+'Marlboro Court (ma489)'!P40+'Marlboro Court MHC LLC'!P40+'May Manor'!P144+'May Manor (ma488)'!P76+'Mobiland by the Sea (mo320)'!P45+'Mobiland By The Sea MHC'!P46+'Moss Landing'!P73+'Moss Landing (mo321)'!P65+'Oak Springs'!P77+'Oak Springs MHC (oa150)'!P53+'Orange Manor East'!P42+'Orange Manor East (or125)'!P45+'Pacific Manor'!P51+'Pacific Manor (pa602)'!P53+Parkhaven!P108+Ridgecrest!P58+Riverest!P52+'Riverview MHRV LLC'!P55+Rosehaven!P120+'Sanctuary RV Resort'!P232+'Shadow Mountain MHC'!P39+Springhaven!P39+'Star Valley Ranch'!P50+Sunhaven!P46+'Sunny Grove'!P45+Tarponaire!P49+'Val Vista RV Resort'!P78+'Webster RV Resort LLC'!P65+'Wekiva Falls RV Resort'!P89+'West Jupiter RV Resort'!P46+'Western Way RV Resort LLC'!P138</f>
      </c>
      <c r="Q18" s="18">
        <f>'Agave Village (ag011)'!Q71+'Agave Village LLC'!Q60+'Brookhaven Estates (bo260)'!Q53+'Brookhaven RV Resort'!Q49+'Courtly Manor'!Q42+'Courtly Manor Park (co669)'!Q43+'Cross Creek RV'!Q138+'Cross Creek RV Resort (cr994)'!Q144+'El Rio De Oro (el289)'!Q40+'El Rio del Oro'!Q43+'Endless Summer RV Resort'!Q61+'Endless Summer RV Resort (en079'!Q53+Evergreen!Q40+'Far Horizons'!Q40+'Far Horizons (fa105)'!Q40+'Floridian Sandalwood (fl356)'!Q37+'Floridian Sandalwood MHC'!Q41+Glenhaven!Q45+'Glenhaven Estates (gl317)'!Q45+'Harbor Lights (ha310)'!Q46+'Harbor Lights MHC'!Q44+'Harvest Gate'!Q54+'Hunter Run RV Estates'!Q95+'Hunters Run RV Estates (hu116)'!Q208+'Jade Isle (ja068)'!Q37+'Jade Isle MHC'!Q39+'Kakusha Estates (ka045)'!Q43+'Kakusha MHC'!Q42+'Lakeside Village'!Q48+'Lakeside Village (la482)'!Q50+'Lakewood Village (la481)'!Q109+'Lakewood Village MHC LLC'!Q129+'Maple Corner'!Q62+'Maple Corner (ma490)'!Q52+'Marlboro Court (ma489)'!Q40+'Marlboro Court MHC LLC'!Q40+'May Manor'!Q144+'May Manor (ma488)'!Q76+'Mobiland by the Sea (mo320)'!Q45+'Mobiland By The Sea MHC'!Q46+'Moss Landing'!Q73+'Moss Landing (mo321)'!Q65+'Oak Springs'!Q77+'Oak Springs MHC (oa150)'!Q53+'Orange Manor East'!Q42+'Orange Manor East (or125)'!Q45+'Pacific Manor'!Q51+'Pacific Manor (pa602)'!Q53+Parkhaven!Q108+Ridgecrest!Q58+Riverest!Q52+'Riverview MHRV LLC'!Q55+Rosehaven!Q120+'Sanctuary RV Resort'!Q232+'Shadow Mountain MHC'!Q39+Springhaven!Q39+'Star Valley Ranch'!Q50+Sunhaven!Q46+'Sunny Grove'!Q45+Tarponaire!Q49+'Val Vista RV Resort'!Q78+'Webster RV Resort LLC'!Q65+'Wekiva Falls RV Resort'!Q89+'West Jupiter RV Resort'!Q46+'Western Way RV Resort LLC'!Q138</f>
      </c>
      <c r="R18" s="18">
        <f>'Agave Village (ag011)'!R71+'Agave Village LLC'!R60+'Brookhaven Estates (bo260)'!R53+'Brookhaven RV Resort'!R49+'Courtly Manor'!R42+'Courtly Manor Park (co669)'!R43+'Cross Creek RV'!R138+'Cross Creek RV Resort (cr994)'!R144+'El Rio De Oro (el289)'!R40+'El Rio del Oro'!R43+'Endless Summer RV Resort'!R61+'Endless Summer RV Resort (en079'!R53+Evergreen!R40+'Far Horizons'!R40+'Far Horizons (fa105)'!R40+'Floridian Sandalwood (fl356)'!R37+'Floridian Sandalwood MHC'!R41+Glenhaven!R45+'Glenhaven Estates (gl317)'!R45+'Harbor Lights (ha310)'!R46+'Harbor Lights MHC'!R44+'Harvest Gate'!R54+'Hunter Run RV Estates'!R95+'Hunters Run RV Estates (hu116)'!R208+'Jade Isle (ja068)'!R37+'Jade Isle MHC'!R39+'Kakusha Estates (ka045)'!R43+'Kakusha MHC'!R42+'Lakeside Village'!R48+'Lakeside Village (la482)'!R50+'Lakewood Village (la481)'!R109+'Lakewood Village MHC LLC'!R129+'Maple Corner'!R62+'Maple Corner (ma490)'!R52+'Marlboro Court (ma489)'!R40+'Marlboro Court MHC LLC'!R40+'May Manor'!R144+'May Manor (ma488)'!R76+'Mobiland by the Sea (mo320)'!R45+'Mobiland By The Sea MHC'!R46+'Moss Landing'!R73+'Moss Landing (mo321)'!R65+'Oak Springs'!R77+'Oak Springs MHC (oa150)'!R53+'Orange Manor East'!R42+'Orange Manor East (or125)'!R45+'Pacific Manor'!R51+'Pacific Manor (pa602)'!R53+Parkhaven!R108+Ridgecrest!R58+Riverest!R52+'Riverview MHRV LLC'!R55+Rosehaven!R120+'Sanctuary RV Resort'!R232+'Shadow Mountain MHC'!R39+Springhaven!R39+'Star Valley Ranch'!R50+Sunhaven!R46+'Sunny Grove'!R45+Tarponaire!R49+'Val Vista RV Resort'!R78+'Webster RV Resort LLC'!R65+'Wekiva Falls RV Resort'!R89+'West Jupiter RV Resort'!R46+'Western Way RV Resort LLC'!R138</f>
      </c>
      <c r="S18" s="18">
        <f>'Agave Village (ag011)'!S71+'Agave Village LLC'!S60+'Brookhaven Estates (bo260)'!S53+'Brookhaven RV Resort'!S49+'Courtly Manor'!S42+'Courtly Manor Park (co669)'!S43+'Cross Creek RV'!S138+'Cross Creek RV Resort (cr994)'!S144+'El Rio De Oro (el289)'!S40+'El Rio del Oro'!S43+'Endless Summer RV Resort'!S61+'Endless Summer RV Resort (en079'!S53+Evergreen!S40+'Far Horizons'!S40+'Far Horizons (fa105)'!S40+'Floridian Sandalwood (fl356)'!S37+'Floridian Sandalwood MHC'!S41+Glenhaven!S45+'Glenhaven Estates (gl317)'!S45+'Harbor Lights (ha310)'!S46+'Harbor Lights MHC'!S44+'Harvest Gate'!S54+'Hunter Run RV Estates'!S95+'Hunters Run RV Estates (hu116)'!S208+'Jade Isle (ja068)'!S37+'Jade Isle MHC'!S39+'Kakusha Estates (ka045)'!S43+'Kakusha MHC'!S42+'Lakeside Village'!S48+'Lakeside Village (la482)'!S50+'Lakewood Village (la481)'!S109+'Lakewood Village MHC LLC'!S129+'Maple Corner'!S62+'Maple Corner (ma490)'!S52+'Marlboro Court (ma489)'!S40+'Marlboro Court MHC LLC'!S40+'May Manor'!S144+'May Manor (ma488)'!S76+'Mobiland by the Sea (mo320)'!S45+'Mobiland By The Sea MHC'!S46+'Moss Landing'!S73+'Moss Landing (mo321)'!S65+'Oak Springs'!S77+'Oak Springs MHC (oa150)'!S53+'Orange Manor East'!S42+'Orange Manor East (or125)'!S45+'Pacific Manor'!S51+'Pacific Manor (pa602)'!S53+Parkhaven!S108+Ridgecrest!S58+Riverest!S52+'Riverview MHRV LLC'!S55+Rosehaven!S120+'Sanctuary RV Resort'!S232+'Shadow Mountain MHC'!S39+Springhaven!S39+'Star Valley Ranch'!S50+Sunhaven!S46+'Sunny Grove'!S45+Tarponaire!S49+'Val Vista RV Resort'!S78+'Webster RV Resort LLC'!S65+'Wekiva Falls RV Resort'!S89+'West Jupiter RV Resort'!S46+'Western Way RV Resort LLC'!S138</f>
      </c>
      <c r="T18" s="18">
        <f>'Agave Village (ag011)'!T71+'Agave Village LLC'!T60+'Brookhaven Estates (bo260)'!T53+'Brookhaven RV Resort'!T49+'Courtly Manor'!T42+'Courtly Manor Park (co669)'!T43+'Cross Creek RV'!T138+'Cross Creek RV Resort (cr994)'!T144+'El Rio De Oro (el289)'!T40+'El Rio del Oro'!T43+'Endless Summer RV Resort'!T61+'Endless Summer RV Resort (en079'!T53+Evergreen!T40+'Far Horizons'!T40+'Far Horizons (fa105)'!T40+'Floridian Sandalwood (fl356)'!T37+'Floridian Sandalwood MHC'!T41+Glenhaven!T45+'Glenhaven Estates (gl317)'!T45+'Harbor Lights (ha310)'!T46+'Harbor Lights MHC'!T44+'Harvest Gate'!T54+'Hunter Run RV Estates'!T95+'Hunters Run RV Estates (hu116)'!T208+'Jade Isle (ja068)'!T37+'Jade Isle MHC'!T39+'Kakusha Estates (ka045)'!T43+'Kakusha MHC'!T42+'Lakeside Village'!T48+'Lakeside Village (la482)'!T50+'Lakewood Village (la481)'!T109+'Lakewood Village MHC LLC'!T129+'Maple Corner'!T62+'Maple Corner (ma490)'!T52+'Marlboro Court (ma489)'!T40+'Marlboro Court MHC LLC'!T40+'May Manor'!T144+'May Manor (ma488)'!T76+'Mobiland by the Sea (mo320)'!T45+'Mobiland By The Sea MHC'!T46+'Moss Landing'!T73+'Moss Landing (mo321)'!T65+'Oak Springs'!T77+'Oak Springs MHC (oa150)'!T53+'Orange Manor East'!T42+'Orange Manor East (or125)'!T45+'Pacific Manor'!T51+'Pacific Manor (pa602)'!T53+Parkhaven!T108+Ridgecrest!T58+Riverest!T52+'Riverview MHRV LLC'!T55+Rosehaven!T120+'Sanctuary RV Resort'!T232+'Shadow Mountain MHC'!T39+Springhaven!T39+'Star Valley Ranch'!T50+Sunhaven!T46+'Sunny Grove'!T45+Tarponaire!T49+'Val Vista RV Resort'!T78+'Webster RV Resort LLC'!T65+'Wekiva Falls RV Resort'!T89+'West Jupiter RV Resort'!T46+'Western Way RV Resort LLC'!T138</f>
      </c>
      <c r="U18" s="18">
        <f>'Agave Village (ag011)'!U71+'Agave Village LLC'!U60+'Brookhaven Estates (bo260)'!U53+'Brookhaven RV Resort'!U49+'Courtly Manor'!U42+'Courtly Manor Park (co669)'!U43+'Cross Creek RV'!U138+'Cross Creek RV Resort (cr994)'!U144+'El Rio De Oro (el289)'!U40+'El Rio del Oro'!U43+'Endless Summer RV Resort'!U61+'Endless Summer RV Resort (en079'!U53+Evergreen!U40+'Far Horizons'!U40+'Far Horizons (fa105)'!U40+'Floridian Sandalwood (fl356)'!U37+'Floridian Sandalwood MHC'!U41+Glenhaven!U45+'Glenhaven Estates (gl317)'!U45+'Harbor Lights (ha310)'!U46+'Harbor Lights MHC'!U44+'Harvest Gate'!U54+'Hunter Run RV Estates'!U95+'Hunters Run RV Estates (hu116)'!U208+'Jade Isle (ja068)'!U37+'Jade Isle MHC'!U39+'Kakusha Estates (ka045)'!U43+'Kakusha MHC'!U42+'Lakeside Village'!U48+'Lakeside Village (la482)'!U50+'Lakewood Village (la481)'!U109+'Lakewood Village MHC LLC'!U129+'Maple Corner'!U62+'Maple Corner (ma490)'!U52+'Marlboro Court (ma489)'!U40+'Marlboro Court MHC LLC'!U40+'May Manor'!U144+'May Manor (ma488)'!U76+'Mobiland by the Sea (mo320)'!U45+'Mobiland By The Sea MHC'!U46+'Moss Landing'!U73+'Moss Landing (mo321)'!U65+'Oak Springs'!U77+'Oak Springs MHC (oa150)'!U53+'Orange Manor East'!U42+'Orange Manor East (or125)'!U45+'Pacific Manor'!U51+'Pacific Manor (pa602)'!U53+Parkhaven!U108+Ridgecrest!U58+Riverest!U52+'Riverview MHRV LLC'!U55+Rosehaven!U120+'Sanctuary RV Resort'!U232+'Shadow Mountain MHC'!U39+Springhaven!U39+'Star Valley Ranch'!U50+Sunhaven!U46+'Sunny Grove'!U45+Tarponaire!U49+'Val Vista RV Resort'!U78+'Webster RV Resort LLC'!U65+'Wekiva Falls RV Resort'!U89+'West Jupiter RV Resort'!U46+'Western Way RV Resort LLC'!U138</f>
      </c>
      <c r="V18" s="18">
        <f>'Agave Village (ag011)'!V71+'Agave Village LLC'!V60+'Brookhaven Estates (bo260)'!V53+'Brookhaven RV Resort'!V49+'Courtly Manor'!V42+'Courtly Manor Park (co669)'!V43+'Cross Creek RV'!V138+'Cross Creek RV Resort (cr994)'!V144+'El Rio De Oro (el289)'!V40+'El Rio del Oro'!V43+'Endless Summer RV Resort'!V61+'Endless Summer RV Resort (en079'!V53+Evergreen!V40+'Far Horizons'!V40+'Far Horizons (fa105)'!V40+'Floridian Sandalwood (fl356)'!V37+'Floridian Sandalwood MHC'!V41+Glenhaven!V45+'Glenhaven Estates (gl317)'!V45+'Harbor Lights (ha310)'!V46+'Harbor Lights MHC'!V44+'Harvest Gate'!V54+'Hunter Run RV Estates'!V95+'Hunters Run RV Estates (hu116)'!V208+'Jade Isle (ja068)'!V37+'Jade Isle MHC'!V39+'Kakusha Estates (ka045)'!V43+'Kakusha MHC'!V42+'Lakeside Village'!V48+'Lakeside Village (la482)'!V50+'Lakewood Village (la481)'!V109+'Lakewood Village MHC LLC'!V129+'Maple Corner'!V62+'Maple Corner (ma490)'!V52+'Marlboro Court (ma489)'!V40+'Marlboro Court MHC LLC'!V40+'May Manor'!V144+'May Manor (ma488)'!V76+'Mobiland by the Sea (mo320)'!V45+'Mobiland By The Sea MHC'!V46+'Moss Landing'!V73+'Moss Landing (mo321)'!V65+'Oak Springs'!V77+'Oak Springs MHC (oa150)'!V53+'Orange Manor East'!V42+'Orange Manor East (or125)'!V45+'Pacific Manor'!V51+'Pacific Manor (pa602)'!V53+Parkhaven!V108+Ridgecrest!V58+Riverest!V52+'Riverview MHRV LLC'!V55+Rosehaven!V120+'Sanctuary RV Resort'!V232+'Shadow Mountain MHC'!V39+Springhaven!V39+'Star Valley Ranch'!V50+Sunhaven!V46+'Sunny Grove'!V45+Tarponaire!V49+'Val Vista RV Resort'!V78+'Webster RV Resort LLC'!V65+'Wekiva Falls RV Resort'!V89+'West Jupiter RV Resort'!V46+'Western Way RV Resort LLC'!V138</f>
      </c>
      <c r="W18" s="18">
        <f>'Agave Village (ag011)'!W71+'Agave Village LLC'!W60+'Brookhaven Estates (bo260)'!W53+'Brookhaven RV Resort'!W49+'Courtly Manor'!W42+'Courtly Manor Park (co669)'!W43+'Cross Creek RV'!W138+'Cross Creek RV Resort (cr994)'!W144+'El Rio De Oro (el289)'!W40+'El Rio del Oro'!W43+'Endless Summer RV Resort'!W61+'Endless Summer RV Resort (en079'!W53+Evergreen!W40+'Far Horizons'!W40+'Far Horizons (fa105)'!W40+'Floridian Sandalwood (fl356)'!W37+'Floridian Sandalwood MHC'!W41+Glenhaven!W45+'Glenhaven Estates (gl317)'!W45+'Harbor Lights (ha310)'!W46+'Harbor Lights MHC'!W44+'Harvest Gate'!W54+'Hunter Run RV Estates'!W95+'Hunters Run RV Estates (hu116)'!W208+'Jade Isle (ja068)'!W37+'Jade Isle MHC'!W39+'Kakusha Estates (ka045)'!W43+'Kakusha MHC'!W42+'Lakeside Village'!W48+'Lakeside Village (la482)'!W50+'Lakewood Village (la481)'!W109+'Lakewood Village MHC LLC'!W129+'Maple Corner'!W62+'Maple Corner (ma490)'!W52+'Marlboro Court (ma489)'!W40+'Marlboro Court MHC LLC'!W40+'May Manor'!W144+'May Manor (ma488)'!W76+'Mobiland by the Sea (mo320)'!W45+'Mobiland By The Sea MHC'!W46+'Moss Landing'!W73+'Moss Landing (mo321)'!W65+'Oak Springs'!W77+'Oak Springs MHC (oa150)'!W53+'Orange Manor East'!W42+'Orange Manor East (or125)'!W45+'Pacific Manor'!W51+'Pacific Manor (pa602)'!W53+Parkhaven!W108+Ridgecrest!W58+Riverest!W52+'Riverview MHRV LLC'!W55+Rosehaven!W120+'Sanctuary RV Resort'!W232+'Shadow Mountain MHC'!W39+Springhaven!W39+'Star Valley Ranch'!W50+Sunhaven!W46+'Sunny Grove'!W45+Tarponaire!W49+'Val Vista RV Resort'!W78+'Webster RV Resort LLC'!W65+'Wekiva Falls RV Resort'!W89+'West Jupiter RV Resort'!W46+'Western Way RV Resort LLC'!W138</f>
      </c>
      <c r="X18" s="18">
        <f>'Agave Village (ag011)'!X71+'Agave Village LLC'!X60+'Brookhaven Estates (bo260)'!X53+'Brookhaven RV Resort'!X49+'Courtly Manor'!X42+'Courtly Manor Park (co669)'!X43+'Cross Creek RV'!X138+'Cross Creek RV Resort (cr994)'!X144+'El Rio De Oro (el289)'!X40+'El Rio del Oro'!X43+'Endless Summer RV Resort'!X61+'Endless Summer RV Resort (en079'!X53+Evergreen!X40+'Far Horizons'!X40+'Far Horizons (fa105)'!X40+'Floridian Sandalwood (fl356)'!X37+'Floridian Sandalwood MHC'!X41+Glenhaven!X45+'Glenhaven Estates (gl317)'!X45+'Harbor Lights (ha310)'!X46+'Harbor Lights MHC'!X44+'Harvest Gate'!X54+'Hunter Run RV Estates'!X95+'Hunters Run RV Estates (hu116)'!X208+'Jade Isle (ja068)'!X37+'Jade Isle MHC'!X39+'Kakusha Estates (ka045)'!X43+'Kakusha MHC'!X42+'Lakeside Village'!X48+'Lakeside Village (la482)'!X50+'Lakewood Village (la481)'!X109+'Lakewood Village MHC LLC'!X129+'Maple Corner'!X62+'Maple Corner (ma490)'!X52+'Marlboro Court (ma489)'!X40+'Marlboro Court MHC LLC'!X40+'May Manor'!X144+'May Manor (ma488)'!X76+'Mobiland by the Sea (mo320)'!X45+'Mobiland By The Sea MHC'!X46+'Moss Landing'!X73+'Moss Landing (mo321)'!X65+'Oak Springs'!X77+'Oak Springs MHC (oa150)'!X53+'Orange Manor East'!X42+'Orange Manor East (or125)'!X45+'Pacific Manor'!X51+'Pacific Manor (pa602)'!X53+Parkhaven!X108+Ridgecrest!X58+Riverest!X52+'Riverview MHRV LLC'!X55+Rosehaven!X120+'Sanctuary RV Resort'!X232+'Shadow Mountain MHC'!X39+Springhaven!X39+'Star Valley Ranch'!X50+Sunhaven!X46+'Sunny Grove'!X45+Tarponaire!X49+'Val Vista RV Resort'!X78+'Webster RV Resort LLC'!X65+'Wekiva Falls RV Resort'!X89+'West Jupiter RV Resort'!X46+'Western Way RV Resort LLC'!X138</f>
      </c>
      <c r="Y18" s="18">
        <f>'Agave Village (ag011)'!Y71+'Agave Village LLC'!Y60+'Brookhaven Estates (bo260)'!Y53+'Brookhaven RV Resort'!Y49+'Courtly Manor'!Y42+'Courtly Manor Park (co669)'!Y43+'Cross Creek RV'!Y138+'Cross Creek RV Resort (cr994)'!Y144+'El Rio De Oro (el289)'!Y40+'El Rio del Oro'!Y43+'Endless Summer RV Resort'!Y61+'Endless Summer RV Resort (en079'!Y53+Evergreen!Y40+'Far Horizons'!Y40+'Far Horizons (fa105)'!Y40+'Floridian Sandalwood (fl356)'!Y37+'Floridian Sandalwood MHC'!Y41+Glenhaven!Y45+'Glenhaven Estates (gl317)'!Y45+'Harbor Lights (ha310)'!Y46+'Harbor Lights MHC'!Y44+'Harvest Gate'!Y54+'Hunter Run RV Estates'!Y95+'Hunters Run RV Estates (hu116)'!Y208+'Jade Isle (ja068)'!Y37+'Jade Isle MHC'!Y39+'Kakusha Estates (ka045)'!Y43+'Kakusha MHC'!Y42+'Lakeside Village'!Y48+'Lakeside Village (la482)'!Y50+'Lakewood Village (la481)'!Y109+'Lakewood Village MHC LLC'!Y129+'Maple Corner'!Y62+'Maple Corner (ma490)'!Y52+'Marlboro Court (ma489)'!Y40+'Marlboro Court MHC LLC'!Y40+'May Manor'!Y144+'May Manor (ma488)'!Y76+'Mobiland by the Sea (mo320)'!Y45+'Mobiland By The Sea MHC'!Y46+'Moss Landing'!Y73+'Moss Landing (mo321)'!Y65+'Oak Springs'!Y77+'Oak Springs MHC (oa150)'!Y53+'Orange Manor East'!Y42+'Orange Manor East (or125)'!Y45+'Pacific Manor'!Y51+'Pacific Manor (pa602)'!Y53+Parkhaven!Y108+Ridgecrest!Y58+Riverest!Y52+'Riverview MHRV LLC'!Y55+Rosehaven!Y120+'Sanctuary RV Resort'!Y232+'Shadow Mountain MHC'!Y39+Springhaven!Y39+'Star Valley Ranch'!Y50+Sunhaven!Y46+'Sunny Grove'!Y45+Tarponaire!Y49+'Val Vista RV Resort'!Y78+'Webster RV Resort LLC'!Y65+'Wekiva Falls RV Resort'!Y89+'West Jupiter RV Resort'!Y46+'Western Way RV Resort LLC'!Y138</f>
      </c>
      <c r="Z18" s="18">
        <f>'Agave Village (ag011)'!Z71+'Agave Village LLC'!Z60+'Brookhaven Estates (bo260)'!Z53+'Brookhaven RV Resort'!Z49+'Courtly Manor'!Z42+'Courtly Manor Park (co669)'!Z43+'Cross Creek RV'!Z138+'Cross Creek RV Resort (cr994)'!Z144+'El Rio De Oro (el289)'!Z40+'El Rio del Oro'!Z43+'Endless Summer RV Resort'!Z61+'Endless Summer RV Resort (en079'!Z53+Evergreen!Z40+'Far Horizons'!Z40+'Far Horizons (fa105)'!Z40+'Floridian Sandalwood (fl356)'!Z37+'Floridian Sandalwood MHC'!Z41+Glenhaven!Z45+'Glenhaven Estates (gl317)'!Z45+'Harbor Lights (ha310)'!Z46+'Harbor Lights MHC'!Z44+'Harvest Gate'!Z54+'Hunter Run RV Estates'!Z95+'Hunters Run RV Estates (hu116)'!Z208+'Jade Isle (ja068)'!Z37+'Jade Isle MHC'!Z39+'Kakusha Estates (ka045)'!Z43+'Kakusha MHC'!Z42+'Lakeside Village'!Z48+'Lakeside Village (la482)'!Z50+'Lakewood Village (la481)'!Z109+'Lakewood Village MHC LLC'!Z129+'Maple Corner'!Z62+'Maple Corner (ma490)'!Z52+'Marlboro Court (ma489)'!Z40+'Marlboro Court MHC LLC'!Z40+'May Manor'!Z144+'May Manor (ma488)'!Z76+'Mobiland by the Sea (mo320)'!Z45+'Mobiland By The Sea MHC'!Z46+'Moss Landing'!Z73+'Moss Landing (mo321)'!Z65+'Oak Springs'!Z77+'Oak Springs MHC (oa150)'!Z53+'Orange Manor East'!Z42+'Orange Manor East (or125)'!Z45+'Pacific Manor'!Z51+'Pacific Manor (pa602)'!Z53+Parkhaven!Z108+Ridgecrest!Z58+Riverest!Z52+'Riverview MHRV LLC'!Z55+Rosehaven!Z120+'Sanctuary RV Resort'!Z232+'Shadow Mountain MHC'!Z39+Springhaven!Z39+'Star Valley Ranch'!Z50+Sunhaven!Z46+'Sunny Grove'!Z45+Tarponaire!Z49+'Val Vista RV Resort'!Z78+'Webster RV Resort LLC'!Z65+'Wekiva Falls RV Resort'!Z89+'West Jupiter RV Resort'!Z46+'Western Way RV Resort LLC'!Z138</f>
      </c>
      <c r="AA18" s="18">
        <f>'Agave Village (ag011)'!AA71+'Agave Village LLC'!AA60+'Brookhaven Estates (bo260)'!AA53+'Brookhaven RV Resort'!AA49+'Courtly Manor'!AA42+'Courtly Manor Park (co669)'!AA43+'Cross Creek RV'!AA138+'Cross Creek RV Resort (cr994)'!AA144+'El Rio De Oro (el289)'!AA40+'El Rio del Oro'!AA43+'Endless Summer RV Resort'!AA61+'Endless Summer RV Resort (en079'!AA53+Evergreen!AA40+'Far Horizons'!AA40+'Far Horizons (fa105)'!AA40+'Floridian Sandalwood (fl356)'!AA37+'Floridian Sandalwood MHC'!AA41+Glenhaven!AA45+'Glenhaven Estates (gl317)'!AA45+'Harbor Lights (ha310)'!AA46+'Harbor Lights MHC'!AA44+'Harvest Gate'!AA54+'Hunter Run RV Estates'!AA95+'Hunters Run RV Estates (hu116)'!AA208+'Jade Isle (ja068)'!AA37+'Jade Isle MHC'!AA39+'Kakusha Estates (ka045)'!AA43+'Kakusha MHC'!AA42+'Lakeside Village'!AA48+'Lakeside Village (la482)'!AA50+'Lakewood Village (la481)'!AA109+'Lakewood Village MHC LLC'!AA129+'Maple Corner'!AA62+'Maple Corner (ma490)'!AA52+'Marlboro Court (ma489)'!AA40+'Marlboro Court MHC LLC'!AA40+'May Manor'!AA144+'May Manor (ma488)'!AA76+'Mobiland by the Sea (mo320)'!AA45+'Mobiland By The Sea MHC'!AA46+'Moss Landing'!AA73+'Moss Landing (mo321)'!AA65+'Oak Springs'!AA77+'Oak Springs MHC (oa150)'!AA53+'Orange Manor East'!AA42+'Orange Manor East (or125)'!AA45+'Pacific Manor'!AA51+'Pacific Manor (pa602)'!AA53+Parkhaven!AA108+Ridgecrest!AA58+Riverest!AA52+'Riverview MHRV LLC'!AA55+Rosehaven!AA120+'Sanctuary RV Resort'!AA232+'Shadow Mountain MHC'!AA39+Springhaven!AA39+'Star Valley Ranch'!AA50+Sunhaven!AA46+'Sunny Grove'!AA45+Tarponaire!AA49+'Val Vista RV Resort'!AA78+'Webster RV Resort LLC'!AA65+'Wekiva Falls RV Resort'!AA89+'West Jupiter RV Resort'!AA46+'Western Way RV Resort LLC'!AA138</f>
      </c>
      <c r="AB18" s="18">
        <f>'Agave Village (ag011)'!AB71+'Agave Village LLC'!AB60+'Brookhaven Estates (bo260)'!AB53+'Brookhaven RV Resort'!AB49+'Courtly Manor'!AB42+'Courtly Manor Park (co669)'!AB43+'Cross Creek RV'!AB138+'Cross Creek RV Resort (cr994)'!AB144+'El Rio De Oro (el289)'!AB40+'El Rio del Oro'!AB43+'Endless Summer RV Resort'!AB61+'Endless Summer RV Resort (en079'!AB53+Evergreen!AB40+'Far Horizons'!AB40+'Far Horizons (fa105)'!AB40+'Floridian Sandalwood (fl356)'!AB37+'Floridian Sandalwood MHC'!AB41+Glenhaven!AB45+'Glenhaven Estates (gl317)'!AB45+'Harbor Lights (ha310)'!AB46+'Harbor Lights MHC'!AB44+'Harvest Gate'!AB54+'Hunter Run RV Estates'!AB95+'Hunters Run RV Estates (hu116)'!AB208+'Jade Isle (ja068)'!AB37+'Jade Isle MHC'!AB39+'Kakusha Estates (ka045)'!AB43+'Kakusha MHC'!AB42+'Lakeside Village'!AB48+'Lakeside Village (la482)'!AB50+'Lakewood Village (la481)'!AB109+'Lakewood Village MHC LLC'!AB129+'Maple Corner'!AB62+'Maple Corner (ma490)'!AB52+'Marlboro Court (ma489)'!AB40+'Marlboro Court MHC LLC'!AB40+'May Manor'!AB144+'May Manor (ma488)'!AB76+'Mobiland by the Sea (mo320)'!AB45+'Mobiland By The Sea MHC'!AB46+'Moss Landing'!AB73+'Moss Landing (mo321)'!AB65+'Oak Springs'!AB77+'Oak Springs MHC (oa150)'!AB53+'Orange Manor East'!AB42+'Orange Manor East (or125)'!AB45+'Pacific Manor'!AB51+'Pacific Manor (pa602)'!AB53+Parkhaven!AB108+Ridgecrest!AB58+Riverest!AB52+'Riverview MHRV LLC'!AB55+Rosehaven!AB120+'Sanctuary RV Resort'!AB232+'Shadow Mountain MHC'!AB39+Springhaven!AB39+'Star Valley Ranch'!AB50+Sunhaven!AB46+'Sunny Grove'!AB45+Tarponaire!AB49+'Val Vista RV Resort'!AB78+'Webster RV Resort LLC'!AB65+'Wekiva Falls RV Resort'!AB89+'West Jupiter RV Resort'!AB46+'Western Way RV Resort LLC'!AB138</f>
      </c>
      <c r="AC18" s="18">
        <f>'Agave Village (ag011)'!AC71+'Agave Village LLC'!AC60+'Brookhaven Estates (bo260)'!AC53+'Brookhaven RV Resort'!AC49+'Courtly Manor'!AC42+'Courtly Manor Park (co669)'!AC43+'Cross Creek RV'!AC138+'Cross Creek RV Resort (cr994)'!AC144+'El Rio De Oro (el289)'!AC40+'El Rio del Oro'!AC43+'Endless Summer RV Resort'!AC61+'Endless Summer RV Resort (en079'!AC53+Evergreen!AC40+'Far Horizons'!AC40+'Far Horizons (fa105)'!AC40+'Floridian Sandalwood (fl356)'!AC37+'Floridian Sandalwood MHC'!AC41+Glenhaven!AC45+'Glenhaven Estates (gl317)'!AC45+'Harbor Lights (ha310)'!AC46+'Harbor Lights MHC'!AC44+'Harvest Gate'!AC54+'Hunter Run RV Estates'!AC95+'Hunters Run RV Estates (hu116)'!AC208+'Jade Isle (ja068)'!AC37+'Jade Isle MHC'!AC39+'Kakusha Estates (ka045)'!AC43+'Kakusha MHC'!AC42+'Lakeside Village'!AC48+'Lakeside Village (la482)'!AC50+'Lakewood Village (la481)'!AC109+'Lakewood Village MHC LLC'!AC129+'Maple Corner'!AC62+'Maple Corner (ma490)'!AC52+'Marlboro Court (ma489)'!AC40+'Marlboro Court MHC LLC'!AC40+'May Manor'!AC144+'May Manor (ma488)'!AC76+'Mobiland by the Sea (mo320)'!AC45+'Mobiland By The Sea MHC'!AC46+'Moss Landing'!AC73+'Moss Landing (mo321)'!AC65+'Oak Springs'!AC77+'Oak Springs MHC (oa150)'!AC53+'Orange Manor East'!AC42+'Orange Manor East (or125)'!AC45+'Pacific Manor'!AC51+'Pacific Manor (pa602)'!AC53+Parkhaven!AC108+Ridgecrest!AC58+Riverest!AC52+'Riverview MHRV LLC'!AC55+Rosehaven!AC120+'Sanctuary RV Resort'!AC232+'Shadow Mountain MHC'!AC39+Springhaven!AC39+'Star Valley Ranch'!AC50+Sunhaven!AC46+'Sunny Grove'!AC45+Tarponaire!AC49+'Val Vista RV Resort'!AC78+'Webster RV Resort LLC'!AC65+'Wekiva Falls RV Resort'!AC89+'West Jupiter RV Resort'!AC46+'Western Way RV Resort LLC'!AC138</f>
      </c>
      <c r="AD18" s="18">
        <f>'Agave Village (ag011)'!AD71+'Agave Village LLC'!AD60+'Brookhaven Estates (bo260)'!AD53+'Brookhaven RV Resort'!AD49+'Courtly Manor'!AD42+'Courtly Manor Park (co669)'!AD43+'Cross Creek RV'!AD138+'Cross Creek RV Resort (cr994)'!AD144+'El Rio De Oro (el289)'!AD40+'El Rio del Oro'!AD43+'Endless Summer RV Resort'!AD61+'Endless Summer RV Resort (en079'!AD53+Evergreen!AD40+'Far Horizons'!AD40+'Far Horizons (fa105)'!AD40+'Floridian Sandalwood (fl356)'!AD37+'Floridian Sandalwood MHC'!AD41+Glenhaven!AD45+'Glenhaven Estates (gl317)'!AD45+'Harbor Lights (ha310)'!AD46+'Harbor Lights MHC'!AD44+'Harvest Gate'!AD54+'Hunter Run RV Estates'!AD95+'Hunters Run RV Estates (hu116)'!AD208+'Jade Isle (ja068)'!AD37+'Jade Isle MHC'!AD39+'Kakusha Estates (ka045)'!AD43+'Kakusha MHC'!AD42+'Lakeside Village'!AD48+'Lakeside Village (la482)'!AD50+'Lakewood Village (la481)'!AD109+'Lakewood Village MHC LLC'!AD129+'Maple Corner'!AD62+'Maple Corner (ma490)'!AD52+'Marlboro Court (ma489)'!AD40+'Marlboro Court MHC LLC'!AD40+'May Manor'!AD144+'May Manor (ma488)'!AD76+'Mobiland by the Sea (mo320)'!AD45+'Mobiland By The Sea MHC'!AD46+'Moss Landing'!AD73+'Moss Landing (mo321)'!AD65+'Oak Springs'!AD77+'Oak Springs MHC (oa150)'!AD53+'Orange Manor East'!AD42+'Orange Manor East (or125)'!AD45+'Pacific Manor'!AD51+'Pacific Manor (pa602)'!AD53+Parkhaven!AD108+Ridgecrest!AD58+Riverest!AD52+'Riverview MHRV LLC'!AD55+Rosehaven!AD120+'Sanctuary RV Resort'!AD232+'Shadow Mountain MHC'!AD39+Springhaven!AD39+'Star Valley Ranch'!AD50+Sunhaven!AD46+'Sunny Grove'!AD45+Tarponaire!AD49+'Val Vista RV Resort'!AD78+'Webster RV Resort LLC'!AD65+'Wekiva Falls RV Resort'!AD89+'West Jupiter RV Resort'!AD46+'Western Way RV Resort LLC'!AD138</f>
      </c>
      <c r="AE18" s="18">
        <f>'Agave Village (ag011)'!AE71+'Agave Village LLC'!AE60+'Brookhaven Estates (bo260)'!AE53+'Brookhaven RV Resort'!AE49+'Courtly Manor'!AE42+'Courtly Manor Park (co669)'!AE43+'Cross Creek RV'!AE138+'Cross Creek RV Resort (cr994)'!AE144+'El Rio De Oro (el289)'!AE40+'El Rio del Oro'!AE43+'Endless Summer RV Resort'!AE61+'Endless Summer RV Resort (en079'!AE53+Evergreen!AE40+'Far Horizons'!AE40+'Far Horizons (fa105)'!AE40+'Floridian Sandalwood (fl356)'!AE37+'Floridian Sandalwood MHC'!AE41+Glenhaven!AE45+'Glenhaven Estates (gl317)'!AE45+'Harbor Lights (ha310)'!AE46+'Harbor Lights MHC'!AE44+'Harvest Gate'!AE54+'Hunter Run RV Estates'!AE95+'Hunters Run RV Estates (hu116)'!AE208+'Jade Isle (ja068)'!AE37+'Jade Isle MHC'!AE39+'Kakusha Estates (ka045)'!AE43+'Kakusha MHC'!AE42+'Lakeside Village'!AE48+'Lakeside Village (la482)'!AE50+'Lakewood Village (la481)'!AE109+'Lakewood Village MHC LLC'!AE129+'Maple Corner'!AE62+'Maple Corner (ma490)'!AE52+'Marlboro Court (ma489)'!AE40+'Marlboro Court MHC LLC'!AE40+'May Manor'!AE144+'May Manor (ma488)'!AE76+'Mobiland by the Sea (mo320)'!AE45+'Mobiland By The Sea MHC'!AE46+'Moss Landing'!AE73+'Moss Landing (mo321)'!AE65+'Oak Springs'!AE77+'Oak Springs MHC (oa150)'!AE53+'Orange Manor East'!AE42+'Orange Manor East (or125)'!AE45+'Pacific Manor'!AE51+'Pacific Manor (pa602)'!AE53+Parkhaven!AE108+Ridgecrest!AE58+Riverest!AE52+'Riverview MHRV LLC'!AE55+Rosehaven!AE120+'Sanctuary RV Resort'!AE232+'Shadow Mountain MHC'!AE39+Springhaven!AE39+'Star Valley Ranch'!AE50+Sunhaven!AE46+'Sunny Grove'!AE45+Tarponaire!AE49+'Val Vista RV Resort'!AE78+'Webster RV Resort LLC'!AE65+'Wekiva Falls RV Resort'!AE89+'West Jupiter RV Resort'!AE46+'Western Way RV Resort LLC'!AE138</f>
      </c>
      <c r="AF18" s="18">
        <f>'Agave Village (ag011)'!AF71+'Agave Village LLC'!AF60+'Brookhaven Estates (bo260)'!AF53+'Brookhaven RV Resort'!AF49+'Courtly Manor'!AF42+'Courtly Manor Park (co669)'!AF43+'Cross Creek RV'!AF138+'Cross Creek RV Resort (cr994)'!AF144+'El Rio De Oro (el289)'!AF40+'El Rio del Oro'!AF43+'Endless Summer RV Resort'!AF61+'Endless Summer RV Resort (en079'!AF53+Evergreen!AF40+'Far Horizons'!AF40+'Far Horizons (fa105)'!AF40+'Floridian Sandalwood (fl356)'!AF37+'Floridian Sandalwood MHC'!AF41+Glenhaven!AF45+'Glenhaven Estates (gl317)'!AF45+'Harbor Lights (ha310)'!AF46+'Harbor Lights MHC'!AF44+'Harvest Gate'!AF54+'Hunter Run RV Estates'!AF95+'Hunters Run RV Estates (hu116)'!AF208+'Jade Isle (ja068)'!AF37+'Jade Isle MHC'!AF39+'Kakusha Estates (ka045)'!AF43+'Kakusha MHC'!AF42+'Lakeside Village'!AF48+'Lakeside Village (la482)'!AF50+'Lakewood Village (la481)'!AF109+'Lakewood Village MHC LLC'!AF129+'Maple Corner'!AF62+'Maple Corner (ma490)'!AF52+'Marlboro Court (ma489)'!AF40+'Marlboro Court MHC LLC'!AF40+'May Manor'!AF144+'May Manor (ma488)'!AF76+'Mobiland by the Sea (mo320)'!AF45+'Mobiland By The Sea MHC'!AF46+'Moss Landing'!AF73+'Moss Landing (mo321)'!AF65+'Oak Springs'!AF77+'Oak Springs MHC (oa150)'!AF53+'Orange Manor East'!AF42+'Orange Manor East (or125)'!AF45+'Pacific Manor'!AF51+'Pacific Manor (pa602)'!AF53+Parkhaven!AF108+Ridgecrest!AF58+Riverest!AF52+'Riverview MHRV LLC'!AF55+Rosehaven!AF120+'Sanctuary RV Resort'!AF232+'Shadow Mountain MHC'!AF39+Springhaven!AF39+'Star Valley Ranch'!AF50+Sunhaven!AF46+'Sunny Grove'!AF45+Tarponaire!AF49+'Val Vista RV Resort'!AF78+'Webster RV Resort LLC'!AF65+'Wekiva Falls RV Resort'!AF89+'West Jupiter RV Resort'!AF46+'Western Way RV Resort LLC'!AF138</f>
      </c>
      <c r="AG18" s="18">
        <f>'Agave Village (ag011)'!AG71+'Agave Village LLC'!AG60+'Brookhaven Estates (bo260)'!AG53+'Brookhaven RV Resort'!AG49+'Courtly Manor'!AG42+'Courtly Manor Park (co669)'!AG43+'Cross Creek RV'!AG138+'Cross Creek RV Resort (cr994)'!AG144+'El Rio De Oro (el289)'!AG40+'El Rio del Oro'!AG43+'Endless Summer RV Resort'!AG61+'Endless Summer RV Resort (en079'!AG53+Evergreen!AG40+'Far Horizons'!AG40+'Far Horizons (fa105)'!AG40+'Floridian Sandalwood (fl356)'!AG37+'Floridian Sandalwood MHC'!AG41+Glenhaven!AG45+'Glenhaven Estates (gl317)'!AG45+'Harbor Lights (ha310)'!AG46+'Harbor Lights MHC'!AG44+'Harvest Gate'!AG54+'Hunter Run RV Estates'!AG95+'Hunters Run RV Estates (hu116)'!AG208+'Jade Isle (ja068)'!AG37+'Jade Isle MHC'!AG39+'Kakusha Estates (ka045)'!AG43+'Kakusha MHC'!AG42+'Lakeside Village'!AG48+'Lakeside Village (la482)'!AG50+'Lakewood Village (la481)'!AG109+'Lakewood Village MHC LLC'!AG129+'Maple Corner'!AG62+'Maple Corner (ma490)'!AG52+'Marlboro Court (ma489)'!AG40+'Marlboro Court MHC LLC'!AG40+'May Manor'!AG144+'May Manor (ma488)'!AG76+'Mobiland by the Sea (mo320)'!AG45+'Mobiland By The Sea MHC'!AG46+'Moss Landing'!AG73+'Moss Landing (mo321)'!AG65+'Oak Springs'!AG77+'Oak Springs MHC (oa150)'!AG53+'Orange Manor East'!AG42+'Orange Manor East (or125)'!AG45+'Pacific Manor'!AG51+'Pacific Manor (pa602)'!AG53+Parkhaven!AG108+Ridgecrest!AG58+Riverest!AG52+'Riverview MHRV LLC'!AG55+Rosehaven!AG120+'Sanctuary RV Resort'!AG232+'Shadow Mountain MHC'!AG39+Springhaven!AG39+'Star Valley Ranch'!AG50+Sunhaven!AG46+'Sunny Grove'!AG45+Tarponaire!AG49+'Val Vista RV Resort'!AG78+'Webster RV Resort LLC'!AG65+'Wekiva Falls RV Resort'!AG89+'West Jupiter RV Resort'!AG46+'Western Way RV Resort LLC'!AG138</f>
      </c>
      <c r="AH18" s="18">
        <f>'Agave Village (ag011)'!AH71+'Agave Village LLC'!AH60+'Brookhaven Estates (bo260)'!AH53+'Brookhaven RV Resort'!AH49+'Courtly Manor'!AH42+'Courtly Manor Park (co669)'!AH43+'Cross Creek RV'!AH138+'Cross Creek RV Resort (cr994)'!AH144+'El Rio De Oro (el289)'!AH40+'El Rio del Oro'!AH43+'Endless Summer RV Resort'!AH61+'Endless Summer RV Resort (en079'!AH53+Evergreen!AH40+'Far Horizons'!AH40+'Far Horizons (fa105)'!AH40+'Floridian Sandalwood (fl356)'!AH37+'Floridian Sandalwood MHC'!AH41+Glenhaven!AH45+'Glenhaven Estates (gl317)'!AH45+'Harbor Lights (ha310)'!AH46+'Harbor Lights MHC'!AH44+'Harvest Gate'!AH54+'Hunter Run RV Estates'!AH95+'Hunters Run RV Estates (hu116)'!AH208+'Jade Isle (ja068)'!AH37+'Jade Isle MHC'!AH39+'Kakusha Estates (ka045)'!AH43+'Kakusha MHC'!AH42+'Lakeside Village'!AH48+'Lakeside Village (la482)'!AH50+'Lakewood Village (la481)'!AH109+'Lakewood Village MHC LLC'!AH129+'Maple Corner'!AH62+'Maple Corner (ma490)'!AH52+'Marlboro Court (ma489)'!AH40+'Marlboro Court MHC LLC'!AH40+'May Manor'!AH144+'May Manor (ma488)'!AH76+'Mobiland by the Sea (mo320)'!AH45+'Mobiland By The Sea MHC'!AH46+'Moss Landing'!AH73+'Moss Landing (mo321)'!AH65+'Oak Springs'!AH77+'Oak Springs MHC (oa150)'!AH53+'Orange Manor East'!AH42+'Orange Manor East (or125)'!AH45+'Pacific Manor'!AH51+'Pacific Manor (pa602)'!AH53+Parkhaven!AH108+Ridgecrest!AH58+Riverest!AH52+'Riverview MHRV LLC'!AH55+Rosehaven!AH120+'Sanctuary RV Resort'!AH232+'Shadow Mountain MHC'!AH39+Springhaven!AH39+'Star Valley Ranch'!AH50+Sunhaven!AH46+'Sunny Grove'!AH45+Tarponaire!AH49+'Val Vista RV Resort'!AH78+'Webster RV Resort LLC'!AH65+'Wekiva Falls RV Resort'!AH89+'West Jupiter RV Resort'!AH46+'Western Way RV Resort LLC'!AH138</f>
      </c>
      <c r="AI18" s="18">
        <f>'Agave Village (ag011)'!AI71+'Agave Village LLC'!AI60+'Brookhaven Estates (bo260)'!AI53+'Brookhaven RV Resort'!AI49+'Courtly Manor'!AI42+'Courtly Manor Park (co669)'!AI43+'Cross Creek RV'!AI138+'Cross Creek RV Resort (cr994)'!AI144+'El Rio De Oro (el289)'!AI40+'El Rio del Oro'!AI43+'Endless Summer RV Resort'!AI61+'Endless Summer RV Resort (en079'!AI53+Evergreen!AI40+'Far Horizons'!AI40+'Far Horizons (fa105)'!AI40+'Floridian Sandalwood (fl356)'!AI37+'Floridian Sandalwood MHC'!AI41+Glenhaven!AI45+'Glenhaven Estates (gl317)'!AI45+'Harbor Lights (ha310)'!AI46+'Harbor Lights MHC'!AI44+'Harvest Gate'!AI54+'Hunter Run RV Estates'!AI95+'Hunters Run RV Estates (hu116)'!AI208+'Jade Isle (ja068)'!AI37+'Jade Isle MHC'!AI39+'Kakusha Estates (ka045)'!AI43+'Kakusha MHC'!AI42+'Lakeside Village'!AI48+'Lakeside Village (la482)'!AI50+'Lakewood Village (la481)'!AI109+'Lakewood Village MHC LLC'!AI129+'Maple Corner'!AI62+'Maple Corner (ma490)'!AI52+'Marlboro Court (ma489)'!AI40+'Marlboro Court MHC LLC'!AI40+'May Manor'!AI144+'May Manor (ma488)'!AI76+'Mobiland by the Sea (mo320)'!AI45+'Mobiland By The Sea MHC'!AI46+'Moss Landing'!AI73+'Moss Landing (mo321)'!AI65+'Oak Springs'!AI77+'Oak Springs MHC (oa150)'!AI53+'Orange Manor East'!AI42+'Orange Manor East (or125)'!AI45+'Pacific Manor'!AI51+'Pacific Manor (pa602)'!AI53+Parkhaven!AI108+Ridgecrest!AI58+Riverest!AI52+'Riverview MHRV LLC'!AI55+Rosehaven!AI120+'Sanctuary RV Resort'!AI232+'Shadow Mountain MHC'!AI39+Springhaven!AI39+'Star Valley Ranch'!AI50+Sunhaven!AI46+'Sunny Grove'!AI45+Tarponaire!AI49+'Val Vista RV Resort'!AI78+'Webster RV Resort LLC'!AI65+'Wekiva Falls RV Resort'!AI89+'West Jupiter RV Resort'!AI46+'Western Way RV Resort LLC'!AI138</f>
      </c>
      <c r="AJ18" s="18">
        <f>'Agave Village (ag011)'!AJ71+'Agave Village LLC'!AJ60+'Brookhaven Estates (bo260)'!AJ53+'Brookhaven RV Resort'!AJ49+'Courtly Manor'!AJ42+'Courtly Manor Park (co669)'!AJ43+'Cross Creek RV'!AJ138+'Cross Creek RV Resort (cr994)'!AJ144+'El Rio De Oro (el289)'!AJ40+'El Rio del Oro'!AJ43+'Endless Summer RV Resort'!AJ61+'Endless Summer RV Resort (en079'!AJ53+Evergreen!AJ40+'Far Horizons'!AJ40+'Far Horizons (fa105)'!AJ40+'Floridian Sandalwood (fl356)'!AJ37+'Floridian Sandalwood MHC'!AJ41+Glenhaven!AJ45+'Glenhaven Estates (gl317)'!AJ45+'Harbor Lights (ha310)'!AJ46+'Harbor Lights MHC'!AJ44+'Harvest Gate'!AJ54+'Hunter Run RV Estates'!AJ95+'Hunters Run RV Estates (hu116)'!AJ208+'Jade Isle (ja068)'!AJ37+'Jade Isle MHC'!AJ39+'Kakusha Estates (ka045)'!AJ43+'Kakusha MHC'!AJ42+'Lakeside Village'!AJ48+'Lakeside Village (la482)'!AJ50+'Lakewood Village (la481)'!AJ109+'Lakewood Village MHC LLC'!AJ129+'Maple Corner'!AJ62+'Maple Corner (ma490)'!AJ52+'Marlboro Court (ma489)'!AJ40+'Marlboro Court MHC LLC'!AJ40+'May Manor'!AJ144+'May Manor (ma488)'!AJ76+'Mobiland by the Sea (mo320)'!AJ45+'Mobiland By The Sea MHC'!AJ46+'Moss Landing'!AJ73+'Moss Landing (mo321)'!AJ65+'Oak Springs'!AJ77+'Oak Springs MHC (oa150)'!AJ53+'Orange Manor East'!AJ42+'Orange Manor East (or125)'!AJ45+'Pacific Manor'!AJ51+'Pacific Manor (pa602)'!AJ53+Parkhaven!AJ108+Ridgecrest!AJ58+Riverest!AJ52+'Riverview MHRV LLC'!AJ55+Rosehaven!AJ120+'Sanctuary RV Resort'!AJ232+'Shadow Mountain MHC'!AJ39+Springhaven!AJ39+'Star Valley Ranch'!AJ50+Sunhaven!AJ46+'Sunny Grove'!AJ45+Tarponaire!AJ49+'Val Vista RV Resort'!AJ78+'Webster RV Resort LLC'!AJ65+'Wekiva Falls RV Resort'!AJ89+'West Jupiter RV Resort'!AJ46+'Western Way RV Resort LLC'!AJ138</f>
      </c>
      <c r="AK18" s="19"/>
    </row>
    <row r="19" ht="12.75" customHeight="1" spans="2:37" x14ac:dyDescent="0.25">
      <c r="B19" s="16" t="s">
        <v>44</v>
      </c>
      <c r="C19" s="17"/>
      <c r="D19" s="17"/>
      <c r="E19" s="18">
        <f>'Agave Village (ag011)'!E72+'Agave Village LLC'!E61+'Brookhaven Estates (bo260)'!E54+'Brookhaven RV Resort'!E50+'Courtly Manor'!E43+'Courtly Manor Park (co669)'!E44+'Cross Creek RV'!E139+'Cross Creek RV Resort (cr994)'!E145+'El Rio De Oro (el289)'!E41+'El Rio del Oro'!E44+'Endless Summer RV Resort'!E62+'Endless Summer RV Resort (en079'!E54+Evergreen!E41+'Far Horizons'!E41+'Far Horizons (fa105)'!E41+'Floridian Sandalwood (fl356)'!E38+'Floridian Sandalwood MHC'!E42+Glenhaven!E46+'Glenhaven Estates (gl317)'!E46+'Harbor Lights (ha310)'!E47+'Harbor Lights MHC'!E45+'Harvest Gate'!E55+'Hunter Run RV Estates'!E96+'Hunters Run RV Estates (hu116)'!E209+'Jade Isle (ja068)'!E38+'Jade Isle MHC'!E40+'Kakusha Estates (ka045)'!E44+'Kakusha MHC'!E43+'Lakeside Village'!E49+'Lakeside Village (la482)'!E51+'Lakewood Village (la481)'!E110+'Lakewood Village MHC LLC'!E130+'Maple Corner'!E63+'Maple Corner (ma490)'!E53+'Marlboro Court (ma489)'!E41+'Marlboro Court MHC LLC'!E41+'May Manor'!E145+'May Manor (ma488)'!E77+'Mobiland by the Sea (mo320)'!E46+'Mobiland By The Sea MHC'!E47+'Moss Landing'!E74+'Moss Landing (mo321)'!E66+'Oak Springs'!E78+'Oak Springs MHC (oa150)'!E54+'Orange Manor East'!E43+'Orange Manor East (or125)'!E46+'Pacific Manor'!E52+'Pacific Manor (pa602)'!E54+Parkhaven!E109+Ridgecrest!E59+Riverest!E53+'Riverview MHRV LLC'!E56+Rosehaven!E121+'Sanctuary RV Resort'!E233+'Shadow Mountain MHC'!E40+Springhaven!E40+'Star Valley Ranch'!E51+Sunhaven!E47+'Sunny Grove'!E46+Tarponaire!E50+'Val Vista RV Resort'!E79+'Webster RV Resort LLC'!E66+'Wekiva Falls RV Resort'!E90+'West Jupiter RV Resort'!E47+'Western Way RV Resort LLC'!E139</f>
      </c>
      <c r="F19" s="18">
        <f>'Agave Village (ag011)'!F72+'Agave Village LLC'!F61+'Brookhaven Estates (bo260)'!F54+'Brookhaven RV Resort'!F50+'Courtly Manor'!F43+'Courtly Manor Park (co669)'!F44+'Cross Creek RV'!F139+'Cross Creek RV Resort (cr994)'!F145+'El Rio De Oro (el289)'!F41+'El Rio del Oro'!F44+'Endless Summer RV Resort'!F62+'Endless Summer RV Resort (en079'!F54+Evergreen!F41+'Far Horizons'!F41+'Far Horizons (fa105)'!F41+'Floridian Sandalwood (fl356)'!F38+'Floridian Sandalwood MHC'!F42+Glenhaven!F46+'Glenhaven Estates (gl317)'!F46+'Harbor Lights (ha310)'!F47+'Harbor Lights MHC'!F45+'Harvest Gate'!F55+'Hunter Run RV Estates'!F96+'Hunters Run RV Estates (hu116)'!F209+'Jade Isle (ja068)'!F38+'Jade Isle MHC'!F40+'Kakusha Estates (ka045)'!F44+'Kakusha MHC'!F43+'Lakeside Village'!F49+'Lakeside Village (la482)'!F51+'Lakewood Village (la481)'!F110+'Lakewood Village MHC LLC'!F130+'Maple Corner'!F63+'Maple Corner (ma490)'!F53+'Marlboro Court (ma489)'!F41+'Marlboro Court MHC LLC'!F41+'May Manor'!F145+'May Manor (ma488)'!F77+'Mobiland by the Sea (mo320)'!F46+'Mobiland By The Sea MHC'!F47+'Moss Landing'!F74+'Moss Landing (mo321)'!F66+'Oak Springs'!F78+'Oak Springs MHC (oa150)'!F54+'Orange Manor East'!F43+'Orange Manor East (or125)'!F46+'Pacific Manor'!F52+'Pacific Manor (pa602)'!F54+Parkhaven!F109+Ridgecrest!F59+Riverest!F53+'Riverview MHRV LLC'!F56+Rosehaven!F121+'Sanctuary RV Resort'!F233+'Shadow Mountain MHC'!F40+Springhaven!F40+'Star Valley Ranch'!F51+Sunhaven!F47+'Sunny Grove'!F46+Tarponaire!F50+'Val Vista RV Resort'!F79+'Webster RV Resort LLC'!F66+'Wekiva Falls RV Resort'!F90+'West Jupiter RV Resort'!F47+'Western Way RV Resort LLC'!F139</f>
      </c>
      <c r="G19" s="18">
        <f>'Agave Village (ag011)'!G72+'Agave Village LLC'!G61+'Brookhaven Estates (bo260)'!G54+'Brookhaven RV Resort'!G50+'Courtly Manor'!G43+'Courtly Manor Park (co669)'!G44+'Cross Creek RV'!G139+'Cross Creek RV Resort (cr994)'!G145+'El Rio De Oro (el289)'!G41+'El Rio del Oro'!G44+'Endless Summer RV Resort'!G62+'Endless Summer RV Resort (en079'!G54+Evergreen!G41+'Far Horizons'!G41+'Far Horizons (fa105)'!G41+'Floridian Sandalwood (fl356)'!G38+'Floridian Sandalwood MHC'!G42+Glenhaven!G46+'Glenhaven Estates (gl317)'!G46+'Harbor Lights (ha310)'!G47+'Harbor Lights MHC'!G45+'Harvest Gate'!G55+'Hunter Run RV Estates'!G96+'Hunters Run RV Estates (hu116)'!G209+'Jade Isle (ja068)'!G38+'Jade Isle MHC'!G40+'Kakusha Estates (ka045)'!G44+'Kakusha MHC'!G43+'Lakeside Village'!G49+'Lakeside Village (la482)'!G51+'Lakewood Village (la481)'!G110+'Lakewood Village MHC LLC'!G130+'Maple Corner'!G63+'Maple Corner (ma490)'!G53+'Marlboro Court (ma489)'!G41+'Marlboro Court MHC LLC'!G41+'May Manor'!G145+'May Manor (ma488)'!G77+'Mobiland by the Sea (mo320)'!G46+'Mobiland By The Sea MHC'!G47+'Moss Landing'!G74+'Moss Landing (mo321)'!G66+'Oak Springs'!G78+'Oak Springs MHC (oa150)'!G54+'Orange Manor East'!G43+'Orange Manor East (or125)'!G46+'Pacific Manor'!G52+'Pacific Manor (pa602)'!G54+Parkhaven!G109+Ridgecrest!G59+Riverest!G53+'Riverview MHRV LLC'!G56+Rosehaven!G121+'Sanctuary RV Resort'!G233+'Shadow Mountain MHC'!G40+Springhaven!G40+'Star Valley Ranch'!G51+Sunhaven!G47+'Sunny Grove'!G46+Tarponaire!G50+'Val Vista RV Resort'!G79+'Webster RV Resort LLC'!G66+'Wekiva Falls RV Resort'!G90+'West Jupiter RV Resort'!G47+'Western Way RV Resort LLC'!G139</f>
      </c>
      <c r="H19" s="18">
        <f>'Agave Village (ag011)'!H72+'Agave Village LLC'!H61+'Brookhaven Estates (bo260)'!H54+'Brookhaven RV Resort'!H50+'Courtly Manor'!H43+'Courtly Manor Park (co669)'!H44+'Cross Creek RV'!H139+'Cross Creek RV Resort (cr994)'!H145+'El Rio De Oro (el289)'!H41+'El Rio del Oro'!H44+'Endless Summer RV Resort'!H62+'Endless Summer RV Resort (en079'!H54+Evergreen!H41+'Far Horizons'!H41+'Far Horizons (fa105)'!H41+'Floridian Sandalwood (fl356)'!H38+'Floridian Sandalwood MHC'!H42+Glenhaven!H46+'Glenhaven Estates (gl317)'!H46+'Harbor Lights (ha310)'!H47+'Harbor Lights MHC'!H45+'Harvest Gate'!H55+'Hunter Run RV Estates'!H96+'Hunters Run RV Estates (hu116)'!H209+'Jade Isle (ja068)'!H38+'Jade Isle MHC'!H40+'Kakusha Estates (ka045)'!H44+'Kakusha MHC'!H43+'Lakeside Village'!H49+'Lakeside Village (la482)'!H51+'Lakewood Village (la481)'!H110+'Lakewood Village MHC LLC'!H130+'Maple Corner'!H63+'Maple Corner (ma490)'!H53+'Marlboro Court (ma489)'!H41+'Marlboro Court MHC LLC'!H41+'May Manor'!H145+'May Manor (ma488)'!H77+'Mobiland by the Sea (mo320)'!H46+'Mobiland By The Sea MHC'!H47+'Moss Landing'!H74+'Moss Landing (mo321)'!H66+'Oak Springs'!H78+'Oak Springs MHC (oa150)'!H54+'Orange Manor East'!H43+'Orange Manor East (or125)'!H46+'Pacific Manor'!H52+'Pacific Manor (pa602)'!H54+Parkhaven!H109+Ridgecrest!H59+Riverest!H53+'Riverview MHRV LLC'!H56+Rosehaven!H121+'Sanctuary RV Resort'!H233+'Shadow Mountain MHC'!H40+Springhaven!H40+'Star Valley Ranch'!H51+Sunhaven!H47+'Sunny Grove'!H46+Tarponaire!H50+'Val Vista RV Resort'!H79+'Webster RV Resort LLC'!H66+'Wekiva Falls RV Resort'!H90+'West Jupiter RV Resort'!H47+'Western Way RV Resort LLC'!H139</f>
      </c>
      <c r="I19" s="18">
        <f>'Agave Village (ag011)'!I72+'Agave Village LLC'!I61+'Brookhaven Estates (bo260)'!I54+'Brookhaven RV Resort'!I50+'Courtly Manor'!I43+'Courtly Manor Park (co669)'!I44+'Cross Creek RV'!I139+'Cross Creek RV Resort (cr994)'!I145+'El Rio De Oro (el289)'!I41+'El Rio del Oro'!I44+'Endless Summer RV Resort'!I62+'Endless Summer RV Resort (en079'!I54+Evergreen!I41+'Far Horizons'!I41+'Far Horizons (fa105)'!I41+'Floridian Sandalwood (fl356)'!I38+'Floridian Sandalwood MHC'!I42+Glenhaven!I46+'Glenhaven Estates (gl317)'!I46+'Harbor Lights (ha310)'!I47+'Harbor Lights MHC'!I45+'Harvest Gate'!I55+'Hunter Run RV Estates'!I96+'Hunters Run RV Estates (hu116)'!I209+'Jade Isle (ja068)'!I38+'Jade Isle MHC'!I40+'Kakusha Estates (ka045)'!I44+'Kakusha MHC'!I43+'Lakeside Village'!I49+'Lakeside Village (la482)'!I51+'Lakewood Village (la481)'!I110+'Lakewood Village MHC LLC'!I130+'Maple Corner'!I63+'Maple Corner (ma490)'!I53+'Marlboro Court (ma489)'!I41+'Marlboro Court MHC LLC'!I41+'May Manor'!I145+'May Manor (ma488)'!I77+'Mobiland by the Sea (mo320)'!I46+'Mobiland By The Sea MHC'!I47+'Moss Landing'!I74+'Moss Landing (mo321)'!I66+'Oak Springs'!I78+'Oak Springs MHC (oa150)'!I54+'Orange Manor East'!I43+'Orange Manor East (or125)'!I46+'Pacific Manor'!I52+'Pacific Manor (pa602)'!I54+Parkhaven!I109+Ridgecrest!I59+Riverest!I53+'Riverview MHRV LLC'!I56+Rosehaven!I121+'Sanctuary RV Resort'!I233+'Shadow Mountain MHC'!I40+Springhaven!I40+'Star Valley Ranch'!I51+Sunhaven!I47+'Sunny Grove'!I46+Tarponaire!I50+'Val Vista RV Resort'!I79+'Webster RV Resort LLC'!I66+'Wekiva Falls RV Resort'!I90+'West Jupiter RV Resort'!I47+'Western Way RV Resort LLC'!I139</f>
      </c>
      <c r="J19" s="18">
        <f>'Agave Village (ag011)'!J72+'Agave Village LLC'!J61+'Brookhaven Estates (bo260)'!J54+'Brookhaven RV Resort'!J50+'Courtly Manor'!J43+'Courtly Manor Park (co669)'!J44+'Cross Creek RV'!J139+'Cross Creek RV Resort (cr994)'!J145+'El Rio De Oro (el289)'!J41+'El Rio del Oro'!J44+'Endless Summer RV Resort'!J62+'Endless Summer RV Resort (en079'!J54+Evergreen!J41+'Far Horizons'!J41+'Far Horizons (fa105)'!J41+'Floridian Sandalwood (fl356)'!J38+'Floridian Sandalwood MHC'!J42+Glenhaven!J46+'Glenhaven Estates (gl317)'!J46+'Harbor Lights (ha310)'!J47+'Harbor Lights MHC'!J45+'Harvest Gate'!J55+'Hunter Run RV Estates'!J96+'Hunters Run RV Estates (hu116)'!J209+'Jade Isle (ja068)'!J38+'Jade Isle MHC'!J40+'Kakusha Estates (ka045)'!J44+'Kakusha MHC'!J43+'Lakeside Village'!J49+'Lakeside Village (la482)'!J51+'Lakewood Village (la481)'!J110+'Lakewood Village MHC LLC'!J130+'Maple Corner'!J63+'Maple Corner (ma490)'!J53+'Marlboro Court (ma489)'!J41+'Marlboro Court MHC LLC'!J41+'May Manor'!J145+'May Manor (ma488)'!J77+'Mobiland by the Sea (mo320)'!J46+'Mobiland By The Sea MHC'!J47+'Moss Landing'!J74+'Moss Landing (mo321)'!J66+'Oak Springs'!J78+'Oak Springs MHC (oa150)'!J54+'Orange Manor East'!J43+'Orange Manor East (or125)'!J46+'Pacific Manor'!J52+'Pacific Manor (pa602)'!J54+Parkhaven!J109+Ridgecrest!J59+Riverest!J53+'Riverview MHRV LLC'!J56+Rosehaven!J121+'Sanctuary RV Resort'!J233+'Shadow Mountain MHC'!J40+Springhaven!J40+'Star Valley Ranch'!J51+Sunhaven!J47+'Sunny Grove'!J46+Tarponaire!J50+'Val Vista RV Resort'!J79+'Webster RV Resort LLC'!J66+'Wekiva Falls RV Resort'!J90+'West Jupiter RV Resort'!J47+'Western Way RV Resort LLC'!J139</f>
      </c>
      <c r="K19" s="18">
        <f>'Agave Village (ag011)'!K72+'Agave Village LLC'!K61+'Brookhaven Estates (bo260)'!K54+'Brookhaven RV Resort'!K50+'Courtly Manor'!K43+'Courtly Manor Park (co669)'!K44+'Cross Creek RV'!K139+'Cross Creek RV Resort (cr994)'!K145+'El Rio De Oro (el289)'!K41+'El Rio del Oro'!K44+'Endless Summer RV Resort'!K62+'Endless Summer RV Resort (en079'!K54+Evergreen!K41+'Far Horizons'!K41+'Far Horizons (fa105)'!K41+'Floridian Sandalwood (fl356)'!K38+'Floridian Sandalwood MHC'!K42+Glenhaven!K46+'Glenhaven Estates (gl317)'!K46+'Harbor Lights (ha310)'!K47+'Harbor Lights MHC'!K45+'Harvest Gate'!K55+'Hunter Run RV Estates'!K96+'Hunters Run RV Estates (hu116)'!K209+'Jade Isle (ja068)'!K38+'Jade Isle MHC'!K40+'Kakusha Estates (ka045)'!K44+'Kakusha MHC'!K43+'Lakeside Village'!K49+'Lakeside Village (la482)'!K51+'Lakewood Village (la481)'!K110+'Lakewood Village MHC LLC'!K130+'Maple Corner'!K63+'Maple Corner (ma490)'!K53+'Marlboro Court (ma489)'!K41+'Marlboro Court MHC LLC'!K41+'May Manor'!K145+'May Manor (ma488)'!K77+'Mobiland by the Sea (mo320)'!K46+'Mobiland By The Sea MHC'!K47+'Moss Landing'!K74+'Moss Landing (mo321)'!K66+'Oak Springs'!K78+'Oak Springs MHC (oa150)'!K54+'Orange Manor East'!K43+'Orange Manor East (or125)'!K46+'Pacific Manor'!K52+'Pacific Manor (pa602)'!K54+Parkhaven!K109+Ridgecrest!K59+Riverest!K53+'Riverview MHRV LLC'!K56+Rosehaven!K121+'Sanctuary RV Resort'!K233+'Shadow Mountain MHC'!K40+Springhaven!K40+'Star Valley Ranch'!K51+Sunhaven!K47+'Sunny Grove'!K46+Tarponaire!K50+'Val Vista RV Resort'!K79+'Webster RV Resort LLC'!K66+'Wekiva Falls RV Resort'!K90+'West Jupiter RV Resort'!K47+'Western Way RV Resort LLC'!K139</f>
      </c>
      <c r="L19" s="18">
        <f>'Agave Village (ag011)'!L72+'Agave Village LLC'!L61+'Brookhaven Estates (bo260)'!L54+'Brookhaven RV Resort'!L50+'Courtly Manor'!L43+'Courtly Manor Park (co669)'!L44+'Cross Creek RV'!L139+'Cross Creek RV Resort (cr994)'!L145+'El Rio De Oro (el289)'!L41+'El Rio del Oro'!L44+'Endless Summer RV Resort'!L62+'Endless Summer RV Resort (en079'!L54+Evergreen!L41+'Far Horizons'!L41+'Far Horizons (fa105)'!L41+'Floridian Sandalwood (fl356)'!L38+'Floridian Sandalwood MHC'!L42+Glenhaven!L46+'Glenhaven Estates (gl317)'!L46+'Harbor Lights (ha310)'!L47+'Harbor Lights MHC'!L45+'Harvest Gate'!L55+'Hunter Run RV Estates'!L96+'Hunters Run RV Estates (hu116)'!L209+'Jade Isle (ja068)'!L38+'Jade Isle MHC'!L40+'Kakusha Estates (ka045)'!L44+'Kakusha MHC'!L43+'Lakeside Village'!L49+'Lakeside Village (la482)'!L51+'Lakewood Village (la481)'!L110+'Lakewood Village MHC LLC'!L130+'Maple Corner'!L63+'Maple Corner (ma490)'!L53+'Marlboro Court (ma489)'!L41+'Marlboro Court MHC LLC'!L41+'May Manor'!L145+'May Manor (ma488)'!L77+'Mobiland by the Sea (mo320)'!L46+'Mobiland By The Sea MHC'!L47+'Moss Landing'!L74+'Moss Landing (mo321)'!L66+'Oak Springs'!L78+'Oak Springs MHC (oa150)'!L54+'Orange Manor East'!L43+'Orange Manor East (or125)'!L46+'Pacific Manor'!L52+'Pacific Manor (pa602)'!L54+Parkhaven!L109+Ridgecrest!L59+Riverest!L53+'Riverview MHRV LLC'!L56+Rosehaven!L121+'Sanctuary RV Resort'!L233+'Shadow Mountain MHC'!L40+Springhaven!L40+'Star Valley Ranch'!L51+Sunhaven!L47+'Sunny Grove'!L46+Tarponaire!L50+'Val Vista RV Resort'!L79+'Webster RV Resort LLC'!L66+'Wekiva Falls RV Resort'!L90+'West Jupiter RV Resort'!L47+'Western Way RV Resort LLC'!L139</f>
      </c>
      <c r="M19" s="18">
        <f>'Agave Village (ag011)'!M72+'Agave Village LLC'!M61+'Brookhaven Estates (bo260)'!M54+'Brookhaven RV Resort'!M50+'Courtly Manor'!M43+'Courtly Manor Park (co669)'!M44+'Cross Creek RV'!M139+'Cross Creek RV Resort (cr994)'!M145+'El Rio De Oro (el289)'!M41+'El Rio del Oro'!M44+'Endless Summer RV Resort'!M62+'Endless Summer RV Resort (en079'!M54+Evergreen!M41+'Far Horizons'!M41+'Far Horizons (fa105)'!M41+'Floridian Sandalwood (fl356)'!M38+'Floridian Sandalwood MHC'!M42+Glenhaven!M46+'Glenhaven Estates (gl317)'!M46+'Harbor Lights (ha310)'!M47+'Harbor Lights MHC'!M45+'Harvest Gate'!M55+'Hunter Run RV Estates'!M96+'Hunters Run RV Estates (hu116)'!M209+'Jade Isle (ja068)'!M38+'Jade Isle MHC'!M40+'Kakusha Estates (ka045)'!M44+'Kakusha MHC'!M43+'Lakeside Village'!M49+'Lakeside Village (la482)'!M51+'Lakewood Village (la481)'!M110+'Lakewood Village MHC LLC'!M130+'Maple Corner'!M63+'Maple Corner (ma490)'!M53+'Marlboro Court (ma489)'!M41+'Marlboro Court MHC LLC'!M41+'May Manor'!M145+'May Manor (ma488)'!M77+'Mobiland by the Sea (mo320)'!M46+'Mobiland By The Sea MHC'!M47+'Moss Landing'!M74+'Moss Landing (mo321)'!M66+'Oak Springs'!M78+'Oak Springs MHC (oa150)'!M54+'Orange Manor East'!M43+'Orange Manor East (or125)'!M46+'Pacific Manor'!M52+'Pacific Manor (pa602)'!M54+Parkhaven!M109+Ridgecrest!M59+Riverest!M53+'Riverview MHRV LLC'!M56+Rosehaven!M121+'Sanctuary RV Resort'!M233+'Shadow Mountain MHC'!M40+Springhaven!M40+'Star Valley Ranch'!M51+Sunhaven!M47+'Sunny Grove'!M46+Tarponaire!M50+'Val Vista RV Resort'!M79+'Webster RV Resort LLC'!M66+'Wekiva Falls RV Resort'!M90+'West Jupiter RV Resort'!M47+'Western Way RV Resort LLC'!M139</f>
      </c>
      <c r="N19" s="18">
        <f>'Agave Village (ag011)'!N72+'Agave Village LLC'!N61+'Brookhaven Estates (bo260)'!N54+'Brookhaven RV Resort'!N50+'Courtly Manor'!N43+'Courtly Manor Park (co669)'!N44+'Cross Creek RV'!N139+'Cross Creek RV Resort (cr994)'!N145+'El Rio De Oro (el289)'!N41+'El Rio del Oro'!N44+'Endless Summer RV Resort'!N62+'Endless Summer RV Resort (en079'!N54+Evergreen!N41+'Far Horizons'!N41+'Far Horizons (fa105)'!N41+'Floridian Sandalwood (fl356)'!N38+'Floridian Sandalwood MHC'!N42+Glenhaven!N46+'Glenhaven Estates (gl317)'!N46+'Harbor Lights (ha310)'!N47+'Harbor Lights MHC'!N45+'Harvest Gate'!N55+'Hunter Run RV Estates'!N96+'Hunters Run RV Estates (hu116)'!N209+'Jade Isle (ja068)'!N38+'Jade Isle MHC'!N40+'Kakusha Estates (ka045)'!N44+'Kakusha MHC'!N43+'Lakeside Village'!N49+'Lakeside Village (la482)'!N51+'Lakewood Village (la481)'!N110+'Lakewood Village MHC LLC'!N130+'Maple Corner'!N63+'Maple Corner (ma490)'!N53+'Marlboro Court (ma489)'!N41+'Marlboro Court MHC LLC'!N41+'May Manor'!N145+'May Manor (ma488)'!N77+'Mobiland by the Sea (mo320)'!N46+'Mobiland By The Sea MHC'!N47+'Moss Landing'!N74+'Moss Landing (mo321)'!N66+'Oak Springs'!N78+'Oak Springs MHC (oa150)'!N54+'Orange Manor East'!N43+'Orange Manor East (or125)'!N46+'Pacific Manor'!N52+'Pacific Manor (pa602)'!N54+Parkhaven!N109+Ridgecrest!N59+Riverest!N53+'Riverview MHRV LLC'!N56+Rosehaven!N121+'Sanctuary RV Resort'!N233+'Shadow Mountain MHC'!N40+Springhaven!N40+'Star Valley Ranch'!N51+Sunhaven!N47+'Sunny Grove'!N46+Tarponaire!N50+'Val Vista RV Resort'!N79+'Webster RV Resort LLC'!N66+'Wekiva Falls RV Resort'!N90+'West Jupiter RV Resort'!N47+'Western Way RV Resort LLC'!N139</f>
      </c>
      <c r="O19" s="18">
        <f>'Agave Village (ag011)'!O72+'Agave Village LLC'!O61+'Brookhaven Estates (bo260)'!O54+'Brookhaven RV Resort'!O50+'Courtly Manor'!O43+'Courtly Manor Park (co669)'!O44+'Cross Creek RV'!O139+'Cross Creek RV Resort (cr994)'!O145+'El Rio De Oro (el289)'!O41+'El Rio del Oro'!O44+'Endless Summer RV Resort'!O62+'Endless Summer RV Resort (en079'!O54+Evergreen!O41+'Far Horizons'!O41+'Far Horizons (fa105)'!O41+'Floridian Sandalwood (fl356)'!O38+'Floridian Sandalwood MHC'!O42+Glenhaven!O46+'Glenhaven Estates (gl317)'!O46+'Harbor Lights (ha310)'!O47+'Harbor Lights MHC'!O45+'Harvest Gate'!O55+'Hunter Run RV Estates'!O96+'Hunters Run RV Estates (hu116)'!O209+'Jade Isle (ja068)'!O38+'Jade Isle MHC'!O40+'Kakusha Estates (ka045)'!O44+'Kakusha MHC'!O43+'Lakeside Village'!O49+'Lakeside Village (la482)'!O51+'Lakewood Village (la481)'!O110+'Lakewood Village MHC LLC'!O130+'Maple Corner'!O63+'Maple Corner (ma490)'!O53+'Marlboro Court (ma489)'!O41+'Marlboro Court MHC LLC'!O41+'May Manor'!O145+'May Manor (ma488)'!O77+'Mobiland by the Sea (mo320)'!O46+'Mobiland By The Sea MHC'!O47+'Moss Landing'!O74+'Moss Landing (mo321)'!O66+'Oak Springs'!O78+'Oak Springs MHC (oa150)'!O54+'Orange Manor East'!O43+'Orange Manor East (or125)'!O46+'Pacific Manor'!O52+'Pacific Manor (pa602)'!O54+Parkhaven!O109+Ridgecrest!O59+Riverest!O53+'Riverview MHRV LLC'!O56+Rosehaven!O121+'Sanctuary RV Resort'!O233+'Shadow Mountain MHC'!O40+Springhaven!O40+'Star Valley Ranch'!O51+Sunhaven!O47+'Sunny Grove'!O46+Tarponaire!O50+'Val Vista RV Resort'!O79+'Webster RV Resort LLC'!O66+'Wekiva Falls RV Resort'!O90+'West Jupiter RV Resort'!O47+'Western Way RV Resort LLC'!O139</f>
      </c>
      <c r="P19" s="18">
        <f>'Agave Village (ag011)'!P72+'Agave Village LLC'!P61+'Brookhaven Estates (bo260)'!P54+'Brookhaven RV Resort'!P50+'Courtly Manor'!P43+'Courtly Manor Park (co669)'!P44+'Cross Creek RV'!P139+'Cross Creek RV Resort (cr994)'!P145+'El Rio De Oro (el289)'!P41+'El Rio del Oro'!P44+'Endless Summer RV Resort'!P62+'Endless Summer RV Resort (en079'!P54+Evergreen!P41+'Far Horizons'!P41+'Far Horizons (fa105)'!P41+'Floridian Sandalwood (fl356)'!P38+'Floridian Sandalwood MHC'!P42+Glenhaven!P46+'Glenhaven Estates (gl317)'!P46+'Harbor Lights (ha310)'!P47+'Harbor Lights MHC'!P45+'Harvest Gate'!P55+'Hunter Run RV Estates'!P96+'Hunters Run RV Estates (hu116)'!P209+'Jade Isle (ja068)'!P38+'Jade Isle MHC'!P40+'Kakusha Estates (ka045)'!P44+'Kakusha MHC'!P43+'Lakeside Village'!P49+'Lakeside Village (la482)'!P51+'Lakewood Village (la481)'!P110+'Lakewood Village MHC LLC'!P130+'Maple Corner'!P63+'Maple Corner (ma490)'!P53+'Marlboro Court (ma489)'!P41+'Marlboro Court MHC LLC'!P41+'May Manor'!P145+'May Manor (ma488)'!P77+'Mobiland by the Sea (mo320)'!P46+'Mobiland By The Sea MHC'!P47+'Moss Landing'!P74+'Moss Landing (mo321)'!P66+'Oak Springs'!P78+'Oak Springs MHC (oa150)'!P54+'Orange Manor East'!P43+'Orange Manor East (or125)'!P46+'Pacific Manor'!P52+'Pacific Manor (pa602)'!P54+Parkhaven!P109+Ridgecrest!P59+Riverest!P53+'Riverview MHRV LLC'!P56+Rosehaven!P121+'Sanctuary RV Resort'!P233+'Shadow Mountain MHC'!P40+Springhaven!P40+'Star Valley Ranch'!P51+Sunhaven!P47+'Sunny Grove'!P46+Tarponaire!P50+'Val Vista RV Resort'!P79+'Webster RV Resort LLC'!P66+'Wekiva Falls RV Resort'!P90+'West Jupiter RV Resort'!P47+'Western Way RV Resort LLC'!P139</f>
      </c>
      <c r="Q19" s="18">
        <f>'Agave Village (ag011)'!Q72+'Agave Village LLC'!Q61+'Brookhaven Estates (bo260)'!Q54+'Brookhaven RV Resort'!Q50+'Courtly Manor'!Q43+'Courtly Manor Park (co669)'!Q44+'Cross Creek RV'!Q139+'Cross Creek RV Resort (cr994)'!Q145+'El Rio De Oro (el289)'!Q41+'El Rio del Oro'!Q44+'Endless Summer RV Resort'!Q62+'Endless Summer RV Resort (en079'!Q54+Evergreen!Q41+'Far Horizons'!Q41+'Far Horizons (fa105)'!Q41+'Floridian Sandalwood (fl356)'!Q38+'Floridian Sandalwood MHC'!Q42+Glenhaven!Q46+'Glenhaven Estates (gl317)'!Q46+'Harbor Lights (ha310)'!Q47+'Harbor Lights MHC'!Q45+'Harvest Gate'!Q55+'Hunter Run RV Estates'!Q96+'Hunters Run RV Estates (hu116)'!Q209+'Jade Isle (ja068)'!Q38+'Jade Isle MHC'!Q40+'Kakusha Estates (ka045)'!Q44+'Kakusha MHC'!Q43+'Lakeside Village'!Q49+'Lakeside Village (la482)'!Q51+'Lakewood Village (la481)'!Q110+'Lakewood Village MHC LLC'!Q130+'Maple Corner'!Q63+'Maple Corner (ma490)'!Q53+'Marlboro Court (ma489)'!Q41+'Marlboro Court MHC LLC'!Q41+'May Manor'!Q145+'May Manor (ma488)'!Q77+'Mobiland by the Sea (mo320)'!Q46+'Mobiland By The Sea MHC'!Q47+'Moss Landing'!Q74+'Moss Landing (mo321)'!Q66+'Oak Springs'!Q78+'Oak Springs MHC (oa150)'!Q54+'Orange Manor East'!Q43+'Orange Manor East (or125)'!Q46+'Pacific Manor'!Q52+'Pacific Manor (pa602)'!Q54+Parkhaven!Q109+Ridgecrest!Q59+Riverest!Q53+'Riverview MHRV LLC'!Q56+Rosehaven!Q121+'Sanctuary RV Resort'!Q233+'Shadow Mountain MHC'!Q40+Springhaven!Q40+'Star Valley Ranch'!Q51+Sunhaven!Q47+'Sunny Grove'!Q46+Tarponaire!Q50+'Val Vista RV Resort'!Q79+'Webster RV Resort LLC'!Q66+'Wekiva Falls RV Resort'!Q90+'West Jupiter RV Resort'!Q47+'Western Way RV Resort LLC'!Q139</f>
      </c>
      <c r="R19" s="18">
        <f>'Agave Village (ag011)'!R72+'Agave Village LLC'!R61+'Brookhaven Estates (bo260)'!R54+'Brookhaven RV Resort'!R50+'Courtly Manor'!R43+'Courtly Manor Park (co669)'!R44+'Cross Creek RV'!R139+'Cross Creek RV Resort (cr994)'!R145+'El Rio De Oro (el289)'!R41+'El Rio del Oro'!R44+'Endless Summer RV Resort'!R62+'Endless Summer RV Resort (en079'!R54+Evergreen!R41+'Far Horizons'!R41+'Far Horizons (fa105)'!R41+'Floridian Sandalwood (fl356)'!R38+'Floridian Sandalwood MHC'!R42+Glenhaven!R46+'Glenhaven Estates (gl317)'!R46+'Harbor Lights (ha310)'!R47+'Harbor Lights MHC'!R45+'Harvest Gate'!R55+'Hunter Run RV Estates'!R96+'Hunters Run RV Estates (hu116)'!R209+'Jade Isle (ja068)'!R38+'Jade Isle MHC'!R40+'Kakusha Estates (ka045)'!R44+'Kakusha MHC'!R43+'Lakeside Village'!R49+'Lakeside Village (la482)'!R51+'Lakewood Village (la481)'!R110+'Lakewood Village MHC LLC'!R130+'Maple Corner'!R63+'Maple Corner (ma490)'!R53+'Marlboro Court (ma489)'!R41+'Marlboro Court MHC LLC'!R41+'May Manor'!R145+'May Manor (ma488)'!R77+'Mobiland by the Sea (mo320)'!R46+'Mobiland By The Sea MHC'!R47+'Moss Landing'!R74+'Moss Landing (mo321)'!R66+'Oak Springs'!R78+'Oak Springs MHC (oa150)'!R54+'Orange Manor East'!R43+'Orange Manor East (or125)'!R46+'Pacific Manor'!R52+'Pacific Manor (pa602)'!R54+Parkhaven!R109+Ridgecrest!R59+Riverest!R53+'Riverview MHRV LLC'!R56+Rosehaven!R121+'Sanctuary RV Resort'!R233+'Shadow Mountain MHC'!R40+Springhaven!R40+'Star Valley Ranch'!R51+Sunhaven!R47+'Sunny Grove'!R46+Tarponaire!R50+'Val Vista RV Resort'!R79+'Webster RV Resort LLC'!R66+'Wekiva Falls RV Resort'!R90+'West Jupiter RV Resort'!R47+'Western Way RV Resort LLC'!R139</f>
      </c>
      <c r="S19" s="18">
        <f>'Agave Village (ag011)'!S72+'Agave Village LLC'!S61+'Brookhaven Estates (bo260)'!S54+'Brookhaven RV Resort'!S50+'Courtly Manor'!S43+'Courtly Manor Park (co669)'!S44+'Cross Creek RV'!S139+'Cross Creek RV Resort (cr994)'!S145+'El Rio De Oro (el289)'!S41+'El Rio del Oro'!S44+'Endless Summer RV Resort'!S62+'Endless Summer RV Resort (en079'!S54+Evergreen!S41+'Far Horizons'!S41+'Far Horizons (fa105)'!S41+'Floridian Sandalwood (fl356)'!S38+'Floridian Sandalwood MHC'!S42+Glenhaven!S46+'Glenhaven Estates (gl317)'!S46+'Harbor Lights (ha310)'!S47+'Harbor Lights MHC'!S45+'Harvest Gate'!S55+'Hunter Run RV Estates'!S96+'Hunters Run RV Estates (hu116)'!S209+'Jade Isle (ja068)'!S38+'Jade Isle MHC'!S40+'Kakusha Estates (ka045)'!S44+'Kakusha MHC'!S43+'Lakeside Village'!S49+'Lakeside Village (la482)'!S51+'Lakewood Village (la481)'!S110+'Lakewood Village MHC LLC'!S130+'Maple Corner'!S63+'Maple Corner (ma490)'!S53+'Marlboro Court (ma489)'!S41+'Marlboro Court MHC LLC'!S41+'May Manor'!S145+'May Manor (ma488)'!S77+'Mobiland by the Sea (mo320)'!S46+'Mobiland By The Sea MHC'!S47+'Moss Landing'!S74+'Moss Landing (mo321)'!S66+'Oak Springs'!S78+'Oak Springs MHC (oa150)'!S54+'Orange Manor East'!S43+'Orange Manor East (or125)'!S46+'Pacific Manor'!S52+'Pacific Manor (pa602)'!S54+Parkhaven!S109+Ridgecrest!S59+Riverest!S53+'Riverview MHRV LLC'!S56+Rosehaven!S121+'Sanctuary RV Resort'!S233+'Shadow Mountain MHC'!S40+Springhaven!S40+'Star Valley Ranch'!S51+Sunhaven!S47+'Sunny Grove'!S46+Tarponaire!S50+'Val Vista RV Resort'!S79+'Webster RV Resort LLC'!S66+'Wekiva Falls RV Resort'!S90+'West Jupiter RV Resort'!S47+'Western Way RV Resort LLC'!S139</f>
      </c>
      <c r="T19" s="18">
        <f>'Agave Village (ag011)'!T72+'Agave Village LLC'!T61+'Brookhaven Estates (bo260)'!T54+'Brookhaven RV Resort'!T50+'Courtly Manor'!T43+'Courtly Manor Park (co669)'!T44+'Cross Creek RV'!T139+'Cross Creek RV Resort (cr994)'!T145+'El Rio De Oro (el289)'!T41+'El Rio del Oro'!T44+'Endless Summer RV Resort'!T62+'Endless Summer RV Resort (en079'!T54+Evergreen!T41+'Far Horizons'!T41+'Far Horizons (fa105)'!T41+'Floridian Sandalwood (fl356)'!T38+'Floridian Sandalwood MHC'!T42+Glenhaven!T46+'Glenhaven Estates (gl317)'!T46+'Harbor Lights (ha310)'!T47+'Harbor Lights MHC'!T45+'Harvest Gate'!T55+'Hunter Run RV Estates'!T96+'Hunters Run RV Estates (hu116)'!T209+'Jade Isle (ja068)'!T38+'Jade Isle MHC'!T40+'Kakusha Estates (ka045)'!T44+'Kakusha MHC'!T43+'Lakeside Village'!T49+'Lakeside Village (la482)'!T51+'Lakewood Village (la481)'!T110+'Lakewood Village MHC LLC'!T130+'Maple Corner'!T63+'Maple Corner (ma490)'!T53+'Marlboro Court (ma489)'!T41+'Marlboro Court MHC LLC'!T41+'May Manor'!T145+'May Manor (ma488)'!T77+'Mobiland by the Sea (mo320)'!T46+'Mobiland By The Sea MHC'!T47+'Moss Landing'!T74+'Moss Landing (mo321)'!T66+'Oak Springs'!T78+'Oak Springs MHC (oa150)'!T54+'Orange Manor East'!T43+'Orange Manor East (or125)'!T46+'Pacific Manor'!T52+'Pacific Manor (pa602)'!T54+Parkhaven!T109+Ridgecrest!T59+Riverest!T53+'Riverview MHRV LLC'!T56+Rosehaven!T121+'Sanctuary RV Resort'!T233+'Shadow Mountain MHC'!T40+Springhaven!T40+'Star Valley Ranch'!T51+Sunhaven!T47+'Sunny Grove'!T46+Tarponaire!T50+'Val Vista RV Resort'!T79+'Webster RV Resort LLC'!T66+'Wekiva Falls RV Resort'!T90+'West Jupiter RV Resort'!T47+'Western Way RV Resort LLC'!T139</f>
      </c>
      <c r="U19" s="18">
        <f>'Agave Village (ag011)'!U72+'Agave Village LLC'!U61+'Brookhaven Estates (bo260)'!U54+'Brookhaven RV Resort'!U50+'Courtly Manor'!U43+'Courtly Manor Park (co669)'!U44+'Cross Creek RV'!U139+'Cross Creek RV Resort (cr994)'!U145+'El Rio De Oro (el289)'!U41+'El Rio del Oro'!U44+'Endless Summer RV Resort'!U62+'Endless Summer RV Resort (en079'!U54+Evergreen!U41+'Far Horizons'!U41+'Far Horizons (fa105)'!U41+'Floridian Sandalwood (fl356)'!U38+'Floridian Sandalwood MHC'!U42+Glenhaven!U46+'Glenhaven Estates (gl317)'!U46+'Harbor Lights (ha310)'!U47+'Harbor Lights MHC'!U45+'Harvest Gate'!U55+'Hunter Run RV Estates'!U96+'Hunters Run RV Estates (hu116)'!U209+'Jade Isle (ja068)'!U38+'Jade Isle MHC'!U40+'Kakusha Estates (ka045)'!U44+'Kakusha MHC'!U43+'Lakeside Village'!U49+'Lakeside Village (la482)'!U51+'Lakewood Village (la481)'!U110+'Lakewood Village MHC LLC'!U130+'Maple Corner'!U63+'Maple Corner (ma490)'!U53+'Marlboro Court (ma489)'!U41+'Marlboro Court MHC LLC'!U41+'May Manor'!U145+'May Manor (ma488)'!U77+'Mobiland by the Sea (mo320)'!U46+'Mobiland By The Sea MHC'!U47+'Moss Landing'!U74+'Moss Landing (mo321)'!U66+'Oak Springs'!U78+'Oak Springs MHC (oa150)'!U54+'Orange Manor East'!U43+'Orange Manor East (or125)'!U46+'Pacific Manor'!U52+'Pacific Manor (pa602)'!U54+Parkhaven!U109+Ridgecrest!U59+Riverest!U53+'Riverview MHRV LLC'!U56+Rosehaven!U121+'Sanctuary RV Resort'!U233+'Shadow Mountain MHC'!U40+Springhaven!U40+'Star Valley Ranch'!U51+Sunhaven!U47+'Sunny Grove'!U46+Tarponaire!U50+'Val Vista RV Resort'!U79+'Webster RV Resort LLC'!U66+'Wekiva Falls RV Resort'!U90+'West Jupiter RV Resort'!U47+'Western Way RV Resort LLC'!U139</f>
      </c>
      <c r="V19" s="18">
        <f>'Agave Village (ag011)'!V72+'Agave Village LLC'!V61+'Brookhaven Estates (bo260)'!V54+'Brookhaven RV Resort'!V50+'Courtly Manor'!V43+'Courtly Manor Park (co669)'!V44+'Cross Creek RV'!V139+'Cross Creek RV Resort (cr994)'!V145+'El Rio De Oro (el289)'!V41+'El Rio del Oro'!V44+'Endless Summer RV Resort'!V62+'Endless Summer RV Resort (en079'!V54+Evergreen!V41+'Far Horizons'!V41+'Far Horizons (fa105)'!V41+'Floridian Sandalwood (fl356)'!V38+'Floridian Sandalwood MHC'!V42+Glenhaven!V46+'Glenhaven Estates (gl317)'!V46+'Harbor Lights (ha310)'!V47+'Harbor Lights MHC'!V45+'Harvest Gate'!V55+'Hunter Run RV Estates'!V96+'Hunters Run RV Estates (hu116)'!V209+'Jade Isle (ja068)'!V38+'Jade Isle MHC'!V40+'Kakusha Estates (ka045)'!V44+'Kakusha MHC'!V43+'Lakeside Village'!V49+'Lakeside Village (la482)'!V51+'Lakewood Village (la481)'!V110+'Lakewood Village MHC LLC'!V130+'Maple Corner'!V63+'Maple Corner (ma490)'!V53+'Marlboro Court (ma489)'!V41+'Marlboro Court MHC LLC'!V41+'May Manor'!V145+'May Manor (ma488)'!V77+'Mobiland by the Sea (mo320)'!V46+'Mobiland By The Sea MHC'!V47+'Moss Landing'!V74+'Moss Landing (mo321)'!V66+'Oak Springs'!V78+'Oak Springs MHC (oa150)'!V54+'Orange Manor East'!V43+'Orange Manor East (or125)'!V46+'Pacific Manor'!V52+'Pacific Manor (pa602)'!V54+Parkhaven!V109+Ridgecrest!V59+Riverest!V53+'Riverview MHRV LLC'!V56+Rosehaven!V121+'Sanctuary RV Resort'!V233+'Shadow Mountain MHC'!V40+Springhaven!V40+'Star Valley Ranch'!V51+Sunhaven!V47+'Sunny Grove'!V46+Tarponaire!V50+'Val Vista RV Resort'!V79+'Webster RV Resort LLC'!V66+'Wekiva Falls RV Resort'!V90+'West Jupiter RV Resort'!V47+'Western Way RV Resort LLC'!V139</f>
      </c>
      <c r="W19" s="18">
        <f>'Agave Village (ag011)'!W72+'Agave Village LLC'!W61+'Brookhaven Estates (bo260)'!W54+'Brookhaven RV Resort'!W50+'Courtly Manor'!W43+'Courtly Manor Park (co669)'!W44+'Cross Creek RV'!W139+'Cross Creek RV Resort (cr994)'!W145+'El Rio De Oro (el289)'!W41+'El Rio del Oro'!W44+'Endless Summer RV Resort'!W62+'Endless Summer RV Resort (en079'!W54+Evergreen!W41+'Far Horizons'!W41+'Far Horizons (fa105)'!W41+'Floridian Sandalwood (fl356)'!W38+'Floridian Sandalwood MHC'!W42+Glenhaven!W46+'Glenhaven Estates (gl317)'!W46+'Harbor Lights (ha310)'!W47+'Harbor Lights MHC'!W45+'Harvest Gate'!W55+'Hunter Run RV Estates'!W96+'Hunters Run RV Estates (hu116)'!W209+'Jade Isle (ja068)'!W38+'Jade Isle MHC'!W40+'Kakusha Estates (ka045)'!W44+'Kakusha MHC'!W43+'Lakeside Village'!W49+'Lakeside Village (la482)'!W51+'Lakewood Village (la481)'!W110+'Lakewood Village MHC LLC'!W130+'Maple Corner'!W63+'Maple Corner (ma490)'!W53+'Marlboro Court (ma489)'!W41+'Marlboro Court MHC LLC'!W41+'May Manor'!W145+'May Manor (ma488)'!W77+'Mobiland by the Sea (mo320)'!W46+'Mobiland By The Sea MHC'!W47+'Moss Landing'!W74+'Moss Landing (mo321)'!W66+'Oak Springs'!W78+'Oak Springs MHC (oa150)'!W54+'Orange Manor East'!W43+'Orange Manor East (or125)'!W46+'Pacific Manor'!W52+'Pacific Manor (pa602)'!W54+Parkhaven!W109+Ridgecrest!W59+Riverest!W53+'Riverview MHRV LLC'!W56+Rosehaven!W121+'Sanctuary RV Resort'!W233+'Shadow Mountain MHC'!W40+Springhaven!W40+'Star Valley Ranch'!W51+Sunhaven!W47+'Sunny Grove'!W46+Tarponaire!W50+'Val Vista RV Resort'!W79+'Webster RV Resort LLC'!W66+'Wekiva Falls RV Resort'!W90+'West Jupiter RV Resort'!W47+'Western Way RV Resort LLC'!W139</f>
      </c>
      <c r="X19" s="18">
        <f>'Agave Village (ag011)'!X72+'Agave Village LLC'!X61+'Brookhaven Estates (bo260)'!X54+'Brookhaven RV Resort'!X50+'Courtly Manor'!X43+'Courtly Manor Park (co669)'!X44+'Cross Creek RV'!X139+'Cross Creek RV Resort (cr994)'!X145+'El Rio De Oro (el289)'!X41+'El Rio del Oro'!X44+'Endless Summer RV Resort'!X62+'Endless Summer RV Resort (en079'!X54+Evergreen!X41+'Far Horizons'!X41+'Far Horizons (fa105)'!X41+'Floridian Sandalwood (fl356)'!X38+'Floridian Sandalwood MHC'!X42+Glenhaven!X46+'Glenhaven Estates (gl317)'!X46+'Harbor Lights (ha310)'!X47+'Harbor Lights MHC'!X45+'Harvest Gate'!X55+'Hunter Run RV Estates'!X96+'Hunters Run RV Estates (hu116)'!X209+'Jade Isle (ja068)'!X38+'Jade Isle MHC'!X40+'Kakusha Estates (ka045)'!X44+'Kakusha MHC'!X43+'Lakeside Village'!X49+'Lakeside Village (la482)'!X51+'Lakewood Village (la481)'!X110+'Lakewood Village MHC LLC'!X130+'Maple Corner'!X63+'Maple Corner (ma490)'!X53+'Marlboro Court (ma489)'!X41+'Marlboro Court MHC LLC'!X41+'May Manor'!X145+'May Manor (ma488)'!X77+'Mobiland by the Sea (mo320)'!X46+'Mobiland By The Sea MHC'!X47+'Moss Landing'!X74+'Moss Landing (mo321)'!X66+'Oak Springs'!X78+'Oak Springs MHC (oa150)'!X54+'Orange Manor East'!X43+'Orange Manor East (or125)'!X46+'Pacific Manor'!X52+'Pacific Manor (pa602)'!X54+Parkhaven!X109+Ridgecrest!X59+Riverest!X53+'Riverview MHRV LLC'!X56+Rosehaven!X121+'Sanctuary RV Resort'!X233+'Shadow Mountain MHC'!X40+Springhaven!X40+'Star Valley Ranch'!X51+Sunhaven!X47+'Sunny Grove'!X46+Tarponaire!X50+'Val Vista RV Resort'!X79+'Webster RV Resort LLC'!X66+'Wekiva Falls RV Resort'!X90+'West Jupiter RV Resort'!X47+'Western Way RV Resort LLC'!X139</f>
      </c>
      <c r="Y19" s="18">
        <f>'Agave Village (ag011)'!Y72+'Agave Village LLC'!Y61+'Brookhaven Estates (bo260)'!Y54+'Brookhaven RV Resort'!Y50+'Courtly Manor'!Y43+'Courtly Manor Park (co669)'!Y44+'Cross Creek RV'!Y139+'Cross Creek RV Resort (cr994)'!Y145+'El Rio De Oro (el289)'!Y41+'El Rio del Oro'!Y44+'Endless Summer RV Resort'!Y62+'Endless Summer RV Resort (en079'!Y54+Evergreen!Y41+'Far Horizons'!Y41+'Far Horizons (fa105)'!Y41+'Floridian Sandalwood (fl356)'!Y38+'Floridian Sandalwood MHC'!Y42+Glenhaven!Y46+'Glenhaven Estates (gl317)'!Y46+'Harbor Lights (ha310)'!Y47+'Harbor Lights MHC'!Y45+'Harvest Gate'!Y55+'Hunter Run RV Estates'!Y96+'Hunters Run RV Estates (hu116)'!Y209+'Jade Isle (ja068)'!Y38+'Jade Isle MHC'!Y40+'Kakusha Estates (ka045)'!Y44+'Kakusha MHC'!Y43+'Lakeside Village'!Y49+'Lakeside Village (la482)'!Y51+'Lakewood Village (la481)'!Y110+'Lakewood Village MHC LLC'!Y130+'Maple Corner'!Y63+'Maple Corner (ma490)'!Y53+'Marlboro Court (ma489)'!Y41+'Marlboro Court MHC LLC'!Y41+'May Manor'!Y145+'May Manor (ma488)'!Y77+'Mobiland by the Sea (mo320)'!Y46+'Mobiland By The Sea MHC'!Y47+'Moss Landing'!Y74+'Moss Landing (mo321)'!Y66+'Oak Springs'!Y78+'Oak Springs MHC (oa150)'!Y54+'Orange Manor East'!Y43+'Orange Manor East (or125)'!Y46+'Pacific Manor'!Y52+'Pacific Manor (pa602)'!Y54+Parkhaven!Y109+Ridgecrest!Y59+Riverest!Y53+'Riverview MHRV LLC'!Y56+Rosehaven!Y121+'Sanctuary RV Resort'!Y233+'Shadow Mountain MHC'!Y40+Springhaven!Y40+'Star Valley Ranch'!Y51+Sunhaven!Y47+'Sunny Grove'!Y46+Tarponaire!Y50+'Val Vista RV Resort'!Y79+'Webster RV Resort LLC'!Y66+'Wekiva Falls RV Resort'!Y90+'West Jupiter RV Resort'!Y47+'Western Way RV Resort LLC'!Y139</f>
      </c>
      <c r="Z19" s="18">
        <f>'Agave Village (ag011)'!Z72+'Agave Village LLC'!Z61+'Brookhaven Estates (bo260)'!Z54+'Brookhaven RV Resort'!Z50+'Courtly Manor'!Z43+'Courtly Manor Park (co669)'!Z44+'Cross Creek RV'!Z139+'Cross Creek RV Resort (cr994)'!Z145+'El Rio De Oro (el289)'!Z41+'El Rio del Oro'!Z44+'Endless Summer RV Resort'!Z62+'Endless Summer RV Resort (en079'!Z54+Evergreen!Z41+'Far Horizons'!Z41+'Far Horizons (fa105)'!Z41+'Floridian Sandalwood (fl356)'!Z38+'Floridian Sandalwood MHC'!Z42+Glenhaven!Z46+'Glenhaven Estates (gl317)'!Z46+'Harbor Lights (ha310)'!Z47+'Harbor Lights MHC'!Z45+'Harvest Gate'!Z55+'Hunter Run RV Estates'!Z96+'Hunters Run RV Estates (hu116)'!Z209+'Jade Isle (ja068)'!Z38+'Jade Isle MHC'!Z40+'Kakusha Estates (ka045)'!Z44+'Kakusha MHC'!Z43+'Lakeside Village'!Z49+'Lakeside Village (la482)'!Z51+'Lakewood Village (la481)'!Z110+'Lakewood Village MHC LLC'!Z130+'Maple Corner'!Z63+'Maple Corner (ma490)'!Z53+'Marlboro Court (ma489)'!Z41+'Marlboro Court MHC LLC'!Z41+'May Manor'!Z145+'May Manor (ma488)'!Z77+'Mobiland by the Sea (mo320)'!Z46+'Mobiland By The Sea MHC'!Z47+'Moss Landing'!Z74+'Moss Landing (mo321)'!Z66+'Oak Springs'!Z78+'Oak Springs MHC (oa150)'!Z54+'Orange Manor East'!Z43+'Orange Manor East (or125)'!Z46+'Pacific Manor'!Z52+'Pacific Manor (pa602)'!Z54+Parkhaven!Z109+Ridgecrest!Z59+Riverest!Z53+'Riverview MHRV LLC'!Z56+Rosehaven!Z121+'Sanctuary RV Resort'!Z233+'Shadow Mountain MHC'!Z40+Springhaven!Z40+'Star Valley Ranch'!Z51+Sunhaven!Z47+'Sunny Grove'!Z46+Tarponaire!Z50+'Val Vista RV Resort'!Z79+'Webster RV Resort LLC'!Z66+'Wekiva Falls RV Resort'!Z90+'West Jupiter RV Resort'!Z47+'Western Way RV Resort LLC'!Z139</f>
      </c>
      <c r="AA19" s="18">
        <f>'Agave Village (ag011)'!AA72+'Agave Village LLC'!AA61+'Brookhaven Estates (bo260)'!AA54+'Brookhaven RV Resort'!AA50+'Courtly Manor'!AA43+'Courtly Manor Park (co669)'!AA44+'Cross Creek RV'!AA139+'Cross Creek RV Resort (cr994)'!AA145+'El Rio De Oro (el289)'!AA41+'El Rio del Oro'!AA44+'Endless Summer RV Resort'!AA62+'Endless Summer RV Resort (en079'!AA54+Evergreen!AA41+'Far Horizons'!AA41+'Far Horizons (fa105)'!AA41+'Floridian Sandalwood (fl356)'!AA38+'Floridian Sandalwood MHC'!AA42+Glenhaven!AA46+'Glenhaven Estates (gl317)'!AA46+'Harbor Lights (ha310)'!AA47+'Harbor Lights MHC'!AA45+'Harvest Gate'!AA55+'Hunter Run RV Estates'!AA96+'Hunters Run RV Estates (hu116)'!AA209+'Jade Isle (ja068)'!AA38+'Jade Isle MHC'!AA40+'Kakusha Estates (ka045)'!AA44+'Kakusha MHC'!AA43+'Lakeside Village'!AA49+'Lakeside Village (la482)'!AA51+'Lakewood Village (la481)'!AA110+'Lakewood Village MHC LLC'!AA130+'Maple Corner'!AA63+'Maple Corner (ma490)'!AA53+'Marlboro Court (ma489)'!AA41+'Marlboro Court MHC LLC'!AA41+'May Manor'!AA145+'May Manor (ma488)'!AA77+'Mobiland by the Sea (mo320)'!AA46+'Mobiland By The Sea MHC'!AA47+'Moss Landing'!AA74+'Moss Landing (mo321)'!AA66+'Oak Springs'!AA78+'Oak Springs MHC (oa150)'!AA54+'Orange Manor East'!AA43+'Orange Manor East (or125)'!AA46+'Pacific Manor'!AA52+'Pacific Manor (pa602)'!AA54+Parkhaven!AA109+Ridgecrest!AA59+Riverest!AA53+'Riverview MHRV LLC'!AA56+Rosehaven!AA121+'Sanctuary RV Resort'!AA233+'Shadow Mountain MHC'!AA40+Springhaven!AA40+'Star Valley Ranch'!AA51+Sunhaven!AA47+'Sunny Grove'!AA46+Tarponaire!AA50+'Val Vista RV Resort'!AA79+'Webster RV Resort LLC'!AA66+'Wekiva Falls RV Resort'!AA90+'West Jupiter RV Resort'!AA47+'Western Way RV Resort LLC'!AA139</f>
      </c>
      <c r="AB19" s="18">
        <f>'Agave Village (ag011)'!AB72+'Agave Village LLC'!AB61+'Brookhaven Estates (bo260)'!AB54+'Brookhaven RV Resort'!AB50+'Courtly Manor'!AB43+'Courtly Manor Park (co669)'!AB44+'Cross Creek RV'!AB139+'Cross Creek RV Resort (cr994)'!AB145+'El Rio De Oro (el289)'!AB41+'El Rio del Oro'!AB44+'Endless Summer RV Resort'!AB62+'Endless Summer RV Resort (en079'!AB54+Evergreen!AB41+'Far Horizons'!AB41+'Far Horizons (fa105)'!AB41+'Floridian Sandalwood (fl356)'!AB38+'Floridian Sandalwood MHC'!AB42+Glenhaven!AB46+'Glenhaven Estates (gl317)'!AB46+'Harbor Lights (ha310)'!AB47+'Harbor Lights MHC'!AB45+'Harvest Gate'!AB55+'Hunter Run RV Estates'!AB96+'Hunters Run RV Estates (hu116)'!AB209+'Jade Isle (ja068)'!AB38+'Jade Isle MHC'!AB40+'Kakusha Estates (ka045)'!AB44+'Kakusha MHC'!AB43+'Lakeside Village'!AB49+'Lakeside Village (la482)'!AB51+'Lakewood Village (la481)'!AB110+'Lakewood Village MHC LLC'!AB130+'Maple Corner'!AB63+'Maple Corner (ma490)'!AB53+'Marlboro Court (ma489)'!AB41+'Marlboro Court MHC LLC'!AB41+'May Manor'!AB145+'May Manor (ma488)'!AB77+'Mobiland by the Sea (mo320)'!AB46+'Mobiland By The Sea MHC'!AB47+'Moss Landing'!AB74+'Moss Landing (mo321)'!AB66+'Oak Springs'!AB78+'Oak Springs MHC (oa150)'!AB54+'Orange Manor East'!AB43+'Orange Manor East (or125)'!AB46+'Pacific Manor'!AB52+'Pacific Manor (pa602)'!AB54+Parkhaven!AB109+Ridgecrest!AB59+Riverest!AB53+'Riverview MHRV LLC'!AB56+Rosehaven!AB121+'Sanctuary RV Resort'!AB233+'Shadow Mountain MHC'!AB40+Springhaven!AB40+'Star Valley Ranch'!AB51+Sunhaven!AB47+'Sunny Grove'!AB46+Tarponaire!AB50+'Val Vista RV Resort'!AB79+'Webster RV Resort LLC'!AB66+'Wekiva Falls RV Resort'!AB90+'West Jupiter RV Resort'!AB47+'Western Way RV Resort LLC'!AB139</f>
      </c>
      <c r="AC19" s="18">
        <f>'Agave Village (ag011)'!AC72+'Agave Village LLC'!AC61+'Brookhaven Estates (bo260)'!AC54+'Brookhaven RV Resort'!AC50+'Courtly Manor'!AC43+'Courtly Manor Park (co669)'!AC44+'Cross Creek RV'!AC139+'Cross Creek RV Resort (cr994)'!AC145+'El Rio De Oro (el289)'!AC41+'El Rio del Oro'!AC44+'Endless Summer RV Resort'!AC62+'Endless Summer RV Resort (en079'!AC54+Evergreen!AC41+'Far Horizons'!AC41+'Far Horizons (fa105)'!AC41+'Floridian Sandalwood (fl356)'!AC38+'Floridian Sandalwood MHC'!AC42+Glenhaven!AC46+'Glenhaven Estates (gl317)'!AC46+'Harbor Lights (ha310)'!AC47+'Harbor Lights MHC'!AC45+'Harvest Gate'!AC55+'Hunter Run RV Estates'!AC96+'Hunters Run RV Estates (hu116)'!AC209+'Jade Isle (ja068)'!AC38+'Jade Isle MHC'!AC40+'Kakusha Estates (ka045)'!AC44+'Kakusha MHC'!AC43+'Lakeside Village'!AC49+'Lakeside Village (la482)'!AC51+'Lakewood Village (la481)'!AC110+'Lakewood Village MHC LLC'!AC130+'Maple Corner'!AC63+'Maple Corner (ma490)'!AC53+'Marlboro Court (ma489)'!AC41+'Marlboro Court MHC LLC'!AC41+'May Manor'!AC145+'May Manor (ma488)'!AC77+'Mobiland by the Sea (mo320)'!AC46+'Mobiland By The Sea MHC'!AC47+'Moss Landing'!AC74+'Moss Landing (mo321)'!AC66+'Oak Springs'!AC78+'Oak Springs MHC (oa150)'!AC54+'Orange Manor East'!AC43+'Orange Manor East (or125)'!AC46+'Pacific Manor'!AC52+'Pacific Manor (pa602)'!AC54+Parkhaven!AC109+Ridgecrest!AC59+Riverest!AC53+'Riverview MHRV LLC'!AC56+Rosehaven!AC121+'Sanctuary RV Resort'!AC233+'Shadow Mountain MHC'!AC40+Springhaven!AC40+'Star Valley Ranch'!AC51+Sunhaven!AC47+'Sunny Grove'!AC46+Tarponaire!AC50+'Val Vista RV Resort'!AC79+'Webster RV Resort LLC'!AC66+'Wekiva Falls RV Resort'!AC90+'West Jupiter RV Resort'!AC47+'Western Way RV Resort LLC'!AC139</f>
      </c>
      <c r="AD19" s="18">
        <f>'Agave Village (ag011)'!AD72+'Agave Village LLC'!AD61+'Brookhaven Estates (bo260)'!AD54+'Brookhaven RV Resort'!AD50+'Courtly Manor'!AD43+'Courtly Manor Park (co669)'!AD44+'Cross Creek RV'!AD139+'Cross Creek RV Resort (cr994)'!AD145+'El Rio De Oro (el289)'!AD41+'El Rio del Oro'!AD44+'Endless Summer RV Resort'!AD62+'Endless Summer RV Resort (en079'!AD54+Evergreen!AD41+'Far Horizons'!AD41+'Far Horizons (fa105)'!AD41+'Floridian Sandalwood (fl356)'!AD38+'Floridian Sandalwood MHC'!AD42+Glenhaven!AD46+'Glenhaven Estates (gl317)'!AD46+'Harbor Lights (ha310)'!AD47+'Harbor Lights MHC'!AD45+'Harvest Gate'!AD55+'Hunter Run RV Estates'!AD96+'Hunters Run RV Estates (hu116)'!AD209+'Jade Isle (ja068)'!AD38+'Jade Isle MHC'!AD40+'Kakusha Estates (ka045)'!AD44+'Kakusha MHC'!AD43+'Lakeside Village'!AD49+'Lakeside Village (la482)'!AD51+'Lakewood Village (la481)'!AD110+'Lakewood Village MHC LLC'!AD130+'Maple Corner'!AD63+'Maple Corner (ma490)'!AD53+'Marlboro Court (ma489)'!AD41+'Marlboro Court MHC LLC'!AD41+'May Manor'!AD145+'May Manor (ma488)'!AD77+'Mobiland by the Sea (mo320)'!AD46+'Mobiland By The Sea MHC'!AD47+'Moss Landing'!AD74+'Moss Landing (mo321)'!AD66+'Oak Springs'!AD78+'Oak Springs MHC (oa150)'!AD54+'Orange Manor East'!AD43+'Orange Manor East (or125)'!AD46+'Pacific Manor'!AD52+'Pacific Manor (pa602)'!AD54+Parkhaven!AD109+Ridgecrest!AD59+Riverest!AD53+'Riverview MHRV LLC'!AD56+Rosehaven!AD121+'Sanctuary RV Resort'!AD233+'Shadow Mountain MHC'!AD40+Springhaven!AD40+'Star Valley Ranch'!AD51+Sunhaven!AD47+'Sunny Grove'!AD46+Tarponaire!AD50+'Val Vista RV Resort'!AD79+'Webster RV Resort LLC'!AD66+'Wekiva Falls RV Resort'!AD90+'West Jupiter RV Resort'!AD47+'Western Way RV Resort LLC'!AD139</f>
      </c>
      <c r="AE19" s="18">
        <f>'Agave Village (ag011)'!AE72+'Agave Village LLC'!AE61+'Brookhaven Estates (bo260)'!AE54+'Brookhaven RV Resort'!AE50+'Courtly Manor'!AE43+'Courtly Manor Park (co669)'!AE44+'Cross Creek RV'!AE139+'Cross Creek RV Resort (cr994)'!AE145+'El Rio De Oro (el289)'!AE41+'El Rio del Oro'!AE44+'Endless Summer RV Resort'!AE62+'Endless Summer RV Resort (en079'!AE54+Evergreen!AE41+'Far Horizons'!AE41+'Far Horizons (fa105)'!AE41+'Floridian Sandalwood (fl356)'!AE38+'Floridian Sandalwood MHC'!AE42+Glenhaven!AE46+'Glenhaven Estates (gl317)'!AE46+'Harbor Lights (ha310)'!AE47+'Harbor Lights MHC'!AE45+'Harvest Gate'!AE55+'Hunter Run RV Estates'!AE96+'Hunters Run RV Estates (hu116)'!AE209+'Jade Isle (ja068)'!AE38+'Jade Isle MHC'!AE40+'Kakusha Estates (ka045)'!AE44+'Kakusha MHC'!AE43+'Lakeside Village'!AE49+'Lakeside Village (la482)'!AE51+'Lakewood Village (la481)'!AE110+'Lakewood Village MHC LLC'!AE130+'Maple Corner'!AE63+'Maple Corner (ma490)'!AE53+'Marlboro Court (ma489)'!AE41+'Marlboro Court MHC LLC'!AE41+'May Manor'!AE145+'May Manor (ma488)'!AE77+'Mobiland by the Sea (mo320)'!AE46+'Mobiland By The Sea MHC'!AE47+'Moss Landing'!AE74+'Moss Landing (mo321)'!AE66+'Oak Springs'!AE78+'Oak Springs MHC (oa150)'!AE54+'Orange Manor East'!AE43+'Orange Manor East (or125)'!AE46+'Pacific Manor'!AE52+'Pacific Manor (pa602)'!AE54+Parkhaven!AE109+Ridgecrest!AE59+Riverest!AE53+'Riverview MHRV LLC'!AE56+Rosehaven!AE121+'Sanctuary RV Resort'!AE233+'Shadow Mountain MHC'!AE40+Springhaven!AE40+'Star Valley Ranch'!AE51+Sunhaven!AE47+'Sunny Grove'!AE46+Tarponaire!AE50+'Val Vista RV Resort'!AE79+'Webster RV Resort LLC'!AE66+'Wekiva Falls RV Resort'!AE90+'West Jupiter RV Resort'!AE47+'Western Way RV Resort LLC'!AE139</f>
      </c>
      <c r="AF19" s="18">
        <f>'Agave Village (ag011)'!AF72+'Agave Village LLC'!AF61+'Brookhaven Estates (bo260)'!AF54+'Brookhaven RV Resort'!AF50+'Courtly Manor'!AF43+'Courtly Manor Park (co669)'!AF44+'Cross Creek RV'!AF139+'Cross Creek RV Resort (cr994)'!AF145+'El Rio De Oro (el289)'!AF41+'El Rio del Oro'!AF44+'Endless Summer RV Resort'!AF62+'Endless Summer RV Resort (en079'!AF54+Evergreen!AF41+'Far Horizons'!AF41+'Far Horizons (fa105)'!AF41+'Floridian Sandalwood (fl356)'!AF38+'Floridian Sandalwood MHC'!AF42+Glenhaven!AF46+'Glenhaven Estates (gl317)'!AF46+'Harbor Lights (ha310)'!AF47+'Harbor Lights MHC'!AF45+'Harvest Gate'!AF55+'Hunter Run RV Estates'!AF96+'Hunters Run RV Estates (hu116)'!AF209+'Jade Isle (ja068)'!AF38+'Jade Isle MHC'!AF40+'Kakusha Estates (ka045)'!AF44+'Kakusha MHC'!AF43+'Lakeside Village'!AF49+'Lakeside Village (la482)'!AF51+'Lakewood Village (la481)'!AF110+'Lakewood Village MHC LLC'!AF130+'Maple Corner'!AF63+'Maple Corner (ma490)'!AF53+'Marlboro Court (ma489)'!AF41+'Marlboro Court MHC LLC'!AF41+'May Manor'!AF145+'May Manor (ma488)'!AF77+'Mobiland by the Sea (mo320)'!AF46+'Mobiland By The Sea MHC'!AF47+'Moss Landing'!AF74+'Moss Landing (mo321)'!AF66+'Oak Springs'!AF78+'Oak Springs MHC (oa150)'!AF54+'Orange Manor East'!AF43+'Orange Manor East (or125)'!AF46+'Pacific Manor'!AF52+'Pacific Manor (pa602)'!AF54+Parkhaven!AF109+Ridgecrest!AF59+Riverest!AF53+'Riverview MHRV LLC'!AF56+Rosehaven!AF121+'Sanctuary RV Resort'!AF233+'Shadow Mountain MHC'!AF40+Springhaven!AF40+'Star Valley Ranch'!AF51+Sunhaven!AF47+'Sunny Grove'!AF46+Tarponaire!AF50+'Val Vista RV Resort'!AF79+'Webster RV Resort LLC'!AF66+'Wekiva Falls RV Resort'!AF90+'West Jupiter RV Resort'!AF47+'Western Way RV Resort LLC'!AF139</f>
      </c>
      <c r="AG19" s="18">
        <f>'Agave Village (ag011)'!AG72+'Agave Village LLC'!AG61+'Brookhaven Estates (bo260)'!AG54+'Brookhaven RV Resort'!AG50+'Courtly Manor'!AG43+'Courtly Manor Park (co669)'!AG44+'Cross Creek RV'!AG139+'Cross Creek RV Resort (cr994)'!AG145+'El Rio De Oro (el289)'!AG41+'El Rio del Oro'!AG44+'Endless Summer RV Resort'!AG62+'Endless Summer RV Resort (en079'!AG54+Evergreen!AG41+'Far Horizons'!AG41+'Far Horizons (fa105)'!AG41+'Floridian Sandalwood (fl356)'!AG38+'Floridian Sandalwood MHC'!AG42+Glenhaven!AG46+'Glenhaven Estates (gl317)'!AG46+'Harbor Lights (ha310)'!AG47+'Harbor Lights MHC'!AG45+'Harvest Gate'!AG55+'Hunter Run RV Estates'!AG96+'Hunters Run RV Estates (hu116)'!AG209+'Jade Isle (ja068)'!AG38+'Jade Isle MHC'!AG40+'Kakusha Estates (ka045)'!AG44+'Kakusha MHC'!AG43+'Lakeside Village'!AG49+'Lakeside Village (la482)'!AG51+'Lakewood Village (la481)'!AG110+'Lakewood Village MHC LLC'!AG130+'Maple Corner'!AG63+'Maple Corner (ma490)'!AG53+'Marlboro Court (ma489)'!AG41+'Marlboro Court MHC LLC'!AG41+'May Manor'!AG145+'May Manor (ma488)'!AG77+'Mobiland by the Sea (mo320)'!AG46+'Mobiland By The Sea MHC'!AG47+'Moss Landing'!AG74+'Moss Landing (mo321)'!AG66+'Oak Springs'!AG78+'Oak Springs MHC (oa150)'!AG54+'Orange Manor East'!AG43+'Orange Manor East (or125)'!AG46+'Pacific Manor'!AG52+'Pacific Manor (pa602)'!AG54+Parkhaven!AG109+Ridgecrest!AG59+Riverest!AG53+'Riverview MHRV LLC'!AG56+Rosehaven!AG121+'Sanctuary RV Resort'!AG233+'Shadow Mountain MHC'!AG40+Springhaven!AG40+'Star Valley Ranch'!AG51+Sunhaven!AG47+'Sunny Grove'!AG46+Tarponaire!AG50+'Val Vista RV Resort'!AG79+'Webster RV Resort LLC'!AG66+'Wekiva Falls RV Resort'!AG90+'West Jupiter RV Resort'!AG47+'Western Way RV Resort LLC'!AG139</f>
      </c>
      <c r="AH19" s="18">
        <f>'Agave Village (ag011)'!AH72+'Agave Village LLC'!AH61+'Brookhaven Estates (bo260)'!AH54+'Brookhaven RV Resort'!AH50+'Courtly Manor'!AH43+'Courtly Manor Park (co669)'!AH44+'Cross Creek RV'!AH139+'Cross Creek RV Resort (cr994)'!AH145+'El Rio De Oro (el289)'!AH41+'El Rio del Oro'!AH44+'Endless Summer RV Resort'!AH62+'Endless Summer RV Resort (en079'!AH54+Evergreen!AH41+'Far Horizons'!AH41+'Far Horizons (fa105)'!AH41+'Floridian Sandalwood (fl356)'!AH38+'Floridian Sandalwood MHC'!AH42+Glenhaven!AH46+'Glenhaven Estates (gl317)'!AH46+'Harbor Lights (ha310)'!AH47+'Harbor Lights MHC'!AH45+'Harvest Gate'!AH55+'Hunter Run RV Estates'!AH96+'Hunters Run RV Estates (hu116)'!AH209+'Jade Isle (ja068)'!AH38+'Jade Isle MHC'!AH40+'Kakusha Estates (ka045)'!AH44+'Kakusha MHC'!AH43+'Lakeside Village'!AH49+'Lakeside Village (la482)'!AH51+'Lakewood Village (la481)'!AH110+'Lakewood Village MHC LLC'!AH130+'Maple Corner'!AH63+'Maple Corner (ma490)'!AH53+'Marlboro Court (ma489)'!AH41+'Marlboro Court MHC LLC'!AH41+'May Manor'!AH145+'May Manor (ma488)'!AH77+'Mobiland by the Sea (mo320)'!AH46+'Mobiland By The Sea MHC'!AH47+'Moss Landing'!AH74+'Moss Landing (mo321)'!AH66+'Oak Springs'!AH78+'Oak Springs MHC (oa150)'!AH54+'Orange Manor East'!AH43+'Orange Manor East (or125)'!AH46+'Pacific Manor'!AH52+'Pacific Manor (pa602)'!AH54+Parkhaven!AH109+Ridgecrest!AH59+Riverest!AH53+'Riverview MHRV LLC'!AH56+Rosehaven!AH121+'Sanctuary RV Resort'!AH233+'Shadow Mountain MHC'!AH40+Springhaven!AH40+'Star Valley Ranch'!AH51+Sunhaven!AH47+'Sunny Grove'!AH46+Tarponaire!AH50+'Val Vista RV Resort'!AH79+'Webster RV Resort LLC'!AH66+'Wekiva Falls RV Resort'!AH90+'West Jupiter RV Resort'!AH47+'Western Way RV Resort LLC'!AH139</f>
      </c>
      <c r="AI19" s="18">
        <f>'Agave Village (ag011)'!AI72+'Agave Village LLC'!AI61+'Brookhaven Estates (bo260)'!AI54+'Brookhaven RV Resort'!AI50+'Courtly Manor'!AI43+'Courtly Manor Park (co669)'!AI44+'Cross Creek RV'!AI139+'Cross Creek RV Resort (cr994)'!AI145+'El Rio De Oro (el289)'!AI41+'El Rio del Oro'!AI44+'Endless Summer RV Resort'!AI62+'Endless Summer RV Resort (en079'!AI54+Evergreen!AI41+'Far Horizons'!AI41+'Far Horizons (fa105)'!AI41+'Floridian Sandalwood (fl356)'!AI38+'Floridian Sandalwood MHC'!AI42+Glenhaven!AI46+'Glenhaven Estates (gl317)'!AI46+'Harbor Lights (ha310)'!AI47+'Harbor Lights MHC'!AI45+'Harvest Gate'!AI55+'Hunter Run RV Estates'!AI96+'Hunters Run RV Estates (hu116)'!AI209+'Jade Isle (ja068)'!AI38+'Jade Isle MHC'!AI40+'Kakusha Estates (ka045)'!AI44+'Kakusha MHC'!AI43+'Lakeside Village'!AI49+'Lakeside Village (la482)'!AI51+'Lakewood Village (la481)'!AI110+'Lakewood Village MHC LLC'!AI130+'Maple Corner'!AI63+'Maple Corner (ma490)'!AI53+'Marlboro Court (ma489)'!AI41+'Marlboro Court MHC LLC'!AI41+'May Manor'!AI145+'May Manor (ma488)'!AI77+'Mobiland by the Sea (mo320)'!AI46+'Mobiland By The Sea MHC'!AI47+'Moss Landing'!AI74+'Moss Landing (mo321)'!AI66+'Oak Springs'!AI78+'Oak Springs MHC (oa150)'!AI54+'Orange Manor East'!AI43+'Orange Manor East (or125)'!AI46+'Pacific Manor'!AI52+'Pacific Manor (pa602)'!AI54+Parkhaven!AI109+Ridgecrest!AI59+Riverest!AI53+'Riverview MHRV LLC'!AI56+Rosehaven!AI121+'Sanctuary RV Resort'!AI233+'Shadow Mountain MHC'!AI40+Springhaven!AI40+'Star Valley Ranch'!AI51+Sunhaven!AI47+'Sunny Grove'!AI46+Tarponaire!AI50+'Val Vista RV Resort'!AI79+'Webster RV Resort LLC'!AI66+'Wekiva Falls RV Resort'!AI90+'West Jupiter RV Resort'!AI47+'Western Way RV Resort LLC'!AI139</f>
      </c>
      <c r="AJ19" s="18">
        <f>'Agave Village (ag011)'!AJ72+'Agave Village LLC'!AJ61+'Brookhaven Estates (bo260)'!AJ54+'Brookhaven RV Resort'!AJ50+'Courtly Manor'!AJ43+'Courtly Manor Park (co669)'!AJ44+'Cross Creek RV'!AJ139+'Cross Creek RV Resort (cr994)'!AJ145+'El Rio De Oro (el289)'!AJ41+'El Rio del Oro'!AJ44+'Endless Summer RV Resort'!AJ62+'Endless Summer RV Resort (en079'!AJ54+Evergreen!AJ41+'Far Horizons'!AJ41+'Far Horizons (fa105)'!AJ41+'Floridian Sandalwood (fl356)'!AJ38+'Floridian Sandalwood MHC'!AJ42+Glenhaven!AJ46+'Glenhaven Estates (gl317)'!AJ46+'Harbor Lights (ha310)'!AJ47+'Harbor Lights MHC'!AJ45+'Harvest Gate'!AJ55+'Hunter Run RV Estates'!AJ96+'Hunters Run RV Estates (hu116)'!AJ209+'Jade Isle (ja068)'!AJ38+'Jade Isle MHC'!AJ40+'Kakusha Estates (ka045)'!AJ44+'Kakusha MHC'!AJ43+'Lakeside Village'!AJ49+'Lakeside Village (la482)'!AJ51+'Lakewood Village (la481)'!AJ110+'Lakewood Village MHC LLC'!AJ130+'Maple Corner'!AJ63+'Maple Corner (ma490)'!AJ53+'Marlboro Court (ma489)'!AJ41+'Marlboro Court MHC LLC'!AJ41+'May Manor'!AJ145+'May Manor (ma488)'!AJ77+'Mobiland by the Sea (mo320)'!AJ46+'Mobiland By The Sea MHC'!AJ47+'Moss Landing'!AJ74+'Moss Landing (mo321)'!AJ66+'Oak Springs'!AJ78+'Oak Springs MHC (oa150)'!AJ54+'Orange Manor East'!AJ43+'Orange Manor East (or125)'!AJ46+'Pacific Manor'!AJ52+'Pacific Manor (pa602)'!AJ54+Parkhaven!AJ109+Ridgecrest!AJ59+Riverest!AJ53+'Riverview MHRV LLC'!AJ56+Rosehaven!AJ121+'Sanctuary RV Resort'!AJ233+'Shadow Mountain MHC'!AJ40+Springhaven!AJ40+'Star Valley Ranch'!AJ51+Sunhaven!AJ47+'Sunny Grove'!AJ46+Tarponaire!AJ50+'Val Vista RV Resort'!AJ79+'Webster RV Resort LLC'!AJ66+'Wekiva Falls RV Resort'!AJ90+'West Jupiter RV Resort'!AJ47+'Western Way RV Resort LLC'!AJ139</f>
      </c>
      <c r="AK19" s="19"/>
    </row>
    <row r="20" ht="12.75" customHeight="1" spans="2:37" x14ac:dyDescent="0.25">
      <c r="B20" s="20" t="s">
        <v>45</v>
      </c>
      <c r="C20" s="21"/>
      <c r="D20" s="21"/>
      <c r="E20" s="22">
        <f>'Agave Village (ag011)'!E73+'Agave Village LLC'!E62+'Brookhaven Estates (bo260)'!E55+'Brookhaven RV Resort'!E51+'Courtly Manor'!E44+'Courtly Manor Park (co669)'!E45+'Cross Creek RV'!E140+'Cross Creek RV Resort (cr994)'!E146+'El Rio De Oro (el289)'!E42+'El Rio del Oro'!E45+'Endless Summer RV Resort'!E63+'Endless Summer RV Resort (en079'!E55+Evergreen!E42+'Far Horizons'!E42+'Far Horizons (fa105)'!E42+'Floridian Sandalwood (fl356)'!E39+'Floridian Sandalwood MHC'!E43+Glenhaven!E47+'Glenhaven Estates (gl317)'!E47+'Harbor Lights (ha310)'!E48+'Harbor Lights MHC'!E46+'Harvest Gate'!E56+'Hunter Run RV Estates'!E97+'Hunters Run RV Estates (hu116)'!E210+'Jade Isle (ja068)'!E39+'Jade Isle MHC'!E41+'Kakusha Estates (ka045)'!E45+'Kakusha MHC'!E44+'Lakeside Village'!E50+'Lakeside Village (la482)'!E52+'Lakewood Village (la481)'!E111+'Lakewood Village MHC LLC'!E131+'Maple Corner'!E64+'Maple Corner (ma490)'!E54+'Marlboro Court (ma489)'!E42+'Marlboro Court MHC LLC'!E42+'May Manor'!E146+'May Manor (ma488)'!E78+'Mobiland by the Sea (mo320)'!E47+'Mobiland By The Sea MHC'!E48+'Moss Landing'!E75+'Moss Landing (mo321)'!E67+'Oak Springs'!E79+'Oak Springs MHC (oa150)'!E55+'Orange Manor East'!E44+'Orange Manor East (or125)'!E47+'Pacific Manor'!E53+'Pacific Manor (pa602)'!E55+Parkhaven!E110+Ridgecrest!E60+Riverest!E54+'Riverview MHRV LLC'!E57+Rosehaven!E122+'Sanctuary RV Resort'!E234+'Shadow Mountain MHC'!E41+Springhaven!E41+'Star Valley Ranch'!E52+Sunhaven!E48+'Sunny Grove'!E47+Tarponaire!E51+'Val Vista RV Resort'!E80+'Webster RV Resort LLC'!E67+'Wekiva Falls RV Resort'!E91+'West Jupiter RV Resort'!E48+'Western Way RV Resort LLC'!E140</f>
      </c>
      <c r="F20" s="22">
        <f>'Agave Village (ag011)'!F73+'Agave Village LLC'!F62+'Brookhaven Estates (bo260)'!F55+'Brookhaven RV Resort'!F51+'Courtly Manor'!F44+'Courtly Manor Park (co669)'!F45+'Cross Creek RV'!F140+'Cross Creek RV Resort (cr994)'!F146+'El Rio De Oro (el289)'!F42+'El Rio del Oro'!F45+'Endless Summer RV Resort'!F63+'Endless Summer RV Resort (en079'!F55+Evergreen!F42+'Far Horizons'!F42+'Far Horizons (fa105)'!F42+'Floridian Sandalwood (fl356)'!F39+'Floridian Sandalwood MHC'!F43+Glenhaven!F47+'Glenhaven Estates (gl317)'!F47+'Harbor Lights (ha310)'!F48+'Harbor Lights MHC'!F46+'Harvest Gate'!F56+'Hunter Run RV Estates'!F97+'Hunters Run RV Estates (hu116)'!F210+'Jade Isle (ja068)'!F39+'Jade Isle MHC'!F41+'Kakusha Estates (ka045)'!F45+'Kakusha MHC'!F44+'Lakeside Village'!F50+'Lakeside Village (la482)'!F52+'Lakewood Village (la481)'!F111+'Lakewood Village MHC LLC'!F131+'Maple Corner'!F64+'Maple Corner (ma490)'!F54+'Marlboro Court (ma489)'!F42+'Marlboro Court MHC LLC'!F42+'May Manor'!F146+'May Manor (ma488)'!F78+'Mobiland by the Sea (mo320)'!F47+'Mobiland By The Sea MHC'!F48+'Moss Landing'!F75+'Moss Landing (mo321)'!F67+'Oak Springs'!F79+'Oak Springs MHC (oa150)'!F55+'Orange Manor East'!F44+'Orange Manor East (or125)'!F47+'Pacific Manor'!F53+'Pacific Manor (pa602)'!F55+Parkhaven!F110+Ridgecrest!F60+Riverest!F54+'Riverview MHRV LLC'!F57+Rosehaven!F122+'Sanctuary RV Resort'!F234+'Shadow Mountain MHC'!F41+Springhaven!F41+'Star Valley Ranch'!F52+Sunhaven!F48+'Sunny Grove'!F47+Tarponaire!F51+'Val Vista RV Resort'!F80+'Webster RV Resort LLC'!F67+'Wekiva Falls RV Resort'!F91+'West Jupiter RV Resort'!F48+'Western Way RV Resort LLC'!F140</f>
      </c>
      <c r="G20" s="22">
        <f>'Agave Village (ag011)'!G73+'Agave Village LLC'!G62+'Brookhaven Estates (bo260)'!G55+'Brookhaven RV Resort'!G51+'Courtly Manor'!G44+'Courtly Manor Park (co669)'!G45+'Cross Creek RV'!G140+'Cross Creek RV Resort (cr994)'!G146+'El Rio De Oro (el289)'!G42+'El Rio del Oro'!G45+'Endless Summer RV Resort'!G63+'Endless Summer RV Resort (en079'!G55+Evergreen!G42+'Far Horizons'!G42+'Far Horizons (fa105)'!G42+'Floridian Sandalwood (fl356)'!G39+'Floridian Sandalwood MHC'!G43+Glenhaven!G47+'Glenhaven Estates (gl317)'!G47+'Harbor Lights (ha310)'!G48+'Harbor Lights MHC'!G46+'Harvest Gate'!G56+'Hunter Run RV Estates'!G97+'Hunters Run RV Estates (hu116)'!G210+'Jade Isle (ja068)'!G39+'Jade Isle MHC'!G41+'Kakusha Estates (ka045)'!G45+'Kakusha MHC'!G44+'Lakeside Village'!G50+'Lakeside Village (la482)'!G52+'Lakewood Village (la481)'!G111+'Lakewood Village MHC LLC'!G131+'Maple Corner'!G64+'Maple Corner (ma490)'!G54+'Marlboro Court (ma489)'!G42+'Marlboro Court MHC LLC'!G42+'May Manor'!G146+'May Manor (ma488)'!G78+'Mobiland by the Sea (mo320)'!G47+'Mobiland By The Sea MHC'!G48+'Moss Landing'!G75+'Moss Landing (mo321)'!G67+'Oak Springs'!G79+'Oak Springs MHC (oa150)'!G55+'Orange Manor East'!G44+'Orange Manor East (or125)'!G47+'Pacific Manor'!G53+'Pacific Manor (pa602)'!G55+Parkhaven!G110+Ridgecrest!G60+Riverest!G54+'Riverview MHRV LLC'!G57+Rosehaven!G122+'Sanctuary RV Resort'!G234+'Shadow Mountain MHC'!G41+Springhaven!G41+'Star Valley Ranch'!G52+Sunhaven!G48+'Sunny Grove'!G47+Tarponaire!G51+'Val Vista RV Resort'!G80+'Webster RV Resort LLC'!G67+'Wekiva Falls RV Resort'!G91+'West Jupiter RV Resort'!G48+'Western Way RV Resort LLC'!G140</f>
      </c>
      <c r="H20" s="22">
        <f>'Agave Village (ag011)'!H73+'Agave Village LLC'!H62+'Brookhaven Estates (bo260)'!H55+'Brookhaven RV Resort'!H51+'Courtly Manor'!H44+'Courtly Manor Park (co669)'!H45+'Cross Creek RV'!H140+'Cross Creek RV Resort (cr994)'!H146+'El Rio De Oro (el289)'!H42+'El Rio del Oro'!H45+'Endless Summer RV Resort'!H63+'Endless Summer RV Resort (en079'!H55+Evergreen!H42+'Far Horizons'!H42+'Far Horizons (fa105)'!H42+'Floridian Sandalwood (fl356)'!H39+'Floridian Sandalwood MHC'!H43+Glenhaven!H47+'Glenhaven Estates (gl317)'!H47+'Harbor Lights (ha310)'!H48+'Harbor Lights MHC'!H46+'Harvest Gate'!H56+'Hunter Run RV Estates'!H97+'Hunters Run RV Estates (hu116)'!H210+'Jade Isle (ja068)'!H39+'Jade Isle MHC'!H41+'Kakusha Estates (ka045)'!H45+'Kakusha MHC'!H44+'Lakeside Village'!H50+'Lakeside Village (la482)'!H52+'Lakewood Village (la481)'!H111+'Lakewood Village MHC LLC'!H131+'Maple Corner'!H64+'Maple Corner (ma490)'!H54+'Marlboro Court (ma489)'!H42+'Marlboro Court MHC LLC'!H42+'May Manor'!H146+'May Manor (ma488)'!H78+'Mobiland by the Sea (mo320)'!H47+'Mobiland By The Sea MHC'!H48+'Moss Landing'!H75+'Moss Landing (mo321)'!H67+'Oak Springs'!H79+'Oak Springs MHC (oa150)'!H55+'Orange Manor East'!H44+'Orange Manor East (or125)'!H47+'Pacific Manor'!H53+'Pacific Manor (pa602)'!H55+Parkhaven!H110+Ridgecrest!H60+Riverest!H54+'Riverview MHRV LLC'!H57+Rosehaven!H122+'Sanctuary RV Resort'!H234+'Shadow Mountain MHC'!H41+Springhaven!H41+'Star Valley Ranch'!H52+Sunhaven!H48+'Sunny Grove'!H47+Tarponaire!H51+'Val Vista RV Resort'!H80+'Webster RV Resort LLC'!H67+'Wekiva Falls RV Resort'!H91+'West Jupiter RV Resort'!H48+'Western Way RV Resort LLC'!H140</f>
      </c>
      <c r="I20" s="22">
        <f>'Agave Village (ag011)'!I73+'Agave Village LLC'!I62+'Brookhaven Estates (bo260)'!I55+'Brookhaven RV Resort'!I51+'Courtly Manor'!I44+'Courtly Manor Park (co669)'!I45+'Cross Creek RV'!I140+'Cross Creek RV Resort (cr994)'!I146+'El Rio De Oro (el289)'!I42+'El Rio del Oro'!I45+'Endless Summer RV Resort'!I63+'Endless Summer RV Resort (en079'!I55+Evergreen!I42+'Far Horizons'!I42+'Far Horizons (fa105)'!I42+'Floridian Sandalwood (fl356)'!I39+'Floridian Sandalwood MHC'!I43+Glenhaven!I47+'Glenhaven Estates (gl317)'!I47+'Harbor Lights (ha310)'!I48+'Harbor Lights MHC'!I46+'Harvest Gate'!I56+'Hunter Run RV Estates'!I97+'Hunters Run RV Estates (hu116)'!I210+'Jade Isle (ja068)'!I39+'Jade Isle MHC'!I41+'Kakusha Estates (ka045)'!I45+'Kakusha MHC'!I44+'Lakeside Village'!I50+'Lakeside Village (la482)'!I52+'Lakewood Village (la481)'!I111+'Lakewood Village MHC LLC'!I131+'Maple Corner'!I64+'Maple Corner (ma490)'!I54+'Marlboro Court (ma489)'!I42+'Marlboro Court MHC LLC'!I42+'May Manor'!I146+'May Manor (ma488)'!I78+'Mobiland by the Sea (mo320)'!I47+'Mobiland By The Sea MHC'!I48+'Moss Landing'!I75+'Moss Landing (mo321)'!I67+'Oak Springs'!I79+'Oak Springs MHC (oa150)'!I55+'Orange Manor East'!I44+'Orange Manor East (or125)'!I47+'Pacific Manor'!I53+'Pacific Manor (pa602)'!I55+Parkhaven!I110+Ridgecrest!I60+Riverest!I54+'Riverview MHRV LLC'!I57+Rosehaven!I122+'Sanctuary RV Resort'!I234+'Shadow Mountain MHC'!I41+Springhaven!I41+'Star Valley Ranch'!I52+Sunhaven!I48+'Sunny Grove'!I47+Tarponaire!I51+'Val Vista RV Resort'!I80+'Webster RV Resort LLC'!I67+'Wekiva Falls RV Resort'!I91+'West Jupiter RV Resort'!I48+'Western Way RV Resort LLC'!I140</f>
      </c>
      <c r="J20" s="22">
        <f>'Agave Village (ag011)'!J73+'Agave Village LLC'!J62+'Brookhaven Estates (bo260)'!J55+'Brookhaven RV Resort'!J51+'Courtly Manor'!J44+'Courtly Manor Park (co669)'!J45+'Cross Creek RV'!J140+'Cross Creek RV Resort (cr994)'!J146+'El Rio De Oro (el289)'!J42+'El Rio del Oro'!J45+'Endless Summer RV Resort'!J63+'Endless Summer RV Resort (en079'!J55+Evergreen!J42+'Far Horizons'!J42+'Far Horizons (fa105)'!J42+'Floridian Sandalwood (fl356)'!J39+'Floridian Sandalwood MHC'!J43+Glenhaven!J47+'Glenhaven Estates (gl317)'!J47+'Harbor Lights (ha310)'!J48+'Harbor Lights MHC'!J46+'Harvest Gate'!J56+'Hunter Run RV Estates'!J97+'Hunters Run RV Estates (hu116)'!J210+'Jade Isle (ja068)'!J39+'Jade Isle MHC'!J41+'Kakusha Estates (ka045)'!J45+'Kakusha MHC'!J44+'Lakeside Village'!J50+'Lakeside Village (la482)'!J52+'Lakewood Village (la481)'!J111+'Lakewood Village MHC LLC'!J131+'Maple Corner'!J64+'Maple Corner (ma490)'!J54+'Marlboro Court (ma489)'!J42+'Marlboro Court MHC LLC'!J42+'May Manor'!J146+'May Manor (ma488)'!J78+'Mobiland by the Sea (mo320)'!J47+'Mobiland By The Sea MHC'!J48+'Moss Landing'!J75+'Moss Landing (mo321)'!J67+'Oak Springs'!J79+'Oak Springs MHC (oa150)'!J55+'Orange Manor East'!J44+'Orange Manor East (or125)'!J47+'Pacific Manor'!J53+'Pacific Manor (pa602)'!J55+Parkhaven!J110+Ridgecrest!J60+Riverest!J54+'Riverview MHRV LLC'!J57+Rosehaven!J122+'Sanctuary RV Resort'!J234+'Shadow Mountain MHC'!J41+Springhaven!J41+'Star Valley Ranch'!J52+Sunhaven!J48+'Sunny Grove'!J47+Tarponaire!J51+'Val Vista RV Resort'!J80+'Webster RV Resort LLC'!J67+'Wekiva Falls RV Resort'!J91+'West Jupiter RV Resort'!J48+'Western Way RV Resort LLC'!J140</f>
      </c>
      <c r="K20" s="22">
        <f>'Agave Village (ag011)'!K73+'Agave Village LLC'!K62+'Brookhaven Estates (bo260)'!K55+'Brookhaven RV Resort'!K51+'Courtly Manor'!K44+'Courtly Manor Park (co669)'!K45+'Cross Creek RV'!K140+'Cross Creek RV Resort (cr994)'!K146+'El Rio De Oro (el289)'!K42+'El Rio del Oro'!K45+'Endless Summer RV Resort'!K63+'Endless Summer RV Resort (en079'!K55+Evergreen!K42+'Far Horizons'!K42+'Far Horizons (fa105)'!K42+'Floridian Sandalwood (fl356)'!K39+'Floridian Sandalwood MHC'!K43+Glenhaven!K47+'Glenhaven Estates (gl317)'!K47+'Harbor Lights (ha310)'!K48+'Harbor Lights MHC'!K46+'Harvest Gate'!K56+'Hunter Run RV Estates'!K97+'Hunters Run RV Estates (hu116)'!K210+'Jade Isle (ja068)'!K39+'Jade Isle MHC'!K41+'Kakusha Estates (ka045)'!K45+'Kakusha MHC'!K44+'Lakeside Village'!K50+'Lakeside Village (la482)'!K52+'Lakewood Village (la481)'!K111+'Lakewood Village MHC LLC'!K131+'Maple Corner'!K64+'Maple Corner (ma490)'!K54+'Marlboro Court (ma489)'!K42+'Marlboro Court MHC LLC'!K42+'May Manor'!K146+'May Manor (ma488)'!K78+'Mobiland by the Sea (mo320)'!K47+'Mobiland By The Sea MHC'!K48+'Moss Landing'!K75+'Moss Landing (mo321)'!K67+'Oak Springs'!K79+'Oak Springs MHC (oa150)'!K55+'Orange Manor East'!K44+'Orange Manor East (or125)'!K47+'Pacific Manor'!K53+'Pacific Manor (pa602)'!K55+Parkhaven!K110+Ridgecrest!K60+Riverest!K54+'Riverview MHRV LLC'!K57+Rosehaven!K122+'Sanctuary RV Resort'!K234+'Shadow Mountain MHC'!K41+Springhaven!K41+'Star Valley Ranch'!K52+Sunhaven!K48+'Sunny Grove'!K47+Tarponaire!K51+'Val Vista RV Resort'!K80+'Webster RV Resort LLC'!K67+'Wekiva Falls RV Resort'!K91+'West Jupiter RV Resort'!K48+'Western Way RV Resort LLC'!K140</f>
      </c>
      <c r="L20" s="22">
        <f>'Agave Village (ag011)'!L73+'Agave Village LLC'!L62+'Brookhaven Estates (bo260)'!L55+'Brookhaven RV Resort'!L51+'Courtly Manor'!L44+'Courtly Manor Park (co669)'!L45+'Cross Creek RV'!L140+'Cross Creek RV Resort (cr994)'!L146+'El Rio De Oro (el289)'!L42+'El Rio del Oro'!L45+'Endless Summer RV Resort'!L63+'Endless Summer RV Resort (en079'!L55+Evergreen!L42+'Far Horizons'!L42+'Far Horizons (fa105)'!L42+'Floridian Sandalwood (fl356)'!L39+'Floridian Sandalwood MHC'!L43+Glenhaven!L47+'Glenhaven Estates (gl317)'!L47+'Harbor Lights (ha310)'!L48+'Harbor Lights MHC'!L46+'Harvest Gate'!L56+'Hunter Run RV Estates'!L97+'Hunters Run RV Estates (hu116)'!L210+'Jade Isle (ja068)'!L39+'Jade Isle MHC'!L41+'Kakusha Estates (ka045)'!L45+'Kakusha MHC'!L44+'Lakeside Village'!L50+'Lakeside Village (la482)'!L52+'Lakewood Village (la481)'!L111+'Lakewood Village MHC LLC'!L131+'Maple Corner'!L64+'Maple Corner (ma490)'!L54+'Marlboro Court (ma489)'!L42+'Marlboro Court MHC LLC'!L42+'May Manor'!L146+'May Manor (ma488)'!L78+'Mobiland by the Sea (mo320)'!L47+'Mobiland By The Sea MHC'!L48+'Moss Landing'!L75+'Moss Landing (mo321)'!L67+'Oak Springs'!L79+'Oak Springs MHC (oa150)'!L55+'Orange Manor East'!L44+'Orange Manor East (or125)'!L47+'Pacific Manor'!L53+'Pacific Manor (pa602)'!L55+Parkhaven!L110+Ridgecrest!L60+Riverest!L54+'Riverview MHRV LLC'!L57+Rosehaven!L122+'Sanctuary RV Resort'!L234+'Shadow Mountain MHC'!L41+Springhaven!L41+'Star Valley Ranch'!L52+Sunhaven!L48+'Sunny Grove'!L47+Tarponaire!L51+'Val Vista RV Resort'!L80+'Webster RV Resort LLC'!L67+'Wekiva Falls RV Resort'!L91+'West Jupiter RV Resort'!L48+'Western Way RV Resort LLC'!L140</f>
      </c>
      <c r="M20" s="22">
        <f>'Agave Village (ag011)'!M73+'Agave Village LLC'!M62+'Brookhaven Estates (bo260)'!M55+'Brookhaven RV Resort'!M51+'Courtly Manor'!M44+'Courtly Manor Park (co669)'!M45+'Cross Creek RV'!M140+'Cross Creek RV Resort (cr994)'!M146+'El Rio De Oro (el289)'!M42+'El Rio del Oro'!M45+'Endless Summer RV Resort'!M63+'Endless Summer RV Resort (en079'!M55+Evergreen!M42+'Far Horizons'!M42+'Far Horizons (fa105)'!M42+'Floridian Sandalwood (fl356)'!M39+'Floridian Sandalwood MHC'!M43+Glenhaven!M47+'Glenhaven Estates (gl317)'!M47+'Harbor Lights (ha310)'!M48+'Harbor Lights MHC'!M46+'Harvest Gate'!M56+'Hunter Run RV Estates'!M97+'Hunters Run RV Estates (hu116)'!M210+'Jade Isle (ja068)'!M39+'Jade Isle MHC'!M41+'Kakusha Estates (ka045)'!M45+'Kakusha MHC'!M44+'Lakeside Village'!M50+'Lakeside Village (la482)'!M52+'Lakewood Village (la481)'!M111+'Lakewood Village MHC LLC'!M131+'Maple Corner'!M64+'Maple Corner (ma490)'!M54+'Marlboro Court (ma489)'!M42+'Marlboro Court MHC LLC'!M42+'May Manor'!M146+'May Manor (ma488)'!M78+'Mobiland by the Sea (mo320)'!M47+'Mobiland By The Sea MHC'!M48+'Moss Landing'!M75+'Moss Landing (mo321)'!M67+'Oak Springs'!M79+'Oak Springs MHC (oa150)'!M55+'Orange Manor East'!M44+'Orange Manor East (or125)'!M47+'Pacific Manor'!M53+'Pacific Manor (pa602)'!M55+Parkhaven!M110+Ridgecrest!M60+Riverest!M54+'Riverview MHRV LLC'!M57+Rosehaven!M122+'Sanctuary RV Resort'!M234+'Shadow Mountain MHC'!M41+Springhaven!M41+'Star Valley Ranch'!M52+Sunhaven!M48+'Sunny Grove'!M47+Tarponaire!M51+'Val Vista RV Resort'!M80+'Webster RV Resort LLC'!M67+'Wekiva Falls RV Resort'!M91+'West Jupiter RV Resort'!M48+'Western Way RV Resort LLC'!M140</f>
      </c>
      <c r="N20" s="22">
        <f>'Agave Village (ag011)'!N73+'Agave Village LLC'!N62+'Brookhaven Estates (bo260)'!N55+'Brookhaven RV Resort'!N51+'Courtly Manor'!N44+'Courtly Manor Park (co669)'!N45+'Cross Creek RV'!N140+'Cross Creek RV Resort (cr994)'!N146+'El Rio De Oro (el289)'!N42+'El Rio del Oro'!N45+'Endless Summer RV Resort'!N63+'Endless Summer RV Resort (en079'!N55+Evergreen!N42+'Far Horizons'!N42+'Far Horizons (fa105)'!N42+'Floridian Sandalwood (fl356)'!N39+'Floridian Sandalwood MHC'!N43+Glenhaven!N47+'Glenhaven Estates (gl317)'!N47+'Harbor Lights (ha310)'!N48+'Harbor Lights MHC'!N46+'Harvest Gate'!N56+'Hunter Run RV Estates'!N97+'Hunters Run RV Estates (hu116)'!N210+'Jade Isle (ja068)'!N39+'Jade Isle MHC'!N41+'Kakusha Estates (ka045)'!N45+'Kakusha MHC'!N44+'Lakeside Village'!N50+'Lakeside Village (la482)'!N52+'Lakewood Village (la481)'!N111+'Lakewood Village MHC LLC'!N131+'Maple Corner'!N64+'Maple Corner (ma490)'!N54+'Marlboro Court (ma489)'!N42+'Marlboro Court MHC LLC'!N42+'May Manor'!N146+'May Manor (ma488)'!N78+'Mobiland by the Sea (mo320)'!N47+'Mobiland By The Sea MHC'!N48+'Moss Landing'!N75+'Moss Landing (mo321)'!N67+'Oak Springs'!N79+'Oak Springs MHC (oa150)'!N55+'Orange Manor East'!N44+'Orange Manor East (or125)'!N47+'Pacific Manor'!N53+'Pacific Manor (pa602)'!N55+Parkhaven!N110+Ridgecrest!N60+Riverest!N54+'Riverview MHRV LLC'!N57+Rosehaven!N122+'Sanctuary RV Resort'!N234+'Shadow Mountain MHC'!N41+Springhaven!N41+'Star Valley Ranch'!N52+Sunhaven!N48+'Sunny Grove'!N47+Tarponaire!N51+'Val Vista RV Resort'!N80+'Webster RV Resort LLC'!N67+'Wekiva Falls RV Resort'!N91+'West Jupiter RV Resort'!N48+'Western Way RV Resort LLC'!N140</f>
      </c>
      <c r="O20" s="22">
        <f>'Agave Village (ag011)'!O73+'Agave Village LLC'!O62+'Brookhaven Estates (bo260)'!O55+'Brookhaven RV Resort'!O51+'Courtly Manor'!O44+'Courtly Manor Park (co669)'!O45+'Cross Creek RV'!O140+'Cross Creek RV Resort (cr994)'!O146+'El Rio De Oro (el289)'!O42+'El Rio del Oro'!O45+'Endless Summer RV Resort'!O63+'Endless Summer RV Resort (en079'!O55+Evergreen!O42+'Far Horizons'!O42+'Far Horizons (fa105)'!O42+'Floridian Sandalwood (fl356)'!O39+'Floridian Sandalwood MHC'!O43+Glenhaven!O47+'Glenhaven Estates (gl317)'!O47+'Harbor Lights (ha310)'!O48+'Harbor Lights MHC'!O46+'Harvest Gate'!O56+'Hunter Run RV Estates'!O97+'Hunters Run RV Estates (hu116)'!O210+'Jade Isle (ja068)'!O39+'Jade Isle MHC'!O41+'Kakusha Estates (ka045)'!O45+'Kakusha MHC'!O44+'Lakeside Village'!O50+'Lakeside Village (la482)'!O52+'Lakewood Village (la481)'!O111+'Lakewood Village MHC LLC'!O131+'Maple Corner'!O64+'Maple Corner (ma490)'!O54+'Marlboro Court (ma489)'!O42+'Marlboro Court MHC LLC'!O42+'May Manor'!O146+'May Manor (ma488)'!O78+'Mobiland by the Sea (mo320)'!O47+'Mobiland By The Sea MHC'!O48+'Moss Landing'!O75+'Moss Landing (mo321)'!O67+'Oak Springs'!O79+'Oak Springs MHC (oa150)'!O55+'Orange Manor East'!O44+'Orange Manor East (or125)'!O47+'Pacific Manor'!O53+'Pacific Manor (pa602)'!O55+Parkhaven!O110+Ridgecrest!O60+Riverest!O54+'Riverview MHRV LLC'!O57+Rosehaven!O122+'Sanctuary RV Resort'!O234+'Shadow Mountain MHC'!O41+Springhaven!O41+'Star Valley Ranch'!O52+Sunhaven!O48+'Sunny Grove'!O47+Tarponaire!O51+'Val Vista RV Resort'!O80+'Webster RV Resort LLC'!O67+'Wekiva Falls RV Resort'!O91+'West Jupiter RV Resort'!O48+'Western Way RV Resort LLC'!O140</f>
      </c>
      <c r="P20" s="22">
        <f>'Agave Village (ag011)'!P73+'Agave Village LLC'!P62+'Brookhaven Estates (bo260)'!P55+'Brookhaven RV Resort'!P51+'Courtly Manor'!P44+'Courtly Manor Park (co669)'!P45+'Cross Creek RV'!P140+'Cross Creek RV Resort (cr994)'!P146+'El Rio De Oro (el289)'!P42+'El Rio del Oro'!P45+'Endless Summer RV Resort'!P63+'Endless Summer RV Resort (en079'!P55+Evergreen!P42+'Far Horizons'!P42+'Far Horizons (fa105)'!P42+'Floridian Sandalwood (fl356)'!P39+'Floridian Sandalwood MHC'!P43+Glenhaven!P47+'Glenhaven Estates (gl317)'!P47+'Harbor Lights (ha310)'!P48+'Harbor Lights MHC'!P46+'Harvest Gate'!P56+'Hunter Run RV Estates'!P97+'Hunters Run RV Estates (hu116)'!P210+'Jade Isle (ja068)'!P39+'Jade Isle MHC'!P41+'Kakusha Estates (ka045)'!P45+'Kakusha MHC'!P44+'Lakeside Village'!P50+'Lakeside Village (la482)'!P52+'Lakewood Village (la481)'!P111+'Lakewood Village MHC LLC'!P131+'Maple Corner'!P64+'Maple Corner (ma490)'!P54+'Marlboro Court (ma489)'!P42+'Marlboro Court MHC LLC'!P42+'May Manor'!P146+'May Manor (ma488)'!P78+'Mobiland by the Sea (mo320)'!P47+'Mobiland By The Sea MHC'!P48+'Moss Landing'!P75+'Moss Landing (mo321)'!P67+'Oak Springs'!P79+'Oak Springs MHC (oa150)'!P55+'Orange Manor East'!P44+'Orange Manor East (or125)'!P47+'Pacific Manor'!P53+'Pacific Manor (pa602)'!P55+Parkhaven!P110+Ridgecrest!P60+Riverest!P54+'Riverview MHRV LLC'!P57+Rosehaven!P122+'Sanctuary RV Resort'!P234+'Shadow Mountain MHC'!P41+Springhaven!P41+'Star Valley Ranch'!P52+Sunhaven!P48+'Sunny Grove'!P47+Tarponaire!P51+'Val Vista RV Resort'!P80+'Webster RV Resort LLC'!P67+'Wekiva Falls RV Resort'!P91+'West Jupiter RV Resort'!P48+'Western Way RV Resort LLC'!P140</f>
      </c>
      <c r="Q20" s="22">
        <f>'Agave Village (ag011)'!Q73+'Agave Village LLC'!Q62+'Brookhaven Estates (bo260)'!Q55+'Brookhaven RV Resort'!Q51+'Courtly Manor'!Q44+'Courtly Manor Park (co669)'!Q45+'Cross Creek RV'!Q140+'Cross Creek RV Resort (cr994)'!Q146+'El Rio De Oro (el289)'!Q42+'El Rio del Oro'!Q45+'Endless Summer RV Resort'!Q63+'Endless Summer RV Resort (en079'!Q55+Evergreen!Q42+'Far Horizons'!Q42+'Far Horizons (fa105)'!Q42+'Floridian Sandalwood (fl356)'!Q39+'Floridian Sandalwood MHC'!Q43+Glenhaven!Q47+'Glenhaven Estates (gl317)'!Q47+'Harbor Lights (ha310)'!Q48+'Harbor Lights MHC'!Q46+'Harvest Gate'!Q56+'Hunter Run RV Estates'!Q97+'Hunters Run RV Estates (hu116)'!Q210+'Jade Isle (ja068)'!Q39+'Jade Isle MHC'!Q41+'Kakusha Estates (ka045)'!Q45+'Kakusha MHC'!Q44+'Lakeside Village'!Q50+'Lakeside Village (la482)'!Q52+'Lakewood Village (la481)'!Q111+'Lakewood Village MHC LLC'!Q131+'Maple Corner'!Q64+'Maple Corner (ma490)'!Q54+'Marlboro Court (ma489)'!Q42+'Marlboro Court MHC LLC'!Q42+'May Manor'!Q146+'May Manor (ma488)'!Q78+'Mobiland by the Sea (mo320)'!Q47+'Mobiland By The Sea MHC'!Q48+'Moss Landing'!Q75+'Moss Landing (mo321)'!Q67+'Oak Springs'!Q79+'Oak Springs MHC (oa150)'!Q55+'Orange Manor East'!Q44+'Orange Manor East (or125)'!Q47+'Pacific Manor'!Q53+'Pacific Manor (pa602)'!Q55+Parkhaven!Q110+Ridgecrest!Q60+Riverest!Q54+'Riverview MHRV LLC'!Q57+Rosehaven!Q122+'Sanctuary RV Resort'!Q234+'Shadow Mountain MHC'!Q41+Springhaven!Q41+'Star Valley Ranch'!Q52+Sunhaven!Q48+'Sunny Grove'!Q47+Tarponaire!Q51+'Val Vista RV Resort'!Q80+'Webster RV Resort LLC'!Q67+'Wekiva Falls RV Resort'!Q91+'West Jupiter RV Resort'!Q48+'Western Way RV Resort LLC'!Q140</f>
      </c>
      <c r="R20" s="22">
        <f>'Agave Village (ag011)'!R73+'Agave Village LLC'!R62+'Brookhaven Estates (bo260)'!R55+'Brookhaven RV Resort'!R51+'Courtly Manor'!R44+'Courtly Manor Park (co669)'!R45+'Cross Creek RV'!R140+'Cross Creek RV Resort (cr994)'!R146+'El Rio De Oro (el289)'!R42+'El Rio del Oro'!R45+'Endless Summer RV Resort'!R63+'Endless Summer RV Resort (en079'!R55+Evergreen!R42+'Far Horizons'!R42+'Far Horizons (fa105)'!R42+'Floridian Sandalwood (fl356)'!R39+'Floridian Sandalwood MHC'!R43+Glenhaven!R47+'Glenhaven Estates (gl317)'!R47+'Harbor Lights (ha310)'!R48+'Harbor Lights MHC'!R46+'Harvest Gate'!R56+'Hunter Run RV Estates'!R97+'Hunters Run RV Estates (hu116)'!R210+'Jade Isle (ja068)'!R39+'Jade Isle MHC'!R41+'Kakusha Estates (ka045)'!R45+'Kakusha MHC'!R44+'Lakeside Village'!R50+'Lakeside Village (la482)'!R52+'Lakewood Village (la481)'!R111+'Lakewood Village MHC LLC'!R131+'Maple Corner'!R64+'Maple Corner (ma490)'!R54+'Marlboro Court (ma489)'!R42+'Marlboro Court MHC LLC'!R42+'May Manor'!R146+'May Manor (ma488)'!R78+'Mobiland by the Sea (mo320)'!R47+'Mobiland By The Sea MHC'!R48+'Moss Landing'!R75+'Moss Landing (mo321)'!R67+'Oak Springs'!R79+'Oak Springs MHC (oa150)'!R55+'Orange Manor East'!R44+'Orange Manor East (or125)'!R47+'Pacific Manor'!R53+'Pacific Manor (pa602)'!R55+Parkhaven!R110+Ridgecrest!R60+Riverest!R54+'Riverview MHRV LLC'!R57+Rosehaven!R122+'Sanctuary RV Resort'!R234+'Shadow Mountain MHC'!R41+Springhaven!R41+'Star Valley Ranch'!R52+Sunhaven!R48+'Sunny Grove'!R47+Tarponaire!R51+'Val Vista RV Resort'!R80+'Webster RV Resort LLC'!R67+'Wekiva Falls RV Resort'!R91+'West Jupiter RV Resort'!R48+'Western Way RV Resort LLC'!R140</f>
      </c>
      <c r="S20" s="22">
        <f>'Agave Village (ag011)'!S73+'Agave Village LLC'!S62+'Brookhaven Estates (bo260)'!S55+'Brookhaven RV Resort'!S51+'Courtly Manor'!S44+'Courtly Manor Park (co669)'!S45+'Cross Creek RV'!S140+'Cross Creek RV Resort (cr994)'!S146+'El Rio De Oro (el289)'!S42+'El Rio del Oro'!S45+'Endless Summer RV Resort'!S63+'Endless Summer RV Resort (en079'!S55+Evergreen!S42+'Far Horizons'!S42+'Far Horizons (fa105)'!S42+'Floridian Sandalwood (fl356)'!S39+'Floridian Sandalwood MHC'!S43+Glenhaven!S47+'Glenhaven Estates (gl317)'!S47+'Harbor Lights (ha310)'!S48+'Harbor Lights MHC'!S46+'Harvest Gate'!S56+'Hunter Run RV Estates'!S97+'Hunters Run RV Estates (hu116)'!S210+'Jade Isle (ja068)'!S39+'Jade Isle MHC'!S41+'Kakusha Estates (ka045)'!S45+'Kakusha MHC'!S44+'Lakeside Village'!S50+'Lakeside Village (la482)'!S52+'Lakewood Village (la481)'!S111+'Lakewood Village MHC LLC'!S131+'Maple Corner'!S64+'Maple Corner (ma490)'!S54+'Marlboro Court (ma489)'!S42+'Marlboro Court MHC LLC'!S42+'May Manor'!S146+'May Manor (ma488)'!S78+'Mobiland by the Sea (mo320)'!S47+'Mobiland By The Sea MHC'!S48+'Moss Landing'!S75+'Moss Landing (mo321)'!S67+'Oak Springs'!S79+'Oak Springs MHC (oa150)'!S55+'Orange Manor East'!S44+'Orange Manor East (or125)'!S47+'Pacific Manor'!S53+'Pacific Manor (pa602)'!S55+Parkhaven!S110+Ridgecrest!S60+Riverest!S54+'Riverview MHRV LLC'!S57+Rosehaven!S122+'Sanctuary RV Resort'!S234+'Shadow Mountain MHC'!S41+Springhaven!S41+'Star Valley Ranch'!S52+Sunhaven!S48+'Sunny Grove'!S47+Tarponaire!S51+'Val Vista RV Resort'!S80+'Webster RV Resort LLC'!S67+'Wekiva Falls RV Resort'!S91+'West Jupiter RV Resort'!S48+'Western Way RV Resort LLC'!S140</f>
      </c>
      <c r="T20" s="22">
        <f>'Agave Village (ag011)'!T73+'Agave Village LLC'!T62+'Brookhaven Estates (bo260)'!T55+'Brookhaven RV Resort'!T51+'Courtly Manor'!T44+'Courtly Manor Park (co669)'!T45+'Cross Creek RV'!T140+'Cross Creek RV Resort (cr994)'!T146+'El Rio De Oro (el289)'!T42+'El Rio del Oro'!T45+'Endless Summer RV Resort'!T63+'Endless Summer RV Resort (en079'!T55+Evergreen!T42+'Far Horizons'!T42+'Far Horizons (fa105)'!T42+'Floridian Sandalwood (fl356)'!T39+'Floridian Sandalwood MHC'!T43+Glenhaven!T47+'Glenhaven Estates (gl317)'!T47+'Harbor Lights (ha310)'!T48+'Harbor Lights MHC'!T46+'Harvest Gate'!T56+'Hunter Run RV Estates'!T97+'Hunters Run RV Estates (hu116)'!T210+'Jade Isle (ja068)'!T39+'Jade Isle MHC'!T41+'Kakusha Estates (ka045)'!T45+'Kakusha MHC'!T44+'Lakeside Village'!T50+'Lakeside Village (la482)'!T52+'Lakewood Village (la481)'!T111+'Lakewood Village MHC LLC'!T131+'Maple Corner'!T64+'Maple Corner (ma490)'!T54+'Marlboro Court (ma489)'!T42+'Marlboro Court MHC LLC'!T42+'May Manor'!T146+'May Manor (ma488)'!T78+'Mobiland by the Sea (mo320)'!T47+'Mobiland By The Sea MHC'!T48+'Moss Landing'!T75+'Moss Landing (mo321)'!T67+'Oak Springs'!T79+'Oak Springs MHC (oa150)'!T55+'Orange Manor East'!T44+'Orange Manor East (or125)'!T47+'Pacific Manor'!T53+'Pacific Manor (pa602)'!T55+Parkhaven!T110+Ridgecrest!T60+Riverest!T54+'Riverview MHRV LLC'!T57+Rosehaven!T122+'Sanctuary RV Resort'!T234+'Shadow Mountain MHC'!T41+Springhaven!T41+'Star Valley Ranch'!T52+Sunhaven!T48+'Sunny Grove'!T47+Tarponaire!T51+'Val Vista RV Resort'!T80+'Webster RV Resort LLC'!T67+'Wekiva Falls RV Resort'!T91+'West Jupiter RV Resort'!T48+'Western Way RV Resort LLC'!T140</f>
      </c>
      <c r="U20" s="22">
        <f>'Agave Village (ag011)'!U73+'Agave Village LLC'!U62+'Brookhaven Estates (bo260)'!U55+'Brookhaven RV Resort'!U51+'Courtly Manor'!U44+'Courtly Manor Park (co669)'!U45+'Cross Creek RV'!U140+'Cross Creek RV Resort (cr994)'!U146+'El Rio De Oro (el289)'!U42+'El Rio del Oro'!U45+'Endless Summer RV Resort'!U63+'Endless Summer RV Resort (en079'!U55+Evergreen!U42+'Far Horizons'!U42+'Far Horizons (fa105)'!U42+'Floridian Sandalwood (fl356)'!U39+'Floridian Sandalwood MHC'!U43+Glenhaven!U47+'Glenhaven Estates (gl317)'!U47+'Harbor Lights (ha310)'!U48+'Harbor Lights MHC'!U46+'Harvest Gate'!U56+'Hunter Run RV Estates'!U97+'Hunters Run RV Estates (hu116)'!U210+'Jade Isle (ja068)'!U39+'Jade Isle MHC'!U41+'Kakusha Estates (ka045)'!U45+'Kakusha MHC'!U44+'Lakeside Village'!U50+'Lakeside Village (la482)'!U52+'Lakewood Village (la481)'!U111+'Lakewood Village MHC LLC'!U131+'Maple Corner'!U64+'Maple Corner (ma490)'!U54+'Marlboro Court (ma489)'!U42+'Marlboro Court MHC LLC'!U42+'May Manor'!U146+'May Manor (ma488)'!U78+'Mobiland by the Sea (mo320)'!U47+'Mobiland By The Sea MHC'!U48+'Moss Landing'!U75+'Moss Landing (mo321)'!U67+'Oak Springs'!U79+'Oak Springs MHC (oa150)'!U55+'Orange Manor East'!U44+'Orange Manor East (or125)'!U47+'Pacific Manor'!U53+'Pacific Manor (pa602)'!U55+Parkhaven!U110+Ridgecrest!U60+Riverest!U54+'Riverview MHRV LLC'!U57+Rosehaven!U122+'Sanctuary RV Resort'!U234+'Shadow Mountain MHC'!U41+Springhaven!U41+'Star Valley Ranch'!U52+Sunhaven!U48+'Sunny Grove'!U47+Tarponaire!U51+'Val Vista RV Resort'!U80+'Webster RV Resort LLC'!U67+'Wekiva Falls RV Resort'!U91+'West Jupiter RV Resort'!U48+'Western Way RV Resort LLC'!U140</f>
      </c>
      <c r="V20" s="22">
        <f>'Agave Village (ag011)'!V73+'Agave Village LLC'!V62+'Brookhaven Estates (bo260)'!V55+'Brookhaven RV Resort'!V51+'Courtly Manor'!V44+'Courtly Manor Park (co669)'!V45+'Cross Creek RV'!V140+'Cross Creek RV Resort (cr994)'!V146+'El Rio De Oro (el289)'!V42+'El Rio del Oro'!V45+'Endless Summer RV Resort'!V63+'Endless Summer RV Resort (en079'!V55+Evergreen!V42+'Far Horizons'!V42+'Far Horizons (fa105)'!V42+'Floridian Sandalwood (fl356)'!V39+'Floridian Sandalwood MHC'!V43+Glenhaven!V47+'Glenhaven Estates (gl317)'!V47+'Harbor Lights (ha310)'!V48+'Harbor Lights MHC'!V46+'Harvest Gate'!V56+'Hunter Run RV Estates'!V97+'Hunters Run RV Estates (hu116)'!V210+'Jade Isle (ja068)'!V39+'Jade Isle MHC'!V41+'Kakusha Estates (ka045)'!V45+'Kakusha MHC'!V44+'Lakeside Village'!V50+'Lakeside Village (la482)'!V52+'Lakewood Village (la481)'!V111+'Lakewood Village MHC LLC'!V131+'Maple Corner'!V64+'Maple Corner (ma490)'!V54+'Marlboro Court (ma489)'!V42+'Marlboro Court MHC LLC'!V42+'May Manor'!V146+'May Manor (ma488)'!V78+'Mobiland by the Sea (mo320)'!V47+'Mobiland By The Sea MHC'!V48+'Moss Landing'!V75+'Moss Landing (mo321)'!V67+'Oak Springs'!V79+'Oak Springs MHC (oa150)'!V55+'Orange Manor East'!V44+'Orange Manor East (or125)'!V47+'Pacific Manor'!V53+'Pacific Manor (pa602)'!V55+Parkhaven!V110+Ridgecrest!V60+Riverest!V54+'Riverview MHRV LLC'!V57+Rosehaven!V122+'Sanctuary RV Resort'!V234+'Shadow Mountain MHC'!V41+Springhaven!V41+'Star Valley Ranch'!V52+Sunhaven!V48+'Sunny Grove'!V47+Tarponaire!V51+'Val Vista RV Resort'!V80+'Webster RV Resort LLC'!V67+'Wekiva Falls RV Resort'!V91+'West Jupiter RV Resort'!V48+'Western Way RV Resort LLC'!V140</f>
      </c>
      <c r="W20" s="22">
        <f>'Agave Village (ag011)'!W73+'Agave Village LLC'!W62+'Brookhaven Estates (bo260)'!W55+'Brookhaven RV Resort'!W51+'Courtly Manor'!W44+'Courtly Manor Park (co669)'!W45+'Cross Creek RV'!W140+'Cross Creek RV Resort (cr994)'!W146+'El Rio De Oro (el289)'!W42+'El Rio del Oro'!W45+'Endless Summer RV Resort'!W63+'Endless Summer RV Resort (en079'!W55+Evergreen!W42+'Far Horizons'!W42+'Far Horizons (fa105)'!W42+'Floridian Sandalwood (fl356)'!W39+'Floridian Sandalwood MHC'!W43+Glenhaven!W47+'Glenhaven Estates (gl317)'!W47+'Harbor Lights (ha310)'!W48+'Harbor Lights MHC'!W46+'Harvest Gate'!W56+'Hunter Run RV Estates'!W97+'Hunters Run RV Estates (hu116)'!W210+'Jade Isle (ja068)'!W39+'Jade Isle MHC'!W41+'Kakusha Estates (ka045)'!W45+'Kakusha MHC'!W44+'Lakeside Village'!W50+'Lakeside Village (la482)'!W52+'Lakewood Village (la481)'!W111+'Lakewood Village MHC LLC'!W131+'Maple Corner'!W64+'Maple Corner (ma490)'!W54+'Marlboro Court (ma489)'!W42+'Marlboro Court MHC LLC'!W42+'May Manor'!W146+'May Manor (ma488)'!W78+'Mobiland by the Sea (mo320)'!W47+'Mobiland By The Sea MHC'!W48+'Moss Landing'!W75+'Moss Landing (mo321)'!W67+'Oak Springs'!W79+'Oak Springs MHC (oa150)'!W55+'Orange Manor East'!W44+'Orange Manor East (or125)'!W47+'Pacific Manor'!W53+'Pacific Manor (pa602)'!W55+Parkhaven!W110+Ridgecrest!W60+Riverest!W54+'Riverview MHRV LLC'!W57+Rosehaven!W122+'Sanctuary RV Resort'!W234+'Shadow Mountain MHC'!W41+Springhaven!W41+'Star Valley Ranch'!W52+Sunhaven!W48+'Sunny Grove'!W47+Tarponaire!W51+'Val Vista RV Resort'!W80+'Webster RV Resort LLC'!W67+'Wekiva Falls RV Resort'!W91+'West Jupiter RV Resort'!W48+'Western Way RV Resort LLC'!W140</f>
      </c>
      <c r="X20" s="22">
        <f>'Agave Village (ag011)'!X73+'Agave Village LLC'!X62+'Brookhaven Estates (bo260)'!X55+'Brookhaven RV Resort'!X51+'Courtly Manor'!X44+'Courtly Manor Park (co669)'!X45+'Cross Creek RV'!X140+'Cross Creek RV Resort (cr994)'!X146+'El Rio De Oro (el289)'!X42+'El Rio del Oro'!X45+'Endless Summer RV Resort'!X63+'Endless Summer RV Resort (en079'!X55+Evergreen!X42+'Far Horizons'!X42+'Far Horizons (fa105)'!X42+'Floridian Sandalwood (fl356)'!X39+'Floridian Sandalwood MHC'!X43+Glenhaven!X47+'Glenhaven Estates (gl317)'!X47+'Harbor Lights (ha310)'!X48+'Harbor Lights MHC'!X46+'Harvest Gate'!X56+'Hunter Run RV Estates'!X97+'Hunters Run RV Estates (hu116)'!X210+'Jade Isle (ja068)'!X39+'Jade Isle MHC'!X41+'Kakusha Estates (ka045)'!X45+'Kakusha MHC'!X44+'Lakeside Village'!X50+'Lakeside Village (la482)'!X52+'Lakewood Village (la481)'!X111+'Lakewood Village MHC LLC'!X131+'Maple Corner'!X64+'Maple Corner (ma490)'!X54+'Marlboro Court (ma489)'!X42+'Marlboro Court MHC LLC'!X42+'May Manor'!X146+'May Manor (ma488)'!X78+'Mobiland by the Sea (mo320)'!X47+'Mobiland By The Sea MHC'!X48+'Moss Landing'!X75+'Moss Landing (mo321)'!X67+'Oak Springs'!X79+'Oak Springs MHC (oa150)'!X55+'Orange Manor East'!X44+'Orange Manor East (or125)'!X47+'Pacific Manor'!X53+'Pacific Manor (pa602)'!X55+Parkhaven!X110+Ridgecrest!X60+Riverest!X54+'Riverview MHRV LLC'!X57+Rosehaven!X122+'Sanctuary RV Resort'!X234+'Shadow Mountain MHC'!X41+Springhaven!X41+'Star Valley Ranch'!X52+Sunhaven!X48+'Sunny Grove'!X47+Tarponaire!X51+'Val Vista RV Resort'!X80+'Webster RV Resort LLC'!X67+'Wekiva Falls RV Resort'!X91+'West Jupiter RV Resort'!X48+'Western Way RV Resort LLC'!X140</f>
      </c>
      <c r="Y20" s="22">
        <f>'Agave Village (ag011)'!Y73+'Agave Village LLC'!Y62+'Brookhaven Estates (bo260)'!Y55+'Brookhaven RV Resort'!Y51+'Courtly Manor'!Y44+'Courtly Manor Park (co669)'!Y45+'Cross Creek RV'!Y140+'Cross Creek RV Resort (cr994)'!Y146+'El Rio De Oro (el289)'!Y42+'El Rio del Oro'!Y45+'Endless Summer RV Resort'!Y63+'Endless Summer RV Resort (en079'!Y55+Evergreen!Y42+'Far Horizons'!Y42+'Far Horizons (fa105)'!Y42+'Floridian Sandalwood (fl356)'!Y39+'Floridian Sandalwood MHC'!Y43+Glenhaven!Y47+'Glenhaven Estates (gl317)'!Y47+'Harbor Lights (ha310)'!Y48+'Harbor Lights MHC'!Y46+'Harvest Gate'!Y56+'Hunter Run RV Estates'!Y97+'Hunters Run RV Estates (hu116)'!Y210+'Jade Isle (ja068)'!Y39+'Jade Isle MHC'!Y41+'Kakusha Estates (ka045)'!Y45+'Kakusha MHC'!Y44+'Lakeside Village'!Y50+'Lakeside Village (la482)'!Y52+'Lakewood Village (la481)'!Y111+'Lakewood Village MHC LLC'!Y131+'Maple Corner'!Y64+'Maple Corner (ma490)'!Y54+'Marlboro Court (ma489)'!Y42+'Marlboro Court MHC LLC'!Y42+'May Manor'!Y146+'May Manor (ma488)'!Y78+'Mobiland by the Sea (mo320)'!Y47+'Mobiland By The Sea MHC'!Y48+'Moss Landing'!Y75+'Moss Landing (mo321)'!Y67+'Oak Springs'!Y79+'Oak Springs MHC (oa150)'!Y55+'Orange Manor East'!Y44+'Orange Manor East (or125)'!Y47+'Pacific Manor'!Y53+'Pacific Manor (pa602)'!Y55+Parkhaven!Y110+Ridgecrest!Y60+Riverest!Y54+'Riverview MHRV LLC'!Y57+Rosehaven!Y122+'Sanctuary RV Resort'!Y234+'Shadow Mountain MHC'!Y41+Springhaven!Y41+'Star Valley Ranch'!Y52+Sunhaven!Y48+'Sunny Grove'!Y47+Tarponaire!Y51+'Val Vista RV Resort'!Y80+'Webster RV Resort LLC'!Y67+'Wekiva Falls RV Resort'!Y91+'West Jupiter RV Resort'!Y48+'Western Way RV Resort LLC'!Y140</f>
      </c>
      <c r="Z20" s="22">
        <f>'Agave Village (ag011)'!Z73+'Agave Village LLC'!Z62+'Brookhaven Estates (bo260)'!Z55+'Brookhaven RV Resort'!Z51+'Courtly Manor'!Z44+'Courtly Manor Park (co669)'!Z45+'Cross Creek RV'!Z140+'Cross Creek RV Resort (cr994)'!Z146+'El Rio De Oro (el289)'!Z42+'El Rio del Oro'!Z45+'Endless Summer RV Resort'!Z63+'Endless Summer RV Resort (en079'!Z55+Evergreen!Z42+'Far Horizons'!Z42+'Far Horizons (fa105)'!Z42+'Floridian Sandalwood (fl356)'!Z39+'Floridian Sandalwood MHC'!Z43+Glenhaven!Z47+'Glenhaven Estates (gl317)'!Z47+'Harbor Lights (ha310)'!Z48+'Harbor Lights MHC'!Z46+'Harvest Gate'!Z56+'Hunter Run RV Estates'!Z97+'Hunters Run RV Estates (hu116)'!Z210+'Jade Isle (ja068)'!Z39+'Jade Isle MHC'!Z41+'Kakusha Estates (ka045)'!Z45+'Kakusha MHC'!Z44+'Lakeside Village'!Z50+'Lakeside Village (la482)'!Z52+'Lakewood Village (la481)'!Z111+'Lakewood Village MHC LLC'!Z131+'Maple Corner'!Z64+'Maple Corner (ma490)'!Z54+'Marlboro Court (ma489)'!Z42+'Marlboro Court MHC LLC'!Z42+'May Manor'!Z146+'May Manor (ma488)'!Z78+'Mobiland by the Sea (mo320)'!Z47+'Mobiland By The Sea MHC'!Z48+'Moss Landing'!Z75+'Moss Landing (mo321)'!Z67+'Oak Springs'!Z79+'Oak Springs MHC (oa150)'!Z55+'Orange Manor East'!Z44+'Orange Manor East (or125)'!Z47+'Pacific Manor'!Z53+'Pacific Manor (pa602)'!Z55+Parkhaven!Z110+Ridgecrest!Z60+Riverest!Z54+'Riverview MHRV LLC'!Z57+Rosehaven!Z122+'Sanctuary RV Resort'!Z234+'Shadow Mountain MHC'!Z41+Springhaven!Z41+'Star Valley Ranch'!Z52+Sunhaven!Z48+'Sunny Grove'!Z47+Tarponaire!Z51+'Val Vista RV Resort'!Z80+'Webster RV Resort LLC'!Z67+'Wekiva Falls RV Resort'!Z91+'West Jupiter RV Resort'!Z48+'Western Way RV Resort LLC'!Z140</f>
      </c>
      <c r="AA20" s="22">
        <f>'Agave Village (ag011)'!AA73+'Agave Village LLC'!AA62+'Brookhaven Estates (bo260)'!AA55+'Brookhaven RV Resort'!AA51+'Courtly Manor'!AA44+'Courtly Manor Park (co669)'!AA45+'Cross Creek RV'!AA140+'Cross Creek RV Resort (cr994)'!AA146+'El Rio De Oro (el289)'!AA42+'El Rio del Oro'!AA45+'Endless Summer RV Resort'!AA63+'Endless Summer RV Resort (en079'!AA55+Evergreen!AA42+'Far Horizons'!AA42+'Far Horizons (fa105)'!AA42+'Floridian Sandalwood (fl356)'!AA39+'Floridian Sandalwood MHC'!AA43+Glenhaven!AA47+'Glenhaven Estates (gl317)'!AA47+'Harbor Lights (ha310)'!AA48+'Harbor Lights MHC'!AA46+'Harvest Gate'!AA56+'Hunter Run RV Estates'!AA97+'Hunters Run RV Estates (hu116)'!AA210+'Jade Isle (ja068)'!AA39+'Jade Isle MHC'!AA41+'Kakusha Estates (ka045)'!AA45+'Kakusha MHC'!AA44+'Lakeside Village'!AA50+'Lakeside Village (la482)'!AA52+'Lakewood Village (la481)'!AA111+'Lakewood Village MHC LLC'!AA131+'Maple Corner'!AA64+'Maple Corner (ma490)'!AA54+'Marlboro Court (ma489)'!AA42+'Marlboro Court MHC LLC'!AA42+'May Manor'!AA146+'May Manor (ma488)'!AA78+'Mobiland by the Sea (mo320)'!AA47+'Mobiland By The Sea MHC'!AA48+'Moss Landing'!AA75+'Moss Landing (mo321)'!AA67+'Oak Springs'!AA79+'Oak Springs MHC (oa150)'!AA55+'Orange Manor East'!AA44+'Orange Manor East (or125)'!AA47+'Pacific Manor'!AA53+'Pacific Manor (pa602)'!AA55+Parkhaven!AA110+Ridgecrest!AA60+Riverest!AA54+'Riverview MHRV LLC'!AA57+Rosehaven!AA122+'Sanctuary RV Resort'!AA234+'Shadow Mountain MHC'!AA41+Springhaven!AA41+'Star Valley Ranch'!AA52+Sunhaven!AA48+'Sunny Grove'!AA47+Tarponaire!AA51+'Val Vista RV Resort'!AA80+'Webster RV Resort LLC'!AA67+'Wekiva Falls RV Resort'!AA91+'West Jupiter RV Resort'!AA48+'Western Way RV Resort LLC'!AA140</f>
      </c>
      <c r="AB20" s="22">
        <f>'Agave Village (ag011)'!AB73+'Agave Village LLC'!AB62+'Brookhaven Estates (bo260)'!AB55+'Brookhaven RV Resort'!AB51+'Courtly Manor'!AB44+'Courtly Manor Park (co669)'!AB45+'Cross Creek RV'!AB140+'Cross Creek RV Resort (cr994)'!AB146+'El Rio De Oro (el289)'!AB42+'El Rio del Oro'!AB45+'Endless Summer RV Resort'!AB63+'Endless Summer RV Resort (en079'!AB55+Evergreen!AB42+'Far Horizons'!AB42+'Far Horizons (fa105)'!AB42+'Floridian Sandalwood (fl356)'!AB39+'Floridian Sandalwood MHC'!AB43+Glenhaven!AB47+'Glenhaven Estates (gl317)'!AB47+'Harbor Lights (ha310)'!AB48+'Harbor Lights MHC'!AB46+'Harvest Gate'!AB56+'Hunter Run RV Estates'!AB97+'Hunters Run RV Estates (hu116)'!AB210+'Jade Isle (ja068)'!AB39+'Jade Isle MHC'!AB41+'Kakusha Estates (ka045)'!AB45+'Kakusha MHC'!AB44+'Lakeside Village'!AB50+'Lakeside Village (la482)'!AB52+'Lakewood Village (la481)'!AB111+'Lakewood Village MHC LLC'!AB131+'Maple Corner'!AB64+'Maple Corner (ma490)'!AB54+'Marlboro Court (ma489)'!AB42+'Marlboro Court MHC LLC'!AB42+'May Manor'!AB146+'May Manor (ma488)'!AB78+'Mobiland by the Sea (mo320)'!AB47+'Mobiland By The Sea MHC'!AB48+'Moss Landing'!AB75+'Moss Landing (mo321)'!AB67+'Oak Springs'!AB79+'Oak Springs MHC (oa150)'!AB55+'Orange Manor East'!AB44+'Orange Manor East (or125)'!AB47+'Pacific Manor'!AB53+'Pacific Manor (pa602)'!AB55+Parkhaven!AB110+Ridgecrest!AB60+Riverest!AB54+'Riverview MHRV LLC'!AB57+Rosehaven!AB122+'Sanctuary RV Resort'!AB234+'Shadow Mountain MHC'!AB41+Springhaven!AB41+'Star Valley Ranch'!AB52+Sunhaven!AB48+'Sunny Grove'!AB47+Tarponaire!AB51+'Val Vista RV Resort'!AB80+'Webster RV Resort LLC'!AB67+'Wekiva Falls RV Resort'!AB91+'West Jupiter RV Resort'!AB48+'Western Way RV Resort LLC'!AB140</f>
      </c>
      <c r="AC20" s="22">
        <f>'Agave Village (ag011)'!AC73+'Agave Village LLC'!AC62+'Brookhaven Estates (bo260)'!AC55+'Brookhaven RV Resort'!AC51+'Courtly Manor'!AC44+'Courtly Manor Park (co669)'!AC45+'Cross Creek RV'!AC140+'Cross Creek RV Resort (cr994)'!AC146+'El Rio De Oro (el289)'!AC42+'El Rio del Oro'!AC45+'Endless Summer RV Resort'!AC63+'Endless Summer RV Resort (en079'!AC55+Evergreen!AC42+'Far Horizons'!AC42+'Far Horizons (fa105)'!AC42+'Floridian Sandalwood (fl356)'!AC39+'Floridian Sandalwood MHC'!AC43+Glenhaven!AC47+'Glenhaven Estates (gl317)'!AC47+'Harbor Lights (ha310)'!AC48+'Harbor Lights MHC'!AC46+'Harvest Gate'!AC56+'Hunter Run RV Estates'!AC97+'Hunters Run RV Estates (hu116)'!AC210+'Jade Isle (ja068)'!AC39+'Jade Isle MHC'!AC41+'Kakusha Estates (ka045)'!AC45+'Kakusha MHC'!AC44+'Lakeside Village'!AC50+'Lakeside Village (la482)'!AC52+'Lakewood Village (la481)'!AC111+'Lakewood Village MHC LLC'!AC131+'Maple Corner'!AC64+'Maple Corner (ma490)'!AC54+'Marlboro Court (ma489)'!AC42+'Marlboro Court MHC LLC'!AC42+'May Manor'!AC146+'May Manor (ma488)'!AC78+'Mobiland by the Sea (mo320)'!AC47+'Mobiland By The Sea MHC'!AC48+'Moss Landing'!AC75+'Moss Landing (mo321)'!AC67+'Oak Springs'!AC79+'Oak Springs MHC (oa150)'!AC55+'Orange Manor East'!AC44+'Orange Manor East (or125)'!AC47+'Pacific Manor'!AC53+'Pacific Manor (pa602)'!AC55+Parkhaven!AC110+Ridgecrest!AC60+Riverest!AC54+'Riverview MHRV LLC'!AC57+Rosehaven!AC122+'Sanctuary RV Resort'!AC234+'Shadow Mountain MHC'!AC41+Springhaven!AC41+'Star Valley Ranch'!AC52+Sunhaven!AC48+'Sunny Grove'!AC47+Tarponaire!AC51+'Val Vista RV Resort'!AC80+'Webster RV Resort LLC'!AC67+'Wekiva Falls RV Resort'!AC91+'West Jupiter RV Resort'!AC48+'Western Way RV Resort LLC'!AC140</f>
      </c>
      <c r="AD20" s="22">
        <f>'Agave Village (ag011)'!AD73+'Agave Village LLC'!AD62+'Brookhaven Estates (bo260)'!AD55+'Brookhaven RV Resort'!AD51+'Courtly Manor'!AD44+'Courtly Manor Park (co669)'!AD45+'Cross Creek RV'!AD140+'Cross Creek RV Resort (cr994)'!AD146+'El Rio De Oro (el289)'!AD42+'El Rio del Oro'!AD45+'Endless Summer RV Resort'!AD63+'Endless Summer RV Resort (en079'!AD55+Evergreen!AD42+'Far Horizons'!AD42+'Far Horizons (fa105)'!AD42+'Floridian Sandalwood (fl356)'!AD39+'Floridian Sandalwood MHC'!AD43+Glenhaven!AD47+'Glenhaven Estates (gl317)'!AD47+'Harbor Lights (ha310)'!AD48+'Harbor Lights MHC'!AD46+'Harvest Gate'!AD56+'Hunter Run RV Estates'!AD97+'Hunters Run RV Estates (hu116)'!AD210+'Jade Isle (ja068)'!AD39+'Jade Isle MHC'!AD41+'Kakusha Estates (ka045)'!AD45+'Kakusha MHC'!AD44+'Lakeside Village'!AD50+'Lakeside Village (la482)'!AD52+'Lakewood Village (la481)'!AD111+'Lakewood Village MHC LLC'!AD131+'Maple Corner'!AD64+'Maple Corner (ma490)'!AD54+'Marlboro Court (ma489)'!AD42+'Marlboro Court MHC LLC'!AD42+'May Manor'!AD146+'May Manor (ma488)'!AD78+'Mobiland by the Sea (mo320)'!AD47+'Mobiland By The Sea MHC'!AD48+'Moss Landing'!AD75+'Moss Landing (mo321)'!AD67+'Oak Springs'!AD79+'Oak Springs MHC (oa150)'!AD55+'Orange Manor East'!AD44+'Orange Manor East (or125)'!AD47+'Pacific Manor'!AD53+'Pacific Manor (pa602)'!AD55+Parkhaven!AD110+Ridgecrest!AD60+Riverest!AD54+'Riverview MHRV LLC'!AD57+Rosehaven!AD122+'Sanctuary RV Resort'!AD234+'Shadow Mountain MHC'!AD41+Springhaven!AD41+'Star Valley Ranch'!AD52+Sunhaven!AD48+'Sunny Grove'!AD47+Tarponaire!AD51+'Val Vista RV Resort'!AD80+'Webster RV Resort LLC'!AD67+'Wekiva Falls RV Resort'!AD91+'West Jupiter RV Resort'!AD48+'Western Way RV Resort LLC'!AD140</f>
      </c>
      <c r="AE20" s="22">
        <f>'Agave Village (ag011)'!AE73+'Agave Village LLC'!AE62+'Brookhaven Estates (bo260)'!AE55+'Brookhaven RV Resort'!AE51+'Courtly Manor'!AE44+'Courtly Manor Park (co669)'!AE45+'Cross Creek RV'!AE140+'Cross Creek RV Resort (cr994)'!AE146+'El Rio De Oro (el289)'!AE42+'El Rio del Oro'!AE45+'Endless Summer RV Resort'!AE63+'Endless Summer RV Resort (en079'!AE55+Evergreen!AE42+'Far Horizons'!AE42+'Far Horizons (fa105)'!AE42+'Floridian Sandalwood (fl356)'!AE39+'Floridian Sandalwood MHC'!AE43+Glenhaven!AE47+'Glenhaven Estates (gl317)'!AE47+'Harbor Lights (ha310)'!AE48+'Harbor Lights MHC'!AE46+'Harvest Gate'!AE56+'Hunter Run RV Estates'!AE97+'Hunters Run RV Estates (hu116)'!AE210+'Jade Isle (ja068)'!AE39+'Jade Isle MHC'!AE41+'Kakusha Estates (ka045)'!AE45+'Kakusha MHC'!AE44+'Lakeside Village'!AE50+'Lakeside Village (la482)'!AE52+'Lakewood Village (la481)'!AE111+'Lakewood Village MHC LLC'!AE131+'Maple Corner'!AE64+'Maple Corner (ma490)'!AE54+'Marlboro Court (ma489)'!AE42+'Marlboro Court MHC LLC'!AE42+'May Manor'!AE146+'May Manor (ma488)'!AE78+'Mobiland by the Sea (mo320)'!AE47+'Mobiland By The Sea MHC'!AE48+'Moss Landing'!AE75+'Moss Landing (mo321)'!AE67+'Oak Springs'!AE79+'Oak Springs MHC (oa150)'!AE55+'Orange Manor East'!AE44+'Orange Manor East (or125)'!AE47+'Pacific Manor'!AE53+'Pacific Manor (pa602)'!AE55+Parkhaven!AE110+Ridgecrest!AE60+Riverest!AE54+'Riverview MHRV LLC'!AE57+Rosehaven!AE122+'Sanctuary RV Resort'!AE234+'Shadow Mountain MHC'!AE41+Springhaven!AE41+'Star Valley Ranch'!AE52+Sunhaven!AE48+'Sunny Grove'!AE47+Tarponaire!AE51+'Val Vista RV Resort'!AE80+'Webster RV Resort LLC'!AE67+'Wekiva Falls RV Resort'!AE91+'West Jupiter RV Resort'!AE48+'Western Way RV Resort LLC'!AE140</f>
      </c>
      <c r="AF20" s="22">
        <f>'Agave Village (ag011)'!AF73+'Agave Village LLC'!AF62+'Brookhaven Estates (bo260)'!AF55+'Brookhaven RV Resort'!AF51+'Courtly Manor'!AF44+'Courtly Manor Park (co669)'!AF45+'Cross Creek RV'!AF140+'Cross Creek RV Resort (cr994)'!AF146+'El Rio De Oro (el289)'!AF42+'El Rio del Oro'!AF45+'Endless Summer RV Resort'!AF63+'Endless Summer RV Resort (en079'!AF55+Evergreen!AF42+'Far Horizons'!AF42+'Far Horizons (fa105)'!AF42+'Floridian Sandalwood (fl356)'!AF39+'Floridian Sandalwood MHC'!AF43+Glenhaven!AF47+'Glenhaven Estates (gl317)'!AF47+'Harbor Lights (ha310)'!AF48+'Harbor Lights MHC'!AF46+'Harvest Gate'!AF56+'Hunter Run RV Estates'!AF97+'Hunters Run RV Estates (hu116)'!AF210+'Jade Isle (ja068)'!AF39+'Jade Isle MHC'!AF41+'Kakusha Estates (ka045)'!AF45+'Kakusha MHC'!AF44+'Lakeside Village'!AF50+'Lakeside Village (la482)'!AF52+'Lakewood Village (la481)'!AF111+'Lakewood Village MHC LLC'!AF131+'Maple Corner'!AF64+'Maple Corner (ma490)'!AF54+'Marlboro Court (ma489)'!AF42+'Marlboro Court MHC LLC'!AF42+'May Manor'!AF146+'May Manor (ma488)'!AF78+'Mobiland by the Sea (mo320)'!AF47+'Mobiland By The Sea MHC'!AF48+'Moss Landing'!AF75+'Moss Landing (mo321)'!AF67+'Oak Springs'!AF79+'Oak Springs MHC (oa150)'!AF55+'Orange Manor East'!AF44+'Orange Manor East (or125)'!AF47+'Pacific Manor'!AF53+'Pacific Manor (pa602)'!AF55+Parkhaven!AF110+Ridgecrest!AF60+Riverest!AF54+'Riverview MHRV LLC'!AF57+Rosehaven!AF122+'Sanctuary RV Resort'!AF234+'Shadow Mountain MHC'!AF41+Springhaven!AF41+'Star Valley Ranch'!AF52+Sunhaven!AF48+'Sunny Grove'!AF47+Tarponaire!AF51+'Val Vista RV Resort'!AF80+'Webster RV Resort LLC'!AF67+'Wekiva Falls RV Resort'!AF91+'West Jupiter RV Resort'!AF48+'Western Way RV Resort LLC'!AF140</f>
      </c>
      <c r="AG20" s="22">
        <f>'Agave Village (ag011)'!AG73+'Agave Village LLC'!AG62+'Brookhaven Estates (bo260)'!AG55+'Brookhaven RV Resort'!AG51+'Courtly Manor'!AG44+'Courtly Manor Park (co669)'!AG45+'Cross Creek RV'!AG140+'Cross Creek RV Resort (cr994)'!AG146+'El Rio De Oro (el289)'!AG42+'El Rio del Oro'!AG45+'Endless Summer RV Resort'!AG63+'Endless Summer RV Resort (en079'!AG55+Evergreen!AG42+'Far Horizons'!AG42+'Far Horizons (fa105)'!AG42+'Floridian Sandalwood (fl356)'!AG39+'Floridian Sandalwood MHC'!AG43+Glenhaven!AG47+'Glenhaven Estates (gl317)'!AG47+'Harbor Lights (ha310)'!AG48+'Harbor Lights MHC'!AG46+'Harvest Gate'!AG56+'Hunter Run RV Estates'!AG97+'Hunters Run RV Estates (hu116)'!AG210+'Jade Isle (ja068)'!AG39+'Jade Isle MHC'!AG41+'Kakusha Estates (ka045)'!AG45+'Kakusha MHC'!AG44+'Lakeside Village'!AG50+'Lakeside Village (la482)'!AG52+'Lakewood Village (la481)'!AG111+'Lakewood Village MHC LLC'!AG131+'Maple Corner'!AG64+'Maple Corner (ma490)'!AG54+'Marlboro Court (ma489)'!AG42+'Marlboro Court MHC LLC'!AG42+'May Manor'!AG146+'May Manor (ma488)'!AG78+'Mobiland by the Sea (mo320)'!AG47+'Mobiland By The Sea MHC'!AG48+'Moss Landing'!AG75+'Moss Landing (mo321)'!AG67+'Oak Springs'!AG79+'Oak Springs MHC (oa150)'!AG55+'Orange Manor East'!AG44+'Orange Manor East (or125)'!AG47+'Pacific Manor'!AG53+'Pacific Manor (pa602)'!AG55+Parkhaven!AG110+Ridgecrest!AG60+Riverest!AG54+'Riverview MHRV LLC'!AG57+Rosehaven!AG122+'Sanctuary RV Resort'!AG234+'Shadow Mountain MHC'!AG41+Springhaven!AG41+'Star Valley Ranch'!AG52+Sunhaven!AG48+'Sunny Grove'!AG47+Tarponaire!AG51+'Val Vista RV Resort'!AG80+'Webster RV Resort LLC'!AG67+'Wekiva Falls RV Resort'!AG91+'West Jupiter RV Resort'!AG48+'Western Way RV Resort LLC'!AG140</f>
      </c>
      <c r="AH20" s="22">
        <f>'Agave Village (ag011)'!AH73+'Agave Village LLC'!AH62+'Brookhaven Estates (bo260)'!AH55+'Brookhaven RV Resort'!AH51+'Courtly Manor'!AH44+'Courtly Manor Park (co669)'!AH45+'Cross Creek RV'!AH140+'Cross Creek RV Resort (cr994)'!AH146+'El Rio De Oro (el289)'!AH42+'El Rio del Oro'!AH45+'Endless Summer RV Resort'!AH63+'Endless Summer RV Resort (en079'!AH55+Evergreen!AH42+'Far Horizons'!AH42+'Far Horizons (fa105)'!AH42+'Floridian Sandalwood (fl356)'!AH39+'Floridian Sandalwood MHC'!AH43+Glenhaven!AH47+'Glenhaven Estates (gl317)'!AH47+'Harbor Lights (ha310)'!AH48+'Harbor Lights MHC'!AH46+'Harvest Gate'!AH56+'Hunter Run RV Estates'!AH97+'Hunters Run RV Estates (hu116)'!AH210+'Jade Isle (ja068)'!AH39+'Jade Isle MHC'!AH41+'Kakusha Estates (ka045)'!AH45+'Kakusha MHC'!AH44+'Lakeside Village'!AH50+'Lakeside Village (la482)'!AH52+'Lakewood Village (la481)'!AH111+'Lakewood Village MHC LLC'!AH131+'Maple Corner'!AH64+'Maple Corner (ma490)'!AH54+'Marlboro Court (ma489)'!AH42+'Marlboro Court MHC LLC'!AH42+'May Manor'!AH146+'May Manor (ma488)'!AH78+'Mobiland by the Sea (mo320)'!AH47+'Mobiland By The Sea MHC'!AH48+'Moss Landing'!AH75+'Moss Landing (mo321)'!AH67+'Oak Springs'!AH79+'Oak Springs MHC (oa150)'!AH55+'Orange Manor East'!AH44+'Orange Manor East (or125)'!AH47+'Pacific Manor'!AH53+'Pacific Manor (pa602)'!AH55+Parkhaven!AH110+Ridgecrest!AH60+Riverest!AH54+'Riverview MHRV LLC'!AH57+Rosehaven!AH122+'Sanctuary RV Resort'!AH234+'Shadow Mountain MHC'!AH41+Springhaven!AH41+'Star Valley Ranch'!AH52+Sunhaven!AH48+'Sunny Grove'!AH47+Tarponaire!AH51+'Val Vista RV Resort'!AH80+'Webster RV Resort LLC'!AH67+'Wekiva Falls RV Resort'!AH91+'West Jupiter RV Resort'!AH48+'Western Way RV Resort LLC'!AH140</f>
      </c>
      <c r="AI20" s="22">
        <f>'Agave Village (ag011)'!AI73+'Agave Village LLC'!AI62+'Brookhaven Estates (bo260)'!AI55+'Brookhaven RV Resort'!AI51+'Courtly Manor'!AI44+'Courtly Manor Park (co669)'!AI45+'Cross Creek RV'!AI140+'Cross Creek RV Resort (cr994)'!AI146+'El Rio De Oro (el289)'!AI42+'El Rio del Oro'!AI45+'Endless Summer RV Resort'!AI63+'Endless Summer RV Resort (en079'!AI55+Evergreen!AI42+'Far Horizons'!AI42+'Far Horizons (fa105)'!AI42+'Floridian Sandalwood (fl356)'!AI39+'Floridian Sandalwood MHC'!AI43+Glenhaven!AI47+'Glenhaven Estates (gl317)'!AI47+'Harbor Lights (ha310)'!AI48+'Harbor Lights MHC'!AI46+'Harvest Gate'!AI56+'Hunter Run RV Estates'!AI97+'Hunters Run RV Estates (hu116)'!AI210+'Jade Isle (ja068)'!AI39+'Jade Isle MHC'!AI41+'Kakusha Estates (ka045)'!AI45+'Kakusha MHC'!AI44+'Lakeside Village'!AI50+'Lakeside Village (la482)'!AI52+'Lakewood Village (la481)'!AI111+'Lakewood Village MHC LLC'!AI131+'Maple Corner'!AI64+'Maple Corner (ma490)'!AI54+'Marlboro Court (ma489)'!AI42+'Marlboro Court MHC LLC'!AI42+'May Manor'!AI146+'May Manor (ma488)'!AI78+'Mobiland by the Sea (mo320)'!AI47+'Mobiland By The Sea MHC'!AI48+'Moss Landing'!AI75+'Moss Landing (mo321)'!AI67+'Oak Springs'!AI79+'Oak Springs MHC (oa150)'!AI55+'Orange Manor East'!AI44+'Orange Manor East (or125)'!AI47+'Pacific Manor'!AI53+'Pacific Manor (pa602)'!AI55+Parkhaven!AI110+Ridgecrest!AI60+Riverest!AI54+'Riverview MHRV LLC'!AI57+Rosehaven!AI122+'Sanctuary RV Resort'!AI234+'Shadow Mountain MHC'!AI41+Springhaven!AI41+'Star Valley Ranch'!AI52+Sunhaven!AI48+'Sunny Grove'!AI47+Tarponaire!AI51+'Val Vista RV Resort'!AI80+'Webster RV Resort LLC'!AI67+'Wekiva Falls RV Resort'!AI91+'West Jupiter RV Resort'!AI48+'Western Way RV Resort LLC'!AI140</f>
      </c>
      <c r="AJ20" s="22">
        <f>'Agave Village (ag011)'!AJ73+'Agave Village LLC'!AJ62+'Brookhaven Estates (bo260)'!AJ55+'Brookhaven RV Resort'!AJ51+'Courtly Manor'!AJ44+'Courtly Manor Park (co669)'!AJ45+'Cross Creek RV'!AJ140+'Cross Creek RV Resort (cr994)'!AJ146+'El Rio De Oro (el289)'!AJ42+'El Rio del Oro'!AJ45+'Endless Summer RV Resort'!AJ63+'Endless Summer RV Resort (en079'!AJ55+Evergreen!AJ42+'Far Horizons'!AJ42+'Far Horizons (fa105)'!AJ42+'Floridian Sandalwood (fl356)'!AJ39+'Floridian Sandalwood MHC'!AJ43+Glenhaven!AJ47+'Glenhaven Estates (gl317)'!AJ47+'Harbor Lights (ha310)'!AJ48+'Harbor Lights MHC'!AJ46+'Harvest Gate'!AJ56+'Hunter Run RV Estates'!AJ97+'Hunters Run RV Estates (hu116)'!AJ210+'Jade Isle (ja068)'!AJ39+'Jade Isle MHC'!AJ41+'Kakusha Estates (ka045)'!AJ45+'Kakusha MHC'!AJ44+'Lakeside Village'!AJ50+'Lakeside Village (la482)'!AJ52+'Lakewood Village (la481)'!AJ111+'Lakewood Village MHC LLC'!AJ131+'Maple Corner'!AJ64+'Maple Corner (ma490)'!AJ54+'Marlboro Court (ma489)'!AJ42+'Marlboro Court MHC LLC'!AJ42+'May Manor'!AJ146+'May Manor (ma488)'!AJ78+'Mobiland by the Sea (mo320)'!AJ47+'Mobiland By The Sea MHC'!AJ48+'Moss Landing'!AJ75+'Moss Landing (mo321)'!AJ67+'Oak Springs'!AJ79+'Oak Springs MHC (oa150)'!AJ55+'Orange Manor East'!AJ44+'Orange Manor East (or125)'!AJ47+'Pacific Manor'!AJ53+'Pacific Manor (pa602)'!AJ55+Parkhaven!AJ110+Ridgecrest!AJ60+Riverest!AJ54+'Riverview MHRV LLC'!AJ57+Rosehaven!AJ122+'Sanctuary RV Resort'!AJ234+'Shadow Mountain MHC'!AJ41+Springhaven!AJ41+'Star Valley Ranch'!AJ52+Sunhaven!AJ48+'Sunny Grove'!AJ47+Tarponaire!AJ51+'Val Vista RV Resort'!AJ80+'Webster RV Resort LLC'!AJ67+'Wekiva Falls RV Resort'!AJ91+'West Jupiter RV Resort'!AJ48+'Western Way RV Resort LLC'!AJ140</f>
      </c>
      <c r="AK20" s="23"/>
    </row>
    <row r="22" ht="12.75" customHeight="1" spans="2:37" x14ac:dyDescent="0.25">
      <c r="B22" s="11" t="s">
        <v>47</v>
      </c>
      <c r="C22" s="12"/>
      <c r="D22" s="13"/>
      <c r="E22" s="14" t="s">
        <v>7</v>
      </c>
      <c r="F22" s="14" t="s">
        <v>8</v>
      </c>
      <c r="G22" s="14" t="s">
        <v>9</v>
      </c>
      <c r="H22" s="14" t="s">
        <v>10</v>
      </c>
      <c r="I22" s="14" t="s">
        <v>11</v>
      </c>
      <c r="J22" s="14" t="s">
        <v>12</v>
      </c>
      <c r="K22" s="14" t="s">
        <v>13</v>
      </c>
      <c r="L22" s="14" t="s">
        <v>14</v>
      </c>
      <c r="M22" s="14" t="s">
        <v>15</v>
      </c>
      <c r="N22" s="14" t="s">
        <v>16</v>
      </c>
      <c r="O22" s="14" t="s">
        <v>17</v>
      </c>
      <c r="P22" s="14" t="s">
        <v>18</v>
      </c>
      <c r="Q22" s="14" t="s">
        <v>19</v>
      </c>
      <c r="R22" s="14" t="s">
        <v>20</v>
      </c>
      <c r="S22" s="14" t="s">
        <v>21</v>
      </c>
      <c r="T22" s="14" t="s">
        <v>22</v>
      </c>
      <c r="U22" s="14" t="s">
        <v>23</v>
      </c>
      <c r="V22" s="14" t="s">
        <v>24</v>
      </c>
      <c r="W22" s="14" t="s">
        <v>25</v>
      </c>
      <c r="X22" s="14" t="s">
        <v>26</v>
      </c>
      <c r="Y22" s="14" t="s">
        <v>27</v>
      </c>
      <c r="Z22" s="14" t="s">
        <v>28</v>
      </c>
      <c r="AA22" s="14" t="s">
        <v>29</v>
      </c>
      <c r="AB22" s="14" t="s">
        <v>30</v>
      </c>
      <c r="AC22" s="14" t="s">
        <v>31</v>
      </c>
      <c r="AD22" s="14" t="s">
        <v>32</v>
      </c>
      <c r="AE22" s="14" t="s">
        <v>33</v>
      </c>
      <c r="AF22" s="14" t="s">
        <v>34</v>
      </c>
      <c r="AG22" s="14" t="s">
        <v>35</v>
      </c>
      <c r="AH22" s="14" t="s">
        <v>36</v>
      </c>
      <c r="AI22" s="14" t="s">
        <v>37</v>
      </c>
      <c r="AJ22" s="14" t="s">
        <v>38</v>
      </c>
      <c r="AK22" s="15"/>
    </row>
    <row r="23" ht="12.75" customHeight="1" spans="2:37" x14ac:dyDescent="0.25">
      <c r="B23" s="16" t="s">
        <v>41</v>
      </c>
      <c r="C23" s="17"/>
      <c r="D23" s="17"/>
      <c r="E23" s="24">
        <f>'Agave Village (ag011)'!E76+'Agave Village LLC'!E65+'Brookhaven Estates (bo260)'!E58+'Brookhaven RV Resort'!E54+'Courtly Manor'!E47+'Courtly Manor Park (co669)'!E48+'Cross Creek RV'!E143+'Cross Creek RV Resort (cr994)'!E149+'El Rio De Oro (el289)'!E45+'El Rio del Oro'!E48+'Endless Summer RV Resort'!E66+'Endless Summer RV Resort (en079'!E58+Evergreen!E45+'Far Horizons'!E45+'Far Horizons (fa105)'!E45+'Floridian Sandalwood (fl356)'!E42+'Floridian Sandalwood MHC'!E46+Glenhaven!E50+'Glenhaven Estates (gl317)'!E50+'Harbor Lights (ha310)'!E51+'Harbor Lights MHC'!E49+'Harvest Gate'!E59+'Hunter Run RV Estates'!E100+'Hunters Run RV Estates (hu116)'!E213+'Jade Isle (ja068)'!E42+'Jade Isle MHC'!E44+'Kakusha Estates (ka045)'!E48+'Kakusha MHC'!E47+'Lakeside Village'!E53+'Lakeside Village (la482)'!E55+'Lakewood Village (la481)'!E114+'Lakewood Village MHC LLC'!E134+'Maple Corner'!E67+'Maple Corner (ma490)'!E57+'Marlboro Court (ma489)'!E45+'Marlboro Court MHC LLC'!E45+'May Manor'!E149+'May Manor (ma488)'!E81+'Mobiland by the Sea (mo320)'!E50+'Mobiland By The Sea MHC'!E51+'Moss Landing'!E78+'Moss Landing (mo321)'!E70+'Oak Springs'!E82+'Oak Springs MHC (oa150)'!E58+'Orange Manor East'!E47+'Orange Manor East (or125)'!E50+'Pacific Manor'!E56+'Pacific Manor (pa602)'!E58+Parkhaven!E113+Ridgecrest!E63+Riverest!E57+'Riverview MHRV LLC'!E60+Rosehaven!E125+'Sanctuary RV Resort'!E237+'Shadow Mountain MHC'!E44+Springhaven!E44+'Star Valley Ranch'!E55+Sunhaven!E51+'Sunny Grove'!E50+Tarponaire!E54+'Val Vista RV Resort'!E83+'Webster RV Resort LLC'!E70+'Wekiva Falls RV Resort'!E94+'West Jupiter RV Resort'!E51+'Western Way RV Resort LLC'!E143</f>
      </c>
      <c r="F23" s="24">
        <f>'Agave Village (ag011)'!F76+'Agave Village LLC'!F65+'Brookhaven Estates (bo260)'!F58+'Brookhaven RV Resort'!F54+'Courtly Manor'!F47+'Courtly Manor Park (co669)'!F48+'Cross Creek RV'!F143+'Cross Creek RV Resort (cr994)'!F149+'El Rio De Oro (el289)'!F45+'El Rio del Oro'!F48+'Endless Summer RV Resort'!F66+'Endless Summer RV Resort (en079'!F58+Evergreen!F45+'Far Horizons'!F45+'Far Horizons (fa105)'!F45+'Floridian Sandalwood (fl356)'!F42+'Floridian Sandalwood MHC'!F46+Glenhaven!F50+'Glenhaven Estates (gl317)'!F50+'Harbor Lights (ha310)'!F51+'Harbor Lights MHC'!F49+'Harvest Gate'!F59+'Hunter Run RV Estates'!F100+'Hunters Run RV Estates (hu116)'!F213+'Jade Isle (ja068)'!F42+'Jade Isle MHC'!F44+'Kakusha Estates (ka045)'!F48+'Kakusha MHC'!F47+'Lakeside Village'!F53+'Lakeside Village (la482)'!F55+'Lakewood Village (la481)'!F114+'Lakewood Village MHC LLC'!F134+'Maple Corner'!F67+'Maple Corner (ma490)'!F57+'Marlboro Court (ma489)'!F45+'Marlboro Court MHC LLC'!F45+'May Manor'!F149+'May Manor (ma488)'!F81+'Mobiland by the Sea (mo320)'!F50+'Mobiland By The Sea MHC'!F51+'Moss Landing'!F78+'Moss Landing (mo321)'!F70+'Oak Springs'!F82+'Oak Springs MHC (oa150)'!F58+'Orange Manor East'!F47+'Orange Manor East (or125)'!F50+'Pacific Manor'!F56+'Pacific Manor (pa602)'!F58+Parkhaven!F113+Ridgecrest!F63+Riverest!F57+'Riverview MHRV LLC'!F60+Rosehaven!F125+'Sanctuary RV Resort'!F237+'Shadow Mountain MHC'!F44+Springhaven!F44+'Star Valley Ranch'!F55+Sunhaven!F51+'Sunny Grove'!F50+Tarponaire!F54+'Val Vista RV Resort'!F83+'Webster RV Resort LLC'!F70+'Wekiva Falls RV Resort'!F94+'West Jupiter RV Resort'!F51+'Western Way RV Resort LLC'!F143</f>
      </c>
      <c r="G23" s="24">
        <f>'Agave Village (ag011)'!G76+'Agave Village LLC'!G65+'Brookhaven Estates (bo260)'!G58+'Brookhaven RV Resort'!G54+'Courtly Manor'!G47+'Courtly Manor Park (co669)'!G48+'Cross Creek RV'!G143+'Cross Creek RV Resort (cr994)'!G149+'El Rio De Oro (el289)'!G45+'El Rio del Oro'!G48+'Endless Summer RV Resort'!G66+'Endless Summer RV Resort (en079'!G58+Evergreen!G45+'Far Horizons'!G45+'Far Horizons (fa105)'!G45+'Floridian Sandalwood (fl356)'!G42+'Floridian Sandalwood MHC'!G46+Glenhaven!G50+'Glenhaven Estates (gl317)'!G50+'Harbor Lights (ha310)'!G51+'Harbor Lights MHC'!G49+'Harvest Gate'!G59+'Hunter Run RV Estates'!G100+'Hunters Run RV Estates (hu116)'!G213+'Jade Isle (ja068)'!G42+'Jade Isle MHC'!G44+'Kakusha Estates (ka045)'!G48+'Kakusha MHC'!G47+'Lakeside Village'!G53+'Lakeside Village (la482)'!G55+'Lakewood Village (la481)'!G114+'Lakewood Village MHC LLC'!G134+'Maple Corner'!G67+'Maple Corner (ma490)'!G57+'Marlboro Court (ma489)'!G45+'Marlboro Court MHC LLC'!G45+'May Manor'!G149+'May Manor (ma488)'!G81+'Mobiland by the Sea (mo320)'!G50+'Mobiland By The Sea MHC'!G51+'Moss Landing'!G78+'Moss Landing (mo321)'!G70+'Oak Springs'!G82+'Oak Springs MHC (oa150)'!G58+'Orange Manor East'!G47+'Orange Manor East (or125)'!G50+'Pacific Manor'!G56+'Pacific Manor (pa602)'!G58+Parkhaven!G113+Ridgecrest!G63+Riverest!G57+'Riverview MHRV LLC'!G60+Rosehaven!G125+'Sanctuary RV Resort'!G237+'Shadow Mountain MHC'!G44+Springhaven!G44+'Star Valley Ranch'!G55+Sunhaven!G51+'Sunny Grove'!G50+Tarponaire!G54+'Val Vista RV Resort'!G83+'Webster RV Resort LLC'!G70+'Wekiva Falls RV Resort'!G94+'West Jupiter RV Resort'!G51+'Western Way RV Resort LLC'!G143</f>
      </c>
      <c r="H23" s="24">
        <f>'Agave Village (ag011)'!H76+'Agave Village LLC'!H65+'Brookhaven Estates (bo260)'!H58+'Brookhaven RV Resort'!H54+'Courtly Manor'!H47+'Courtly Manor Park (co669)'!H48+'Cross Creek RV'!H143+'Cross Creek RV Resort (cr994)'!H149+'El Rio De Oro (el289)'!H45+'El Rio del Oro'!H48+'Endless Summer RV Resort'!H66+'Endless Summer RV Resort (en079'!H58+Evergreen!H45+'Far Horizons'!H45+'Far Horizons (fa105)'!H45+'Floridian Sandalwood (fl356)'!H42+'Floridian Sandalwood MHC'!H46+Glenhaven!H50+'Glenhaven Estates (gl317)'!H50+'Harbor Lights (ha310)'!H51+'Harbor Lights MHC'!H49+'Harvest Gate'!H59+'Hunter Run RV Estates'!H100+'Hunters Run RV Estates (hu116)'!H213+'Jade Isle (ja068)'!H42+'Jade Isle MHC'!H44+'Kakusha Estates (ka045)'!H48+'Kakusha MHC'!H47+'Lakeside Village'!H53+'Lakeside Village (la482)'!H55+'Lakewood Village (la481)'!H114+'Lakewood Village MHC LLC'!H134+'Maple Corner'!H67+'Maple Corner (ma490)'!H57+'Marlboro Court (ma489)'!H45+'Marlboro Court MHC LLC'!H45+'May Manor'!H149+'May Manor (ma488)'!H81+'Mobiland by the Sea (mo320)'!H50+'Mobiland By The Sea MHC'!H51+'Moss Landing'!H78+'Moss Landing (mo321)'!H70+'Oak Springs'!H82+'Oak Springs MHC (oa150)'!H58+'Orange Manor East'!H47+'Orange Manor East (or125)'!H50+'Pacific Manor'!H56+'Pacific Manor (pa602)'!H58+Parkhaven!H113+Ridgecrest!H63+Riverest!H57+'Riverview MHRV LLC'!H60+Rosehaven!H125+'Sanctuary RV Resort'!H237+'Shadow Mountain MHC'!H44+Springhaven!H44+'Star Valley Ranch'!H55+Sunhaven!H51+'Sunny Grove'!H50+Tarponaire!H54+'Val Vista RV Resort'!H83+'Webster RV Resort LLC'!H70+'Wekiva Falls RV Resort'!H94+'West Jupiter RV Resort'!H51+'Western Way RV Resort LLC'!H143</f>
      </c>
      <c r="I23" s="24">
        <f>'Agave Village (ag011)'!I76+'Agave Village LLC'!I65+'Brookhaven Estates (bo260)'!I58+'Brookhaven RV Resort'!I54+'Courtly Manor'!I47+'Courtly Manor Park (co669)'!I48+'Cross Creek RV'!I143+'Cross Creek RV Resort (cr994)'!I149+'El Rio De Oro (el289)'!I45+'El Rio del Oro'!I48+'Endless Summer RV Resort'!I66+'Endless Summer RV Resort (en079'!I58+Evergreen!I45+'Far Horizons'!I45+'Far Horizons (fa105)'!I45+'Floridian Sandalwood (fl356)'!I42+'Floridian Sandalwood MHC'!I46+Glenhaven!I50+'Glenhaven Estates (gl317)'!I50+'Harbor Lights (ha310)'!I51+'Harbor Lights MHC'!I49+'Harvest Gate'!I59+'Hunter Run RV Estates'!I100+'Hunters Run RV Estates (hu116)'!I213+'Jade Isle (ja068)'!I42+'Jade Isle MHC'!I44+'Kakusha Estates (ka045)'!I48+'Kakusha MHC'!I47+'Lakeside Village'!I53+'Lakeside Village (la482)'!I55+'Lakewood Village (la481)'!I114+'Lakewood Village MHC LLC'!I134+'Maple Corner'!I67+'Maple Corner (ma490)'!I57+'Marlboro Court (ma489)'!I45+'Marlboro Court MHC LLC'!I45+'May Manor'!I149+'May Manor (ma488)'!I81+'Mobiland by the Sea (mo320)'!I50+'Mobiland By The Sea MHC'!I51+'Moss Landing'!I78+'Moss Landing (mo321)'!I70+'Oak Springs'!I82+'Oak Springs MHC (oa150)'!I58+'Orange Manor East'!I47+'Orange Manor East (or125)'!I50+'Pacific Manor'!I56+'Pacific Manor (pa602)'!I58+Parkhaven!I113+Ridgecrest!I63+Riverest!I57+'Riverview MHRV LLC'!I60+Rosehaven!I125+'Sanctuary RV Resort'!I237+'Shadow Mountain MHC'!I44+Springhaven!I44+'Star Valley Ranch'!I55+Sunhaven!I51+'Sunny Grove'!I50+Tarponaire!I54+'Val Vista RV Resort'!I83+'Webster RV Resort LLC'!I70+'Wekiva Falls RV Resort'!I94+'West Jupiter RV Resort'!I51+'Western Way RV Resort LLC'!I143</f>
      </c>
      <c r="J23" s="24">
        <f>'Agave Village (ag011)'!J76+'Agave Village LLC'!J65+'Brookhaven Estates (bo260)'!J58+'Brookhaven RV Resort'!J54+'Courtly Manor'!J47+'Courtly Manor Park (co669)'!J48+'Cross Creek RV'!J143+'Cross Creek RV Resort (cr994)'!J149+'El Rio De Oro (el289)'!J45+'El Rio del Oro'!J48+'Endless Summer RV Resort'!J66+'Endless Summer RV Resort (en079'!J58+Evergreen!J45+'Far Horizons'!J45+'Far Horizons (fa105)'!J45+'Floridian Sandalwood (fl356)'!J42+'Floridian Sandalwood MHC'!J46+Glenhaven!J50+'Glenhaven Estates (gl317)'!J50+'Harbor Lights (ha310)'!J51+'Harbor Lights MHC'!J49+'Harvest Gate'!J59+'Hunter Run RV Estates'!J100+'Hunters Run RV Estates (hu116)'!J213+'Jade Isle (ja068)'!J42+'Jade Isle MHC'!J44+'Kakusha Estates (ka045)'!J48+'Kakusha MHC'!J47+'Lakeside Village'!J53+'Lakeside Village (la482)'!J55+'Lakewood Village (la481)'!J114+'Lakewood Village MHC LLC'!J134+'Maple Corner'!J67+'Maple Corner (ma490)'!J57+'Marlboro Court (ma489)'!J45+'Marlboro Court MHC LLC'!J45+'May Manor'!J149+'May Manor (ma488)'!J81+'Mobiland by the Sea (mo320)'!J50+'Mobiland By The Sea MHC'!J51+'Moss Landing'!J78+'Moss Landing (mo321)'!J70+'Oak Springs'!J82+'Oak Springs MHC (oa150)'!J58+'Orange Manor East'!J47+'Orange Manor East (or125)'!J50+'Pacific Manor'!J56+'Pacific Manor (pa602)'!J58+Parkhaven!J113+Ridgecrest!J63+Riverest!J57+'Riverview MHRV LLC'!J60+Rosehaven!J125+'Sanctuary RV Resort'!J237+'Shadow Mountain MHC'!J44+Springhaven!J44+'Star Valley Ranch'!J55+Sunhaven!J51+'Sunny Grove'!J50+Tarponaire!J54+'Val Vista RV Resort'!J83+'Webster RV Resort LLC'!J70+'Wekiva Falls RV Resort'!J94+'West Jupiter RV Resort'!J51+'Western Way RV Resort LLC'!J143</f>
      </c>
      <c r="K23" s="24">
        <f>'Agave Village (ag011)'!K76+'Agave Village LLC'!K65+'Brookhaven Estates (bo260)'!K58+'Brookhaven RV Resort'!K54+'Courtly Manor'!K47+'Courtly Manor Park (co669)'!K48+'Cross Creek RV'!K143+'Cross Creek RV Resort (cr994)'!K149+'El Rio De Oro (el289)'!K45+'El Rio del Oro'!K48+'Endless Summer RV Resort'!K66+'Endless Summer RV Resort (en079'!K58+Evergreen!K45+'Far Horizons'!K45+'Far Horizons (fa105)'!K45+'Floridian Sandalwood (fl356)'!K42+'Floridian Sandalwood MHC'!K46+Glenhaven!K50+'Glenhaven Estates (gl317)'!K50+'Harbor Lights (ha310)'!K51+'Harbor Lights MHC'!K49+'Harvest Gate'!K59+'Hunter Run RV Estates'!K100+'Hunters Run RV Estates (hu116)'!K213+'Jade Isle (ja068)'!K42+'Jade Isle MHC'!K44+'Kakusha Estates (ka045)'!K48+'Kakusha MHC'!K47+'Lakeside Village'!K53+'Lakeside Village (la482)'!K55+'Lakewood Village (la481)'!K114+'Lakewood Village MHC LLC'!K134+'Maple Corner'!K67+'Maple Corner (ma490)'!K57+'Marlboro Court (ma489)'!K45+'Marlboro Court MHC LLC'!K45+'May Manor'!K149+'May Manor (ma488)'!K81+'Mobiland by the Sea (mo320)'!K50+'Mobiland By The Sea MHC'!K51+'Moss Landing'!K78+'Moss Landing (mo321)'!K70+'Oak Springs'!K82+'Oak Springs MHC (oa150)'!K58+'Orange Manor East'!K47+'Orange Manor East (or125)'!K50+'Pacific Manor'!K56+'Pacific Manor (pa602)'!K58+Parkhaven!K113+Ridgecrest!K63+Riverest!K57+'Riverview MHRV LLC'!K60+Rosehaven!K125+'Sanctuary RV Resort'!K237+'Shadow Mountain MHC'!K44+Springhaven!K44+'Star Valley Ranch'!K55+Sunhaven!K51+'Sunny Grove'!K50+Tarponaire!K54+'Val Vista RV Resort'!K83+'Webster RV Resort LLC'!K70+'Wekiva Falls RV Resort'!K94+'West Jupiter RV Resort'!K51+'Western Way RV Resort LLC'!K143</f>
      </c>
      <c r="L23" s="24">
        <f>'Agave Village (ag011)'!L76+'Agave Village LLC'!L65+'Brookhaven Estates (bo260)'!L58+'Brookhaven RV Resort'!L54+'Courtly Manor'!L47+'Courtly Manor Park (co669)'!L48+'Cross Creek RV'!L143+'Cross Creek RV Resort (cr994)'!L149+'El Rio De Oro (el289)'!L45+'El Rio del Oro'!L48+'Endless Summer RV Resort'!L66+'Endless Summer RV Resort (en079'!L58+Evergreen!L45+'Far Horizons'!L45+'Far Horizons (fa105)'!L45+'Floridian Sandalwood (fl356)'!L42+'Floridian Sandalwood MHC'!L46+Glenhaven!L50+'Glenhaven Estates (gl317)'!L50+'Harbor Lights (ha310)'!L51+'Harbor Lights MHC'!L49+'Harvest Gate'!L59+'Hunter Run RV Estates'!L100+'Hunters Run RV Estates (hu116)'!L213+'Jade Isle (ja068)'!L42+'Jade Isle MHC'!L44+'Kakusha Estates (ka045)'!L48+'Kakusha MHC'!L47+'Lakeside Village'!L53+'Lakeside Village (la482)'!L55+'Lakewood Village (la481)'!L114+'Lakewood Village MHC LLC'!L134+'Maple Corner'!L67+'Maple Corner (ma490)'!L57+'Marlboro Court (ma489)'!L45+'Marlboro Court MHC LLC'!L45+'May Manor'!L149+'May Manor (ma488)'!L81+'Mobiland by the Sea (mo320)'!L50+'Mobiland By The Sea MHC'!L51+'Moss Landing'!L78+'Moss Landing (mo321)'!L70+'Oak Springs'!L82+'Oak Springs MHC (oa150)'!L58+'Orange Manor East'!L47+'Orange Manor East (or125)'!L50+'Pacific Manor'!L56+'Pacific Manor (pa602)'!L58+Parkhaven!L113+Ridgecrest!L63+Riverest!L57+'Riverview MHRV LLC'!L60+Rosehaven!L125+'Sanctuary RV Resort'!L237+'Shadow Mountain MHC'!L44+Springhaven!L44+'Star Valley Ranch'!L55+Sunhaven!L51+'Sunny Grove'!L50+Tarponaire!L54+'Val Vista RV Resort'!L83+'Webster RV Resort LLC'!L70+'Wekiva Falls RV Resort'!L94+'West Jupiter RV Resort'!L51+'Western Way RV Resort LLC'!L143</f>
      </c>
      <c r="M23" s="24">
        <f>'Agave Village (ag011)'!M76+'Agave Village LLC'!M65+'Brookhaven Estates (bo260)'!M58+'Brookhaven RV Resort'!M54+'Courtly Manor'!M47+'Courtly Manor Park (co669)'!M48+'Cross Creek RV'!M143+'Cross Creek RV Resort (cr994)'!M149+'El Rio De Oro (el289)'!M45+'El Rio del Oro'!M48+'Endless Summer RV Resort'!M66+'Endless Summer RV Resort (en079'!M58+Evergreen!M45+'Far Horizons'!M45+'Far Horizons (fa105)'!M45+'Floridian Sandalwood (fl356)'!M42+'Floridian Sandalwood MHC'!M46+Glenhaven!M50+'Glenhaven Estates (gl317)'!M50+'Harbor Lights (ha310)'!M51+'Harbor Lights MHC'!M49+'Harvest Gate'!M59+'Hunter Run RV Estates'!M100+'Hunters Run RV Estates (hu116)'!M213+'Jade Isle (ja068)'!M42+'Jade Isle MHC'!M44+'Kakusha Estates (ka045)'!M48+'Kakusha MHC'!M47+'Lakeside Village'!M53+'Lakeside Village (la482)'!M55+'Lakewood Village (la481)'!M114+'Lakewood Village MHC LLC'!M134+'Maple Corner'!M67+'Maple Corner (ma490)'!M57+'Marlboro Court (ma489)'!M45+'Marlboro Court MHC LLC'!M45+'May Manor'!M149+'May Manor (ma488)'!M81+'Mobiland by the Sea (mo320)'!M50+'Mobiland By The Sea MHC'!M51+'Moss Landing'!M78+'Moss Landing (mo321)'!M70+'Oak Springs'!M82+'Oak Springs MHC (oa150)'!M58+'Orange Manor East'!M47+'Orange Manor East (or125)'!M50+'Pacific Manor'!M56+'Pacific Manor (pa602)'!M58+Parkhaven!M113+Ridgecrest!M63+Riverest!M57+'Riverview MHRV LLC'!M60+Rosehaven!M125+'Sanctuary RV Resort'!M237+'Shadow Mountain MHC'!M44+Springhaven!M44+'Star Valley Ranch'!M55+Sunhaven!M51+'Sunny Grove'!M50+Tarponaire!M54+'Val Vista RV Resort'!M83+'Webster RV Resort LLC'!M70+'Wekiva Falls RV Resort'!M94+'West Jupiter RV Resort'!M51+'Western Way RV Resort LLC'!M143</f>
      </c>
      <c r="N23" s="24">
        <f>'Agave Village (ag011)'!N76+'Agave Village LLC'!N65+'Brookhaven Estates (bo260)'!N58+'Brookhaven RV Resort'!N54+'Courtly Manor'!N47+'Courtly Manor Park (co669)'!N48+'Cross Creek RV'!N143+'Cross Creek RV Resort (cr994)'!N149+'El Rio De Oro (el289)'!N45+'El Rio del Oro'!N48+'Endless Summer RV Resort'!N66+'Endless Summer RV Resort (en079'!N58+Evergreen!N45+'Far Horizons'!N45+'Far Horizons (fa105)'!N45+'Floridian Sandalwood (fl356)'!N42+'Floridian Sandalwood MHC'!N46+Glenhaven!N50+'Glenhaven Estates (gl317)'!N50+'Harbor Lights (ha310)'!N51+'Harbor Lights MHC'!N49+'Harvest Gate'!N59+'Hunter Run RV Estates'!N100+'Hunters Run RV Estates (hu116)'!N213+'Jade Isle (ja068)'!N42+'Jade Isle MHC'!N44+'Kakusha Estates (ka045)'!N48+'Kakusha MHC'!N47+'Lakeside Village'!N53+'Lakeside Village (la482)'!N55+'Lakewood Village (la481)'!N114+'Lakewood Village MHC LLC'!N134+'Maple Corner'!N67+'Maple Corner (ma490)'!N57+'Marlboro Court (ma489)'!N45+'Marlboro Court MHC LLC'!N45+'May Manor'!N149+'May Manor (ma488)'!N81+'Mobiland by the Sea (mo320)'!N50+'Mobiland By The Sea MHC'!N51+'Moss Landing'!N78+'Moss Landing (mo321)'!N70+'Oak Springs'!N82+'Oak Springs MHC (oa150)'!N58+'Orange Manor East'!N47+'Orange Manor East (or125)'!N50+'Pacific Manor'!N56+'Pacific Manor (pa602)'!N58+Parkhaven!N113+Ridgecrest!N63+Riverest!N57+'Riverview MHRV LLC'!N60+Rosehaven!N125+'Sanctuary RV Resort'!N237+'Shadow Mountain MHC'!N44+Springhaven!N44+'Star Valley Ranch'!N55+Sunhaven!N51+'Sunny Grove'!N50+Tarponaire!N54+'Val Vista RV Resort'!N83+'Webster RV Resort LLC'!N70+'Wekiva Falls RV Resort'!N94+'West Jupiter RV Resort'!N51+'Western Way RV Resort LLC'!N143</f>
      </c>
      <c r="O23" s="24">
        <f>'Agave Village (ag011)'!O76+'Agave Village LLC'!O65+'Brookhaven Estates (bo260)'!O58+'Brookhaven RV Resort'!O54+'Courtly Manor'!O47+'Courtly Manor Park (co669)'!O48+'Cross Creek RV'!O143+'Cross Creek RV Resort (cr994)'!O149+'El Rio De Oro (el289)'!O45+'El Rio del Oro'!O48+'Endless Summer RV Resort'!O66+'Endless Summer RV Resort (en079'!O58+Evergreen!O45+'Far Horizons'!O45+'Far Horizons (fa105)'!O45+'Floridian Sandalwood (fl356)'!O42+'Floridian Sandalwood MHC'!O46+Glenhaven!O50+'Glenhaven Estates (gl317)'!O50+'Harbor Lights (ha310)'!O51+'Harbor Lights MHC'!O49+'Harvest Gate'!O59+'Hunter Run RV Estates'!O100+'Hunters Run RV Estates (hu116)'!O213+'Jade Isle (ja068)'!O42+'Jade Isle MHC'!O44+'Kakusha Estates (ka045)'!O48+'Kakusha MHC'!O47+'Lakeside Village'!O53+'Lakeside Village (la482)'!O55+'Lakewood Village (la481)'!O114+'Lakewood Village MHC LLC'!O134+'Maple Corner'!O67+'Maple Corner (ma490)'!O57+'Marlboro Court (ma489)'!O45+'Marlboro Court MHC LLC'!O45+'May Manor'!O149+'May Manor (ma488)'!O81+'Mobiland by the Sea (mo320)'!O50+'Mobiland By The Sea MHC'!O51+'Moss Landing'!O78+'Moss Landing (mo321)'!O70+'Oak Springs'!O82+'Oak Springs MHC (oa150)'!O58+'Orange Manor East'!O47+'Orange Manor East (or125)'!O50+'Pacific Manor'!O56+'Pacific Manor (pa602)'!O58+Parkhaven!O113+Ridgecrest!O63+Riverest!O57+'Riverview MHRV LLC'!O60+Rosehaven!O125+'Sanctuary RV Resort'!O237+'Shadow Mountain MHC'!O44+Springhaven!O44+'Star Valley Ranch'!O55+Sunhaven!O51+'Sunny Grove'!O50+Tarponaire!O54+'Val Vista RV Resort'!O83+'Webster RV Resort LLC'!O70+'Wekiva Falls RV Resort'!O94+'West Jupiter RV Resort'!O51+'Western Way RV Resort LLC'!O143</f>
      </c>
      <c r="P23" s="24">
        <f>'Agave Village (ag011)'!P76+'Agave Village LLC'!P65+'Brookhaven Estates (bo260)'!P58+'Brookhaven RV Resort'!P54+'Courtly Manor'!P47+'Courtly Manor Park (co669)'!P48+'Cross Creek RV'!P143+'Cross Creek RV Resort (cr994)'!P149+'El Rio De Oro (el289)'!P45+'El Rio del Oro'!P48+'Endless Summer RV Resort'!P66+'Endless Summer RV Resort (en079'!P58+Evergreen!P45+'Far Horizons'!P45+'Far Horizons (fa105)'!P45+'Floridian Sandalwood (fl356)'!P42+'Floridian Sandalwood MHC'!P46+Glenhaven!P50+'Glenhaven Estates (gl317)'!P50+'Harbor Lights (ha310)'!P51+'Harbor Lights MHC'!P49+'Harvest Gate'!P59+'Hunter Run RV Estates'!P100+'Hunters Run RV Estates (hu116)'!P213+'Jade Isle (ja068)'!P42+'Jade Isle MHC'!P44+'Kakusha Estates (ka045)'!P48+'Kakusha MHC'!P47+'Lakeside Village'!P53+'Lakeside Village (la482)'!P55+'Lakewood Village (la481)'!P114+'Lakewood Village MHC LLC'!P134+'Maple Corner'!P67+'Maple Corner (ma490)'!P57+'Marlboro Court (ma489)'!P45+'Marlboro Court MHC LLC'!P45+'May Manor'!P149+'May Manor (ma488)'!P81+'Mobiland by the Sea (mo320)'!P50+'Mobiland By The Sea MHC'!P51+'Moss Landing'!P78+'Moss Landing (mo321)'!P70+'Oak Springs'!P82+'Oak Springs MHC (oa150)'!P58+'Orange Manor East'!P47+'Orange Manor East (or125)'!P50+'Pacific Manor'!P56+'Pacific Manor (pa602)'!P58+Parkhaven!P113+Ridgecrest!P63+Riverest!P57+'Riverview MHRV LLC'!P60+Rosehaven!P125+'Sanctuary RV Resort'!P237+'Shadow Mountain MHC'!P44+Springhaven!P44+'Star Valley Ranch'!P55+Sunhaven!P51+'Sunny Grove'!P50+Tarponaire!P54+'Val Vista RV Resort'!P83+'Webster RV Resort LLC'!P70+'Wekiva Falls RV Resort'!P94+'West Jupiter RV Resort'!P51+'Western Way RV Resort LLC'!P143</f>
      </c>
      <c r="Q23" s="24">
        <f>'Agave Village (ag011)'!Q76+'Agave Village LLC'!Q65+'Brookhaven Estates (bo260)'!Q58+'Brookhaven RV Resort'!Q54+'Courtly Manor'!Q47+'Courtly Manor Park (co669)'!Q48+'Cross Creek RV'!Q143+'Cross Creek RV Resort (cr994)'!Q149+'El Rio De Oro (el289)'!Q45+'El Rio del Oro'!Q48+'Endless Summer RV Resort'!Q66+'Endless Summer RV Resort (en079'!Q58+Evergreen!Q45+'Far Horizons'!Q45+'Far Horizons (fa105)'!Q45+'Floridian Sandalwood (fl356)'!Q42+'Floridian Sandalwood MHC'!Q46+Glenhaven!Q50+'Glenhaven Estates (gl317)'!Q50+'Harbor Lights (ha310)'!Q51+'Harbor Lights MHC'!Q49+'Harvest Gate'!Q59+'Hunter Run RV Estates'!Q100+'Hunters Run RV Estates (hu116)'!Q213+'Jade Isle (ja068)'!Q42+'Jade Isle MHC'!Q44+'Kakusha Estates (ka045)'!Q48+'Kakusha MHC'!Q47+'Lakeside Village'!Q53+'Lakeside Village (la482)'!Q55+'Lakewood Village (la481)'!Q114+'Lakewood Village MHC LLC'!Q134+'Maple Corner'!Q67+'Maple Corner (ma490)'!Q57+'Marlboro Court (ma489)'!Q45+'Marlboro Court MHC LLC'!Q45+'May Manor'!Q149+'May Manor (ma488)'!Q81+'Mobiland by the Sea (mo320)'!Q50+'Mobiland By The Sea MHC'!Q51+'Moss Landing'!Q78+'Moss Landing (mo321)'!Q70+'Oak Springs'!Q82+'Oak Springs MHC (oa150)'!Q58+'Orange Manor East'!Q47+'Orange Manor East (or125)'!Q50+'Pacific Manor'!Q56+'Pacific Manor (pa602)'!Q58+Parkhaven!Q113+Ridgecrest!Q63+Riverest!Q57+'Riverview MHRV LLC'!Q60+Rosehaven!Q125+'Sanctuary RV Resort'!Q237+'Shadow Mountain MHC'!Q44+Springhaven!Q44+'Star Valley Ranch'!Q55+Sunhaven!Q51+'Sunny Grove'!Q50+Tarponaire!Q54+'Val Vista RV Resort'!Q83+'Webster RV Resort LLC'!Q70+'Wekiva Falls RV Resort'!Q94+'West Jupiter RV Resort'!Q51+'Western Way RV Resort LLC'!Q143</f>
      </c>
      <c r="R23" s="24">
        <f>'Agave Village (ag011)'!R76+'Agave Village LLC'!R65+'Brookhaven Estates (bo260)'!R58+'Brookhaven RV Resort'!R54+'Courtly Manor'!R47+'Courtly Manor Park (co669)'!R48+'Cross Creek RV'!R143+'Cross Creek RV Resort (cr994)'!R149+'El Rio De Oro (el289)'!R45+'El Rio del Oro'!R48+'Endless Summer RV Resort'!R66+'Endless Summer RV Resort (en079'!R58+Evergreen!R45+'Far Horizons'!R45+'Far Horizons (fa105)'!R45+'Floridian Sandalwood (fl356)'!R42+'Floridian Sandalwood MHC'!R46+Glenhaven!R50+'Glenhaven Estates (gl317)'!R50+'Harbor Lights (ha310)'!R51+'Harbor Lights MHC'!R49+'Harvest Gate'!R59+'Hunter Run RV Estates'!R100+'Hunters Run RV Estates (hu116)'!R213+'Jade Isle (ja068)'!R42+'Jade Isle MHC'!R44+'Kakusha Estates (ka045)'!R48+'Kakusha MHC'!R47+'Lakeside Village'!R53+'Lakeside Village (la482)'!R55+'Lakewood Village (la481)'!R114+'Lakewood Village MHC LLC'!R134+'Maple Corner'!R67+'Maple Corner (ma490)'!R57+'Marlboro Court (ma489)'!R45+'Marlboro Court MHC LLC'!R45+'May Manor'!R149+'May Manor (ma488)'!R81+'Mobiland by the Sea (mo320)'!R50+'Mobiland By The Sea MHC'!R51+'Moss Landing'!R78+'Moss Landing (mo321)'!R70+'Oak Springs'!R82+'Oak Springs MHC (oa150)'!R58+'Orange Manor East'!R47+'Orange Manor East (or125)'!R50+'Pacific Manor'!R56+'Pacific Manor (pa602)'!R58+Parkhaven!R113+Ridgecrest!R63+Riverest!R57+'Riverview MHRV LLC'!R60+Rosehaven!R125+'Sanctuary RV Resort'!R237+'Shadow Mountain MHC'!R44+Springhaven!R44+'Star Valley Ranch'!R55+Sunhaven!R51+'Sunny Grove'!R50+Tarponaire!R54+'Val Vista RV Resort'!R83+'Webster RV Resort LLC'!R70+'Wekiva Falls RV Resort'!R94+'West Jupiter RV Resort'!R51+'Western Way RV Resort LLC'!R143</f>
      </c>
      <c r="S23" s="24">
        <f>'Agave Village (ag011)'!S76+'Agave Village LLC'!S65+'Brookhaven Estates (bo260)'!S58+'Brookhaven RV Resort'!S54+'Courtly Manor'!S47+'Courtly Manor Park (co669)'!S48+'Cross Creek RV'!S143+'Cross Creek RV Resort (cr994)'!S149+'El Rio De Oro (el289)'!S45+'El Rio del Oro'!S48+'Endless Summer RV Resort'!S66+'Endless Summer RV Resort (en079'!S58+Evergreen!S45+'Far Horizons'!S45+'Far Horizons (fa105)'!S45+'Floridian Sandalwood (fl356)'!S42+'Floridian Sandalwood MHC'!S46+Glenhaven!S50+'Glenhaven Estates (gl317)'!S50+'Harbor Lights (ha310)'!S51+'Harbor Lights MHC'!S49+'Harvest Gate'!S59+'Hunter Run RV Estates'!S100+'Hunters Run RV Estates (hu116)'!S213+'Jade Isle (ja068)'!S42+'Jade Isle MHC'!S44+'Kakusha Estates (ka045)'!S48+'Kakusha MHC'!S47+'Lakeside Village'!S53+'Lakeside Village (la482)'!S55+'Lakewood Village (la481)'!S114+'Lakewood Village MHC LLC'!S134+'Maple Corner'!S67+'Maple Corner (ma490)'!S57+'Marlboro Court (ma489)'!S45+'Marlboro Court MHC LLC'!S45+'May Manor'!S149+'May Manor (ma488)'!S81+'Mobiland by the Sea (mo320)'!S50+'Mobiland By The Sea MHC'!S51+'Moss Landing'!S78+'Moss Landing (mo321)'!S70+'Oak Springs'!S82+'Oak Springs MHC (oa150)'!S58+'Orange Manor East'!S47+'Orange Manor East (or125)'!S50+'Pacific Manor'!S56+'Pacific Manor (pa602)'!S58+Parkhaven!S113+Ridgecrest!S63+Riverest!S57+'Riverview MHRV LLC'!S60+Rosehaven!S125+'Sanctuary RV Resort'!S237+'Shadow Mountain MHC'!S44+Springhaven!S44+'Star Valley Ranch'!S55+Sunhaven!S51+'Sunny Grove'!S50+Tarponaire!S54+'Val Vista RV Resort'!S83+'Webster RV Resort LLC'!S70+'Wekiva Falls RV Resort'!S94+'West Jupiter RV Resort'!S51+'Western Way RV Resort LLC'!S143</f>
      </c>
      <c r="T23" s="24">
        <f>'Agave Village (ag011)'!T76+'Agave Village LLC'!T65+'Brookhaven Estates (bo260)'!T58+'Brookhaven RV Resort'!T54+'Courtly Manor'!T47+'Courtly Manor Park (co669)'!T48+'Cross Creek RV'!T143+'Cross Creek RV Resort (cr994)'!T149+'El Rio De Oro (el289)'!T45+'El Rio del Oro'!T48+'Endless Summer RV Resort'!T66+'Endless Summer RV Resort (en079'!T58+Evergreen!T45+'Far Horizons'!T45+'Far Horizons (fa105)'!T45+'Floridian Sandalwood (fl356)'!T42+'Floridian Sandalwood MHC'!T46+Glenhaven!T50+'Glenhaven Estates (gl317)'!T50+'Harbor Lights (ha310)'!T51+'Harbor Lights MHC'!T49+'Harvest Gate'!T59+'Hunter Run RV Estates'!T100+'Hunters Run RV Estates (hu116)'!T213+'Jade Isle (ja068)'!T42+'Jade Isle MHC'!T44+'Kakusha Estates (ka045)'!T48+'Kakusha MHC'!T47+'Lakeside Village'!T53+'Lakeside Village (la482)'!T55+'Lakewood Village (la481)'!T114+'Lakewood Village MHC LLC'!T134+'Maple Corner'!T67+'Maple Corner (ma490)'!T57+'Marlboro Court (ma489)'!T45+'Marlboro Court MHC LLC'!T45+'May Manor'!T149+'May Manor (ma488)'!T81+'Mobiland by the Sea (mo320)'!T50+'Mobiland By The Sea MHC'!T51+'Moss Landing'!T78+'Moss Landing (mo321)'!T70+'Oak Springs'!T82+'Oak Springs MHC (oa150)'!T58+'Orange Manor East'!T47+'Orange Manor East (or125)'!T50+'Pacific Manor'!T56+'Pacific Manor (pa602)'!T58+Parkhaven!T113+Ridgecrest!T63+Riverest!T57+'Riverview MHRV LLC'!T60+Rosehaven!T125+'Sanctuary RV Resort'!T237+'Shadow Mountain MHC'!T44+Springhaven!T44+'Star Valley Ranch'!T55+Sunhaven!T51+'Sunny Grove'!T50+Tarponaire!T54+'Val Vista RV Resort'!T83+'Webster RV Resort LLC'!T70+'Wekiva Falls RV Resort'!T94+'West Jupiter RV Resort'!T51+'Western Way RV Resort LLC'!T143</f>
      </c>
      <c r="U23" s="24">
        <f>'Agave Village (ag011)'!U76+'Agave Village LLC'!U65+'Brookhaven Estates (bo260)'!U58+'Brookhaven RV Resort'!U54+'Courtly Manor'!U47+'Courtly Manor Park (co669)'!U48+'Cross Creek RV'!U143+'Cross Creek RV Resort (cr994)'!U149+'El Rio De Oro (el289)'!U45+'El Rio del Oro'!U48+'Endless Summer RV Resort'!U66+'Endless Summer RV Resort (en079'!U58+Evergreen!U45+'Far Horizons'!U45+'Far Horizons (fa105)'!U45+'Floridian Sandalwood (fl356)'!U42+'Floridian Sandalwood MHC'!U46+Glenhaven!U50+'Glenhaven Estates (gl317)'!U50+'Harbor Lights (ha310)'!U51+'Harbor Lights MHC'!U49+'Harvest Gate'!U59+'Hunter Run RV Estates'!U100+'Hunters Run RV Estates (hu116)'!U213+'Jade Isle (ja068)'!U42+'Jade Isle MHC'!U44+'Kakusha Estates (ka045)'!U48+'Kakusha MHC'!U47+'Lakeside Village'!U53+'Lakeside Village (la482)'!U55+'Lakewood Village (la481)'!U114+'Lakewood Village MHC LLC'!U134+'Maple Corner'!U67+'Maple Corner (ma490)'!U57+'Marlboro Court (ma489)'!U45+'Marlboro Court MHC LLC'!U45+'May Manor'!U149+'May Manor (ma488)'!U81+'Mobiland by the Sea (mo320)'!U50+'Mobiland By The Sea MHC'!U51+'Moss Landing'!U78+'Moss Landing (mo321)'!U70+'Oak Springs'!U82+'Oak Springs MHC (oa150)'!U58+'Orange Manor East'!U47+'Orange Manor East (or125)'!U50+'Pacific Manor'!U56+'Pacific Manor (pa602)'!U58+Parkhaven!U113+Ridgecrest!U63+Riverest!U57+'Riverview MHRV LLC'!U60+Rosehaven!U125+'Sanctuary RV Resort'!U237+'Shadow Mountain MHC'!U44+Springhaven!U44+'Star Valley Ranch'!U55+Sunhaven!U51+'Sunny Grove'!U50+Tarponaire!U54+'Val Vista RV Resort'!U83+'Webster RV Resort LLC'!U70+'Wekiva Falls RV Resort'!U94+'West Jupiter RV Resort'!U51+'Western Way RV Resort LLC'!U143</f>
      </c>
      <c r="V23" s="24">
        <f>'Agave Village (ag011)'!V76+'Agave Village LLC'!V65+'Brookhaven Estates (bo260)'!V58+'Brookhaven RV Resort'!V54+'Courtly Manor'!V47+'Courtly Manor Park (co669)'!V48+'Cross Creek RV'!V143+'Cross Creek RV Resort (cr994)'!V149+'El Rio De Oro (el289)'!V45+'El Rio del Oro'!V48+'Endless Summer RV Resort'!V66+'Endless Summer RV Resort (en079'!V58+Evergreen!V45+'Far Horizons'!V45+'Far Horizons (fa105)'!V45+'Floridian Sandalwood (fl356)'!V42+'Floridian Sandalwood MHC'!V46+Glenhaven!V50+'Glenhaven Estates (gl317)'!V50+'Harbor Lights (ha310)'!V51+'Harbor Lights MHC'!V49+'Harvest Gate'!V59+'Hunter Run RV Estates'!V100+'Hunters Run RV Estates (hu116)'!V213+'Jade Isle (ja068)'!V42+'Jade Isle MHC'!V44+'Kakusha Estates (ka045)'!V48+'Kakusha MHC'!V47+'Lakeside Village'!V53+'Lakeside Village (la482)'!V55+'Lakewood Village (la481)'!V114+'Lakewood Village MHC LLC'!V134+'Maple Corner'!V67+'Maple Corner (ma490)'!V57+'Marlboro Court (ma489)'!V45+'Marlboro Court MHC LLC'!V45+'May Manor'!V149+'May Manor (ma488)'!V81+'Mobiland by the Sea (mo320)'!V50+'Mobiland By The Sea MHC'!V51+'Moss Landing'!V78+'Moss Landing (mo321)'!V70+'Oak Springs'!V82+'Oak Springs MHC (oa150)'!V58+'Orange Manor East'!V47+'Orange Manor East (or125)'!V50+'Pacific Manor'!V56+'Pacific Manor (pa602)'!V58+Parkhaven!V113+Ridgecrest!V63+Riverest!V57+'Riverview MHRV LLC'!V60+Rosehaven!V125+'Sanctuary RV Resort'!V237+'Shadow Mountain MHC'!V44+Springhaven!V44+'Star Valley Ranch'!V55+Sunhaven!V51+'Sunny Grove'!V50+Tarponaire!V54+'Val Vista RV Resort'!V83+'Webster RV Resort LLC'!V70+'Wekiva Falls RV Resort'!V94+'West Jupiter RV Resort'!V51+'Western Way RV Resort LLC'!V143</f>
      </c>
      <c r="W23" s="24">
        <f>'Agave Village (ag011)'!W76+'Agave Village LLC'!W65+'Brookhaven Estates (bo260)'!W58+'Brookhaven RV Resort'!W54+'Courtly Manor'!W47+'Courtly Manor Park (co669)'!W48+'Cross Creek RV'!W143+'Cross Creek RV Resort (cr994)'!W149+'El Rio De Oro (el289)'!W45+'El Rio del Oro'!W48+'Endless Summer RV Resort'!W66+'Endless Summer RV Resort (en079'!W58+Evergreen!W45+'Far Horizons'!W45+'Far Horizons (fa105)'!W45+'Floridian Sandalwood (fl356)'!W42+'Floridian Sandalwood MHC'!W46+Glenhaven!W50+'Glenhaven Estates (gl317)'!W50+'Harbor Lights (ha310)'!W51+'Harbor Lights MHC'!W49+'Harvest Gate'!W59+'Hunter Run RV Estates'!W100+'Hunters Run RV Estates (hu116)'!W213+'Jade Isle (ja068)'!W42+'Jade Isle MHC'!W44+'Kakusha Estates (ka045)'!W48+'Kakusha MHC'!W47+'Lakeside Village'!W53+'Lakeside Village (la482)'!W55+'Lakewood Village (la481)'!W114+'Lakewood Village MHC LLC'!W134+'Maple Corner'!W67+'Maple Corner (ma490)'!W57+'Marlboro Court (ma489)'!W45+'Marlboro Court MHC LLC'!W45+'May Manor'!W149+'May Manor (ma488)'!W81+'Mobiland by the Sea (mo320)'!W50+'Mobiland By The Sea MHC'!W51+'Moss Landing'!W78+'Moss Landing (mo321)'!W70+'Oak Springs'!W82+'Oak Springs MHC (oa150)'!W58+'Orange Manor East'!W47+'Orange Manor East (or125)'!W50+'Pacific Manor'!W56+'Pacific Manor (pa602)'!W58+Parkhaven!W113+Ridgecrest!W63+Riverest!W57+'Riverview MHRV LLC'!W60+Rosehaven!W125+'Sanctuary RV Resort'!W237+'Shadow Mountain MHC'!W44+Springhaven!W44+'Star Valley Ranch'!W55+Sunhaven!W51+'Sunny Grove'!W50+Tarponaire!W54+'Val Vista RV Resort'!W83+'Webster RV Resort LLC'!W70+'Wekiva Falls RV Resort'!W94+'West Jupiter RV Resort'!W51+'Western Way RV Resort LLC'!W143</f>
      </c>
      <c r="X23" s="24">
        <f>'Agave Village (ag011)'!X76+'Agave Village LLC'!X65+'Brookhaven Estates (bo260)'!X58+'Brookhaven RV Resort'!X54+'Courtly Manor'!X47+'Courtly Manor Park (co669)'!X48+'Cross Creek RV'!X143+'Cross Creek RV Resort (cr994)'!X149+'El Rio De Oro (el289)'!X45+'El Rio del Oro'!X48+'Endless Summer RV Resort'!X66+'Endless Summer RV Resort (en079'!X58+Evergreen!X45+'Far Horizons'!X45+'Far Horizons (fa105)'!X45+'Floridian Sandalwood (fl356)'!X42+'Floridian Sandalwood MHC'!X46+Glenhaven!X50+'Glenhaven Estates (gl317)'!X50+'Harbor Lights (ha310)'!X51+'Harbor Lights MHC'!X49+'Harvest Gate'!X59+'Hunter Run RV Estates'!X100+'Hunters Run RV Estates (hu116)'!X213+'Jade Isle (ja068)'!X42+'Jade Isle MHC'!X44+'Kakusha Estates (ka045)'!X48+'Kakusha MHC'!X47+'Lakeside Village'!X53+'Lakeside Village (la482)'!X55+'Lakewood Village (la481)'!X114+'Lakewood Village MHC LLC'!X134+'Maple Corner'!X67+'Maple Corner (ma490)'!X57+'Marlboro Court (ma489)'!X45+'Marlboro Court MHC LLC'!X45+'May Manor'!X149+'May Manor (ma488)'!X81+'Mobiland by the Sea (mo320)'!X50+'Mobiland By The Sea MHC'!X51+'Moss Landing'!X78+'Moss Landing (mo321)'!X70+'Oak Springs'!X82+'Oak Springs MHC (oa150)'!X58+'Orange Manor East'!X47+'Orange Manor East (or125)'!X50+'Pacific Manor'!X56+'Pacific Manor (pa602)'!X58+Parkhaven!X113+Ridgecrest!X63+Riverest!X57+'Riverview MHRV LLC'!X60+Rosehaven!X125+'Sanctuary RV Resort'!X237+'Shadow Mountain MHC'!X44+Springhaven!X44+'Star Valley Ranch'!X55+Sunhaven!X51+'Sunny Grove'!X50+Tarponaire!X54+'Val Vista RV Resort'!X83+'Webster RV Resort LLC'!X70+'Wekiva Falls RV Resort'!X94+'West Jupiter RV Resort'!X51+'Western Way RV Resort LLC'!X143</f>
      </c>
      <c r="Y23" s="24">
        <f>'Agave Village (ag011)'!Y76+'Agave Village LLC'!Y65+'Brookhaven Estates (bo260)'!Y58+'Brookhaven RV Resort'!Y54+'Courtly Manor'!Y47+'Courtly Manor Park (co669)'!Y48+'Cross Creek RV'!Y143+'Cross Creek RV Resort (cr994)'!Y149+'El Rio De Oro (el289)'!Y45+'El Rio del Oro'!Y48+'Endless Summer RV Resort'!Y66+'Endless Summer RV Resort (en079'!Y58+Evergreen!Y45+'Far Horizons'!Y45+'Far Horizons (fa105)'!Y45+'Floridian Sandalwood (fl356)'!Y42+'Floridian Sandalwood MHC'!Y46+Glenhaven!Y50+'Glenhaven Estates (gl317)'!Y50+'Harbor Lights (ha310)'!Y51+'Harbor Lights MHC'!Y49+'Harvest Gate'!Y59+'Hunter Run RV Estates'!Y100+'Hunters Run RV Estates (hu116)'!Y213+'Jade Isle (ja068)'!Y42+'Jade Isle MHC'!Y44+'Kakusha Estates (ka045)'!Y48+'Kakusha MHC'!Y47+'Lakeside Village'!Y53+'Lakeside Village (la482)'!Y55+'Lakewood Village (la481)'!Y114+'Lakewood Village MHC LLC'!Y134+'Maple Corner'!Y67+'Maple Corner (ma490)'!Y57+'Marlboro Court (ma489)'!Y45+'Marlboro Court MHC LLC'!Y45+'May Manor'!Y149+'May Manor (ma488)'!Y81+'Mobiland by the Sea (mo320)'!Y50+'Mobiland By The Sea MHC'!Y51+'Moss Landing'!Y78+'Moss Landing (mo321)'!Y70+'Oak Springs'!Y82+'Oak Springs MHC (oa150)'!Y58+'Orange Manor East'!Y47+'Orange Manor East (or125)'!Y50+'Pacific Manor'!Y56+'Pacific Manor (pa602)'!Y58+Parkhaven!Y113+Ridgecrest!Y63+Riverest!Y57+'Riverview MHRV LLC'!Y60+Rosehaven!Y125+'Sanctuary RV Resort'!Y237+'Shadow Mountain MHC'!Y44+Springhaven!Y44+'Star Valley Ranch'!Y55+Sunhaven!Y51+'Sunny Grove'!Y50+Tarponaire!Y54+'Val Vista RV Resort'!Y83+'Webster RV Resort LLC'!Y70+'Wekiva Falls RV Resort'!Y94+'West Jupiter RV Resort'!Y51+'Western Way RV Resort LLC'!Y143</f>
      </c>
      <c r="Z23" s="24">
        <f>'Agave Village (ag011)'!Z76+'Agave Village LLC'!Z65+'Brookhaven Estates (bo260)'!Z58+'Brookhaven RV Resort'!Z54+'Courtly Manor'!Z47+'Courtly Manor Park (co669)'!Z48+'Cross Creek RV'!Z143+'Cross Creek RV Resort (cr994)'!Z149+'El Rio De Oro (el289)'!Z45+'El Rio del Oro'!Z48+'Endless Summer RV Resort'!Z66+'Endless Summer RV Resort (en079'!Z58+Evergreen!Z45+'Far Horizons'!Z45+'Far Horizons (fa105)'!Z45+'Floridian Sandalwood (fl356)'!Z42+'Floridian Sandalwood MHC'!Z46+Glenhaven!Z50+'Glenhaven Estates (gl317)'!Z50+'Harbor Lights (ha310)'!Z51+'Harbor Lights MHC'!Z49+'Harvest Gate'!Z59+'Hunter Run RV Estates'!Z100+'Hunters Run RV Estates (hu116)'!Z213+'Jade Isle (ja068)'!Z42+'Jade Isle MHC'!Z44+'Kakusha Estates (ka045)'!Z48+'Kakusha MHC'!Z47+'Lakeside Village'!Z53+'Lakeside Village (la482)'!Z55+'Lakewood Village (la481)'!Z114+'Lakewood Village MHC LLC'!Z134+'Maple Corner'!Z67+'Maple Corner (ma490)'!Z57+'Marlboro Court (ma489)'!Z45+'Marlboro Court MHC LLC'!Z45+'May Manor'!Z149+'May Manor (ma488)'!Z81+'Mobiland by the Sea (mo320)'!Z50+'Mobiland By The Sea MHC'!Z51+'Moss Landing'!Z78+'Moss Landing (mo321)'!Z70+'Oak Springs'!Z82+'Oak Springs MHC (oa150)'!Z58+'Orange Manor East'!Z47+'Orange Manor East (or125)'!Z50+'Pacific Manor'!Z56+'Pacific Manor (pa602)'!Z58+Parkhaven!Z113+Ridgecrest!Z63+Riverest!Z57+'Riverview MHRV LLC'!Z60+Rosehaven!Z125+'Sanctuary RV Resort'!Z237+'Shadow Mountain MHC'!Z44+Springhaven!Z44+'Star Valley Ranch'!Z55+Sunhaven!Z51+'Sunny Grove'!Z50+Tarponaire!Z54+'Val Vista RV Resort'!Z83+'Webster RV Resort LLC'!Z70+'Wekiva Falls RV Resort'!Z94+'West Jupiter RV Resort'!Z51+'Western Way RV Resort LLC'!Z143</f>
      </c>
      <c r="AA23" s="24">
        <f>'Agave Village (ag011)'!AA76+'Agave Village LLC'!AA65+'Brookhaven Estates (bo260)'!AA58+'Brookhaven RV Resort'!AA54+'Courtly Manor'!AA47+'Courtly Manor Park (co669)'!AA48+'Cross Creek RV'!AA143+'Cross Creek RV Resort (cr994)'!AA149+'El Rio De Oro (el289)'!AA45+'El Rio del Oro'!AA48+'Endless Summer RV Resort'!AA66+'Endless Summer RV Resort (en079'!AA58+Evergreen!AA45+'Far Horizons'!AA45+'Far Horizons (fa105)'!AA45+'Floridian Sandalwood (fl356)'!AA42+'Floridian Sandalwood MHC'!AA46+Glenhaven!AA50+'Glenhaven Estates (gl317)'!AA50+'Harbor Lights (ha310)'!AA51+'Harbor Lights MHC'!AA49+'Harvest Gate'!AA59+'Hunter Run RV Estates'!AA100+'Hunters Run RV Estates (hu116)'!AA213+'Jade Isle (ja068)'!AA42+'Jade Isle MHC'!AA44+'Kakusha Estates (ka045)'!AA48+'Kakusha MHC'!AA47+'Lakeside Village'!AA53+'Lakeside Village (la482)'!AA55+'Lakewood Village (la481)'!AA114+'Lakewood Village MHC LLC'!AA134+'Maple Corner'!AA67+'Maple Corner (ma490)'!AA57+'Marlboro Court (ma489)'!AA45+'Marlboro Court MHC LLC'!AA45+'May Manor'!AA149+'May Manor (ma488)'!AA81+'Mobiland by the Sea (mo320)'!AA50+'Mobiland By The Sea MHC'!AA51+'Moss Landing'!AA78+'Moss Landing (mo321)'!AA70+'Oak Springs'!AA82+'Oak Springs MHC (oa150)'!AA58+'Orange Manor East'!AA47+'Orange Manor East (or125)'!AA50+'Pacific Manor'!AA56+'Pacific Manor (pa602)'!AA58+Parkhaven!AA113+Ridgecrest!AA63+Riverest!AA57+'Riverview MHRV LLC'!AA60+Rosehaven!AA125+'Sanctuary RV Resort'!AA237+'Shadow Mountain MHC'!AA44+Springhaven!AA44+'Star Valley Ranch'!AA55+Sunhaven!AA51+'Sunny Grove'!AA50+Tarponaire!AA54+'Val Vista RV Resort'!AA83+'Webster RV Resort LLC'!AA70+'Wekiva Falls RV Resort'!AA94+'West Jupiter RV Resort'!AA51+'Western Way RV Resort LLC'!AA143</f>
      </c>
      <c r="AB23" s="24">
        <f>'Agave Village (ag011)'!AB76+'Agave Village LLC'!AB65+'Brookhaven Estates (bo260)'!AB58+'Brookhaven RV Resort'!AB54+'Courtly Manor'!AB47+'Courtly Manor Park (co669)'!AB48+'Cross Creek RV'!AB143+'Cross Creek RV Resort (cr994)'!AB149+'El Rio De Oro (el289)'!AB45+'El Rio del Oro'!AB48+'Endless Summer RV Resort'!AB66+'Endless Summer RV Resort (en079'!AB58+Evergreen!AB45+'Far Horizons'!AB45+'Far Horizons (fa105)'!AB45+'Floridian Sandalwood (fl356)'!AB42+'Floridian Sandalwood MHC'!AB46+Glenhaven!AB50+'Glenhaven Estates (gl317)'!AB50+'Harbor Lights (ha310)'!AB51+'Harbor Lights MHC'!AB49+'Harvest Gate'!AB59+'Hunter Run RV Estates'!AB100+'Hunters Run RV Estates (hu116)'!AB213+'Jade Isle (ja068)'!AB42+'Jade Isle MHC'!AB44+'Kakusha Estates (ka045)'!AB48+'Kakusha MHC'!AB47+'Lakeside Village'!AB53+'Lakeside Village (la482)'!AB55+'Lakewood Village (la481)'!AB114+'Lakewood Village MHC LLC'!AB134+'Maple Corner'!AB67+'Maple Corner (ma490)'!AB57+'Marlboro Court (ma489)'!AB45+'Marlboro Court MHC LLC'!AB45+'May Manor'!AB149+'May Manor (ma488)'!AB81+'Mobiland by the Sea (mo320)'!AB50+'Mobiland By The Sea MHC'!AB51+'Moss Landing'!AB78+'Moss Landing (mo321)'!AB70+'Oak Springs'!AB82+'Oak Springs MHC (oa150)'!AB58+'Orange Manor East'!AB47+'Orange Manor East (or125)'!AB50+'Pacific Manor'!AB56+'Pacific Manor (pa602)'!AB58+Parkhaven!AB113+Ridgecrest!AB63+Riverest!AB57+'Riverview MHRV LLC'!AB60+Rosehaven!AB125+'Sanctuary RV Resort'!AB237+'Shadow Mountain MHC'!AB44+Springhaven!AB44+'Star Valley Ranch'!AB55+Sunhaven!AB51+'Sunny Grove'!AB50+Tarponaire!AB54+'Val Vista RV Resort'!AB83+'Webster RV Resort LLC'!AB70+'Wekiva Falls RV Resort'!AB94+'West Jupiter RV Resort'!AB51+'Western Way RV Resort LLC'!AB143</f>
      </c>
      <c r="AC23" s="24">
        <f>'Agave Village (ag011)'!AC76+'Agave Village LLC'!AC65+'Brookhaven Estates (bo260)'!AC58+'Brookhaven RV Resort'!AC54+'Courtly Manor'!AC47+'Courtly Manor Park (co669)'!AC48+'Cross Creek RV'!AC143+'Cross Creek RV Resort (cr994)'!AC149+'El Rio De Oro (el289)'!AC45+'El Rio del Oro'!AC48+'Endless Summer RV Resort'!AC66+'Endless Summer RV Resort (en079'!AC58+Evergreen!AC45+'Far Horizons'!AC45+'Far Horizons (fa105)'!AC45+'Floridian Sandalwood (fl356)'!AC42+'Floridian Sandalwood MHC'!AC46+Glenhaven!AC50+'Glenhaven Estates (gl317)'!AC50+'Harbor Lights (ha310)'!AC51+'Harbor Lights MHC'!AC49+'Harvest Gate'!AC59+'Hunter Run RV Estates'!AC100+'Hunters Run RV Estates (hu116)'!AC213+'Jade Isle (ja068)'!AC42+'Jade Isle MHC'!AC44+'Kakusha Estates (ka045)'!AC48+'Kakusha MHC'!AC47+'Lakeside Village'!AC53+'Lakeside Village (la482)'!AC55+'Lakewood Village (la481)'!AC114+'Lakewood Village MHC LLC'!AC134+'Maple Corner'!AC67+'Maple Corner (ma490)'!AC57+'Marlboro Court (ma489)'!AC45+'Marlboro Court MHC LLC'!AC45+'May Manor'!AC149+'May Manor (ma488)'!AC81+'Mobiland by the Sea (mo320)'!AC50+'Mobiland By The Sea MHC'!AC51+'Moss Landing'!AC78+'Moss Landing (mo321)'!AC70+'Oak Springs'!AC82+'Oak Springs MHC (oa150)'!AC58+'Orange Manor East'!AC47+'Orange Manor East (or125)'!AC50+'Pacific Manor'!AC56+'Pacific Manor (pa602)'!AC58+Parkhaven!AC113+Ridgecrest!AC63+Riverest!AC57+'Riverview MHRV LLC'!AC60+Rosehaven!AC125+'Sanctuary RV Resort'!AC237+'Shadow Mountain MHC'!AC44+Springhaven!AC44+'Star Valley Ranch'!AC55+Sunhaven!AC51+'Sunny Grove'!AC50+Tarponaire!AC54+'Val Vista RV Resort'!AC83+'Webster RV Resort LLC'!AC70+'Wekiva Falls RV Resort'!AC94+'West Jupiter RV Resort'!AC51+'Western Way RV Resort LLC'!AC143</f>
      </c>
      <c r="AD23" s="24">
        <f>'Agave Village (ag011)'!AD76+'Agave Village LLC'!AD65+'Brookhaven Estates (bo260)'!AD58+'Brookhaven RV Resort'!AD54+'Courtly Manor'!AD47+'Courtly Manor Park (co669)'!AD48+'Cross Creek RV'!AD143+'Cross Creek RV Resort (cr994)'!AD149+'El Rio De Oro (el289)'!AD45+'El Rio del Oro'!AD48+'Endless Summer RV Resort'!AD66+'Endless Summer RV Resort (en079'!AD58+Evergreen!AD45+'Far Horizons'!AD45+'Far Horizons (fa105)'!AD45+'Floridian Sandalwood (fl356)'!AD42+'Floridian Sandalwood MHC'!AD46+Glenhaven!AD50+'Glenhaven Estates (gl317)'!AD50+'Harbor Lights (ha310)'!AD51+'Harbor Lights MHC'!AD49+'Harvest Gate'!AD59+'Hunter Run RV Estates'!AD100+'Hunters Run RV Estates (hu116)'!AD213+'Jade Isle (ja068)'!AD42+'Jade Isle MHC'!AD44+'Kakusha Estates (ka045)'!AD48+'Kakusha MHC'!AD47+'Lakeside Village'!AD53+'Lakeside Village (la482)'!AD55+'Lakewood Village (la481)'!AD114+'Lakewood Village MHC LLC'!AD134+'Maple Corner'!AD67+'Maple Corner (ma490)'!AD57+'Marlboro Court (ma489)'!AD45+'Marlboro Court MHC LLC'!AD45+'May Manor'!AD149+'May Manor (ma488)'!AD81+'Mobiland by the Sea (mo320)'!AD50+'Mobiland By The Sea MHC'!AD51+'Moss Landing'!AD78+'Moss Landing (mo321)'!AD70+'Oak Springs'!AD82+'Oak Springs MHC (oa150)'!AD58+'Orange Manor East'!AD47+'Orange Manor East (or125)'!AD50+'Pacific Manor'!AD56+'Pacific Manor (pa602)'!AD58+Parkhaven!AD113+Ridgecrest!AD63+Riverest!AD57+'Riverview MHRV LLC'!AD60+Rosehaven!AD125+'Sanctuary RV Resort'!AD237+'Shadow Mountain MHC'!AD44+Springhaven!AD44+'Star Valley Ranch'!AD55+Sunhaven!AD51+'Sunny Grove'!AD50+Tarponaire!AD54+'Val Vista RV Resort'!AD83+'Webster RV Resort LLC'!AD70+'Wekiva Falls RV Resort'!AD94+'West Jupiter RV Resort'!AD51+'Western Way RV Resort LLC'!AD143</f>
      </c>
      <c r="AE23" s="24">
        <f>'Agave Village (ag011)'!AE76+'Agave Village LLC'!AE65+'Brookhaven Estates (bo260)'!AE58+'Brookhaven RV Resort'!AE54+'Courtly Manor'!AE47+'Courtly Manor Park (co669)'!AE48+'Cross Creek RV'!AE143+'Cross Creek RV Resort (cr994)'!AE149+'El Rio De Oro (el289)'!AE45+'El Rio del Oro'!AE48+'Endless Summer RV Resort'!AE66+'Endless Summer RV Resort (en079'!AE58+Evergreen!AE45+'Far Horizons'!AE45+'Far Horizons (fa105)'!AE45+'Floridian Sandalwood (fl356)'!AE42+'Floridian Sandalwood MHC'!AE46+Glenhaven!AE50+'Glenhaven Estates (gl317)'!AE50+'Harbor Lights (ha310)'!AE51+'Harbor Lights MHC'!AE49+'Harvest Gate'!AE59+'Hunter Run RV Estates'!AE100+'Hunters Run RV Estates (hu116)'!AE213+'Jade Isle (ja068)'!AE42+'Jade Isle MHC'!AE44+'Kakusha Estates (ka045)'!AE48+'Kakusha MHC'!AE47+'Lakeside Village'!AE53+'Lakeside Village (la482)'!AE55+'Lakewood Village (la481)'!AE114+'Lakewood Village MHC LLC'!AE134+'Maple Corner'!AE67+'Maple Corner (ma490)'!AE57+'Marlboro Court (ma489)'!AE45+'Marlboro Court MHC LLC'!AE45+'May Manor'!AE149+'May Manor (ma488)'!AE81+'Mobiland by the Sea (mo320)'!AE50+'Mobiland By The Sea MHC'!AE51+'Moss Landing'!AE78+'Moss Landing (mo321)'!AE70+'Oak Springs'!AE82+'Oak Springs MHC (oa150)'!AE58+'Orange Manor East'!AE47+'Orange Manor East (or125)'!AE50+'Pacific Manor'!AE56+'Pacific Manor (pa602)'!AE58+Parkhaven!AE113+Ridgecrest!AE63+Riverest!AE57+'Riverview MHRV LLC'!AE60+Rosehaven!AE125+'Sanctuary RV Resort'!AE237+'Shadow Mountain MHC'!AE44+Springhaven!AE44+'Star Valley Ranch'!AE55+Sunhaven!AE51+'Sunny Grove'!AE50+Tarponaire!AE54+'Val Vista RV Resort'!AE83+'Webster RV Resort LLC'!AE70+'Wekiva Falls RV Resort'!AE94+'West Jupiter RV Resort'!AE51+'Western Way RV Resort LLC'!AE143</f>
      </c>
      <c r="AF23" s="24">
        <f>'Agave Village (ag011)'!AF76+'Agave Village LLC'!AF65+'Brookhaven Estates (bo260)'!AF58+'Brookhaven RV Resort'!AF54+'Courtly Manor'!AF47+'Courtly Manor Park (co669)'!AF48+'Cross Creek RV'!AF143+'Cross Creek RV Resort (cr994)'!AF149+'El Rio De Oro (el289)'!AF45+'El Rio del Oro'!AF48+'Endless Summer RV Resort'!AF66+'Endless Summer RV Resort (en079'!AF58+Evergreen!AF45+'Far Horizons'!AF45+'Far Horizons (fa105)'!AF45+'Floridian Sandalwood (fl356)'!AF42+'Floridian Sandalwood MHC'!AF46+Glenhaven!AF50+'Glenhaven Estates (gl317)'!AF50+'Harbor Lights (ha310)'!AF51+'Harbor Lights MHC'!AF49+'Harvest Gate'!AF59+'Hunter Run RV Estates'!AF100+'Hunters Run RV Estates (hu116)'!AF213+'Jade Isle (ja068)'!AF42+'Jade Isle MHC'!AF44+'Kakusha Estates (ka045)'!AF48+'Kakusha MHC'!AF47+'Lakeside Village'!AF53+'Lakeside Village (la482)'!AF55+'Lakewood Village (la481)'!AF114+'Lakewood Village MHC LLC'!AF134+'Maple Corner'!AF67+'Maple Corner (ma490)'!AF57+'Marlboro Court (ma489)'!AF45+'Marlboro Court MHC LLC'!AF45+'May Manor'!AF149+'May Manor (ma488)'!AF81+'Mobiland by the Sea (mo320)'!AF50+'Mobiland By The Sea MHC'!AF51+'Moss Landing'!AF78+'Moss Landing (mo321)'!AF70+'Oak Springs'!AF82+'Oak Springs MHC (oa150)'!AF58+'Orange Manor East'!AF47+'Orange Manor East (or125)'!AF50+'Pacific Manor'!AF56+'Pacific Manor (pa602)'!AF58+Parkhaven!AF113+Ridgecrest!AF63+Riverest!AF57+'Riverview MHRV LLC'!AF60+Rosehaven!AF125+'Sanctuary RV Resort'!AF237+'Shadow Mountain MHC'!AF44+Springhaven!AF44+'Star Valley Ranch'!AF55+Sunhaven!AF51+'Sunny Grove'!AF50+Tarponaire!AF54+'Val Vista RV Resort'!AF83+'Webster RV Resort LLC'!AF70+'Wekiva Falls RV Resort'!AF94+'West Jupiter RV Resort'!AF51+'Western Way RV Resort LLC'!AF143</f>
      </c>
      <c r="AG23" s="24">
        <f>'Agave Village (ag011)'!AG76+'Agave Village LLC'!AG65+'Brookhaven Estates (bo260)'!AG58+'Brookhaven RV Resort'!AG54+'Courtly Manor'!AG47+'Courtly Manor Park (co669)'!AG48+'Cross Creek RV'!AG143+'Cross Creek RV Resort (cr994)'!AG149+'El Rio De Oro (el289)'!AG45+'El Rio del Oro'!AG48+'Endless Summer RV Resort'!AG66+'Endless Summer RV Resort (en079'!AG58+Evergreen!AG45+'Far Horizons'!AG45+'Far Horizons (fa105)'!AG45+'Floridian Sandalwood (fl356)'!AG42+'Floridian Sandalwood MHC'!AG46+Glenhaven!AG50+'Glenhaven Estates (gl317)'!AG50+'Harbor Lights (ha310)'!AG51+'Harbor Lights MHC'!AG49+'Harvest Gate'!AG59+'Hunter Run RV Estates'!AG100+'Hunters Run RV Estates (hu116)'!AG213+'Jade Isle (ja068)'!AG42+'Jade Isle MHC'!AG44+'Kakusha Estates (ka045)'!AG48+'Kakusha MHC'!AG47+'Lakeside Village'!AG53+'Lakeside Village (la482)'!AG55+'Lakewood Village (la481)'!AG114+'Lakewood Village MHC LLC'!AG134+'Maple Corner'!AG67+'Maple Corner (ma490)'!AG57+'Marlboro Court (ma489)'!AG45+'Marlboro Court MHC LLC'!AG45+'May Manor'!AG149+'May Manor (ma488)'!AG81+'Mobiland by the Sea (mo320)'!AG50+'Mobiland By The Sea MHC'!AG51+'Moss Landing'!AG78+'Moss Landing (mo321)'!AG70+'Oak Springs'!AG82+'Oak Springs MHC (oa150)'!AG58+'Orange Manor East'!AG47+'Orange Manor East (or125)'!AG50+'Pacific Manor'!AG56+'Pacific Manor (pa602)'!AG58+Parkhaven!AG113+Ridgecrest!AG63+Riverest!AG57+'Riverview MHRV LLC'!AG60+Rosehaven!AG125+'Sanctuary RV Resort'!AG237+'Shadow Mountain MHC'!AG44+Springhaven!AG44+'Star Valley Ranch'!AG55+Sunhaven!AG51+'Sunny Grove'!AG50+Tarponaire!AG54+'Val Vista RV Resort'!AG83+'Webster RV Resort LLC'!AG70+'Wekiva Falls RV Resort'!AG94+'West Jupiter RV Resort'!AG51+'Western Way RV Resort LLC'!AG143</f>
      </c>
      <c r="AH23" s="24">
        <f>'Agave Village (ag011)'!AH76+'Agave Village LLC'!AH65+'Brookhaven Estates (bo260)'!AH58+'Brookhaven RV Resort'!AH54+'Courtly Manor'!AH47+'Courtly Manor Park (co669)'!AH48+'Cross Creek RV'!AH143+'Cross Creek RV Resort (cr994)'!AH149+'El Rio De Oro (el289)'!AH45+'El Rio del Oro'!AH48+'Endless Summer RV Resort'!AH66+'Endless Summer RV Resort (en079'!AH58+Evergreen!AH45+'Far Horizons'!AH45+'Far Horizons (fa105)'!AH45+'Floridian Sandalwood (fl356)'!AH42+'Floridian Sandalwood MHC'!AH46+Glenhaven!AH50+'Glenhaven Estates (gl317)'!AH50+'Harbor Lights (ha310)'!AH51+'Harbor Lights MHC'!AH49+'Harvest Gate'!AH59+'Hunter Run RV Estates'!AH100+'Hunters Run RV Estates (hu116)'!AH213+'Jade Isle (ja068)'!AH42+'Jade Isle MHC'!AH44+'Kakusha Estates (ka045)'!AH48+'Kakusha MHC'!AH47+'Lakeside Village'!AH53+'Lakeside Village (la482)'!AH55+'Lakewood Village (la481)'!AH114+'Lakewood Village MHC LLC'!AH134+'Maple Corner'!AH67+'Maple Corner (ma490)'!AH57+'Marlboro Court (ma489)'!AH45+'Marlboro Court MHC LLC'!AH45+'May Manor'!AH149+'May Manor (ma488)'!AH81+'Mobiland by the Sea (mo320)'!AH50+'Mobiland By The Sea MHC'!AH51+'Moss Landing'!AH78+'Moss Landing (mo321)'!AH70+'Oak Springs'!AH82+'Oak Springs MHC (oa150)'!AH58+'Orange Manor East'!AH47+'Orange Manor East (or125)'!AH50+'Pacific Manor'!AH56+'Pacific Manor (pa602)'!AH58+Parkhaven!AH113+Ridgecrest!AH63+Riverest!AH57+'Riverview MHRV LLC'!AH60+Rosehaven!AH125+'Sanctuary RV Resort'!AH237+'Shadow Mountain MHC'!AH44+Springhaven!AH44+'Star Valley Ranch'!AH55+Sunhaven!AH51+'Sunny Grove'!AH50+Tarponaire!AH54+'Val Vista RV Resort'!AH83+'Webster RV Resort LLC'!AH70+'Wekiva Falls RV Resort'!AH94+'West Jupiter RV Resort'!AH51+'Western Way RV Resort LLC'!AH143</f>
      </c>
      <c r="AI23" s="24">
        <f>'Agave Village (ag011)'!AI76+'Agave Village LLC'!AI65+'Brookhaven Estates (bo260)'!AI58+'Brookhaven RV Resort'!AI54+'Courtly Manor'!AI47+'Courtly Manor Park (co669)'!AI48+'Cross Creek RV'!AI143+'Cross Creek RV Resort (cr994)'!AI149+'El Rio De Oro (el289)'!AI45+'El Rio del Oro'!AI48+'Endless Summer RV Resort'!AI66+'Endless Summer RV Resort (en079'!AI58+Evergreen!AI45+'Far Horizons'!AI45+'Far Horizons (fa105)'!AI45+'Floridian Sandalwood (fl356)'!AI42+'Floridian Sandalwood MHC'!AI46+Glenhaven!AI50+'Glenhaven Estates (gl317)'!AI50+'Harbor Lights (ha310)'!AI51+'Harbor Lights MHC'!AI49+'Harvest Gate'!AI59+'Hunter Run RV Estates'!AI100+'Hunters Run RV Estates (hu116)'!AI213+'Jade Isle (ja068)'!AI42+'Jade Isle MHC'!AI44+'Kakusha Estates (ka045)'!AI48+'Kakusha MHC'!AI47+'Lakeside Village'!AI53+'Lakeside Village (la482)'!AI55+'Lakewood Village (la481)'!AI114+'Lakewood Village MHC LLC'!AI134+'Maple Corner'!AI67+'Maple Corner (ma490)'!AI57+'Marlboro Court (ma489)'!AI45+'Marlboro Court MHC LLC'!AI45+'May Manor'!AI149+'May Manor (ma488)'!AI81+'Mobiland by the Sea (mo320)'!AI50+'Mobiland By The Sea MHC'!AI51+'Moss Landing'!AI78+'Moss Landing (mo321)'!AI70+'Oak Springs'!AI82+'Oak Springs MHC (oa150)'!AI58+'Orange Manor East'!AI47+'Orange Manor East (or125)'!AI50+'Pacific Manor'!AI56+'Pacific Manor (pa602)'!AI58+Parkhaven!AI113+Ridgecrest!AI63+Riverest!AI57+'Riverview MHRV LLC'!AI60+Rosehaven!AI125+'Sanctuary RV Resort'!AI237+'Shadow Mountain MHC'!AI44+Springhaven!AI44+'Star Valley Ranch'!AI55+Sunhaven!AI51+'Sunny Grove'!AI50+Tarponaire!AI54+'Val Vista RV Resort'!AI83+'Webster RV Resort LLC'!AI70+'Wekiva Falls RV Resort'!AI94+'West Jupiter RV Resort'!AI51+'Western Way RV Resort LLC'!AI143</f>
      </c>
      <c r="AJ23" s="24">
        <f>'Agave Village (ag011)'!AJ76+'Agave Village LLC'!AJ65+'Brookhaven Estates (bo260)'!AJ58+'Brookhaven RV Resort'!AJ54+'Courtly Manor'!AJ47+'Courtly Manor Park (co669)'!AJ48+'Cross Creek RV'!AJ143+'Cross Creek RV Resort (cr994)'!AJ149+'El Rio De Oro (el289)'!AJ45+'El Rio del Oro'!AJ48+'Endless Summer RV Resort'!AJ66+'Endless Summer RV Resort (en079'!AJ58+Evergreen!AJ45+'Far Horizons'!AJ45+'Far Horizons (fa105)'!AJ45+'Floridian Sandalwood (fl356)'!AJ42+'Floridian Sandalwood MHC'!AJ46+Glenhaven!AJ50+'Glenhaven Estates (gl317)'!AJ50+'Harbor Lights (ha310)'!AJ51+'Harbor Lights MHC'!AJ49+'Harvest Gate'!AJ59+'Hunter Run RV Estates'!AJ100+'Hunters Run RV Estates (hu116)'!AJ213+'Jade Isle (ja068)'!AJ42+'Jade Isle MHC'!AJ44+'Kakusha Estates (ka045)'!AJ48+'Kakusha MHC'!AJ47+'Lakeside Village'!AJ53+'Lakeside Village (la482)'!AJ55+'Lakewood Village (la481)'!AJ114+'Lakewood Village MHC LLC'!AJ134+'Maple Corner'!AJ67+'Maple Corner (ma490)'!AJ57+'Marlboro Court (ma489)'!AJ45+'Marlboro Court MHC LLC'!AJ45+'May Manor'!AJ149+'May Manor (ma488)'!AJ81+'Mobiland by the Sea (mo320)'!AJ50+'Mobiland By The Sea MHC'!AJ51+'Moss Landing'!AJ78+'Moss Landing (mo321)'!AJ70+'Oak Springs'!AJ82+'Oak Springs MHC (oa150)'!AJ58+'Orange Manor East'!AJ47+'Orange Manor East (or125)'!AJ50+'Pacific Manor'!AJ56+'Pacific Manor (pa602)'!AJ58+Parkhaven!AJ113+Ridgecrest!AJ63+Riverest!AJ57+'Riverview MHRV LLC'!AJ60+Rosehaven!AJ125+'Sanctuary RV Resort'!AJ237+'Shadow Mountain MHC'!AJ44+Springhaven!AJ44+'Star Valley Ranch'!AJ55+Sunhaven!AJ51+'Sunny Grove'!AJ50+Tarponaire!AJ54+'Val Vista RV Resort'!AJ83+'Webster RV Resort LLC'!AJ70+'Wekiva Falls RV Resort'!AJ94+'West Jupiter RV Resort'!AJ51+'Western Way RV Resort LLC'!AJ143</f>
      </c>
      <c r="AK23" s="19"/>
    </row>
    <row r="24" ht="12.75" customHeight="1" spans="2:37" x14ac:dyDescent="0.25">
      <c r="B24" s="16" t="s">
        <v>42</v>
      </c>
      <c r="C24" s="17"/>
      <c r="D24" s="17"/>
      <c r="E24" s="24">
        <f>'Agave Village (ag011)'!E77+'Agave Village LLC'!E66+'Brookhaven Estates (bo260)'!E59+'Brookhaven RV Resort'!E55+'Courtly Manor'!E48+'Courtly Manor Park (co669)'!E49+'Cross Creek RV'!E144+'Cross Creek RV Resort (cr994)'!E150+'El Rio De Oro (el289)'!E46+'El Rio del Oro'!E49+'Endless Summer RV Resort'!E67+'Endless Summer RV Resort (en079'!E59+Evergreen!E46+'Far Horizons'!E46+'Far Horizons (fa105)'!E46+'Floridian Sandalwood (fl356)'!E43+'Floridian Sandalwood MHC'!E47+Glenhaven!E51+'Glenhaven Estates (gl317)'!E51+'Harbor Lights (ha310)'!E52+'Harbor Lights MHC'!E50+'Harvest Gate'!E60+'Hunter Run RV Estates'!E101+'Hunters Run RV Estates (hu116)'!E214+'Jade Isle (ja068)'!E43+'Jade Isle MHC'!E45+'Kakusha Estates (ka045)'!E49+'Kakusha MHC'!E48+'Lakeside Village'!E54+'Lakeside Village (la482)'!E56+'Lakewood Village (la481)'!E115+'Lakewood Village MHC LLC'!E135+'Maple Corner'!E68+'Maple Corner (ma490)'!E58+'Marlboro Court (ma489)'!E46+'Marlboro Court MHC LLC'!E46+'May Manor'!E150+'May Manor (ma488)'!E82+'Mobiland by the Sea (mo320)'!E51+'Mobiland By The Sea MHC'!E52+'Moss Landing'!E79+'Moss Landing (mo321)'!E71+'Oak Springs'!E83+'Oak Springs MHC (oa150)'!E59+'Orange Manor East'!E48+'Orange Manor East (or125)'!E51+'Pacific Manor'!E57+'Pacific Manor (pa602)'!E59+Parkhaven!E114+Ridgecrest!E64+Riverest!E58+'Riverview MHRV LLC'!E61+Rosehaven!E126+'Sanctuary RV Resort'!E238+'Shadow Mountain MHC'!E45+Springhaven!E45+'Star Valley Ranch'!E56+Sunhaven!E52+'Sunny Grove'!E51+Tarponaire!E55+'Val Vista RV Resort'!E84+'Webster RV Resort LLC'!E71+'Wekiva Falls RV Resort'!E95+'West Jupiter RV Resort'!E52+'Western Way RV Resort LLC'!E144</f>
      </c>
      <c r="F24" s="24">
        <f>'Agave Village (ag011)'!F77+'Agave Village LLC'!F66+'Brookhaven Estates (bo260)'!F59+'Brookhaven RV Resort'!F55+'Courtly Manor'!F48+'Courtly Manor Park (co669)'!F49+'Cross Creek RV'!F144+'Cross Creek RV Resort (cr994)'!F150+'El Rio De Oro (el289)'!F46+'El Rio del Oro'!F49+'Endless Summer RV Resort'!F67+'Endless Summer RV Resort (en079'!F59+Evergreen!F46+'Far Horizons'!F46+'Far Horizons (fa105)'!F46+'Floridian Sandalwood (fl356)'!F43+'Floridian Sandalwood MHC'!F47+Glenhaven!F51+'Glenhaven Estates (gl317)'!F51+'Harbor Lights (ha310)'!F52+'Harbor Lights MHC'!F50+'Harvest Gate'!F60+'Hunter Run RV Estates'!F101+'Hunters Run RV Estates (hu116)'!F214+'Jade Isle (ja068)'!F43+'Jade Isle MHC'!F45+'Kakusha Estates (ka045)'!F49+'Kakusha MHC'!F48+'Lakeside Village'!F54+'Lakeside Village (la482)'!F56+'Lakewood Village (la481)'!F115+'Lakewood Village MHC LLC'!F135+'Maple Corner'!F68+'Maple Corner (ma490)'!F58+'Marlboro Court (ma489)'!F46+'Marlboro Court MHC LLC'!F46+'May Manor'!F150+'May Manor (ma488)'!F82+'Mobiland by the Sea (mo320)'!F51+'Mobiland By The Sea MHC'!F52+'Moss Landing'!F79+'Moss Landing (mo321)'!F71+'Oak Springs'!F83+'Oak Springs MHC (oa150)'!F59+'Orange Manor East'!F48+'Orange Manor East (or125)'!F51+'Pacific Manor'!F57+'Pacific Manor (pa602)'!F59+Parkhaven!F114+Ridgecrest!F64+Riverest!F58+'Riverview MHRV LLC'!F61+Rosehaven!F126+'Sanctuary RV Resort'!F238+'Shadow Mountain MHC'!F45+Springhaven!F45+'Star Valley Ranch'!F56+Sunhaven!F52+'Sunny Grove'!F51+Tarponaire!F55+'Val Vista RV Resort'!F84+'Webster RV Resort LLC'!F71+'Wekiva Falls RV Resort'!F95+'West Jupiter RV Resort'!F52+'Western Way RV Resort LLC'!F144</f>
      </c>
      <c r="G24" s="24">
        <f>'Agave Village (ag011)'!G77+'Agave Village LLC'!G66+'Brookhaven Estates (bo260)'!G59+'Brookhaven RV Resort'!G55+'Courtly Manor'!G48+'Courtly Manor Park (co669)'!G49+'Cross Creek RV'!G144+'Cross Creek RV Resort (cr994)'!G150+'El Rio De Oro (el289)'!G46+'El Rio del Oro'!G49+'Endless Summer RV Resort'!G67+'Endless Summer RV Resort (en079'!G59+Evergreen!G46+'Far Horizons'!G46+'Far Horizons (fa105)'!G46+'Floridian Sandalwood (fl356)'!G43+'Floridian Sandalwood MHC'!G47+Glenhaven!G51+'Glenhaven Estates (gl317)'!G51+'Harbor Lights (ha310)'!G52+'Harbor Lights MHC'!G50+'Harvest Gate'!G60+'Hunter Run RV Estates'!G101+'Hunters Run RV Estates (hu116)'!G214+'Jade Isle (ja068)'!G43+'Jade Isle MHC'!G45+'Kakusha Estates (ka045)'!G49+'Kakusha MHC'!G48+'Lakeside Village'!G54+'Lakeside Village (la482)'!G56+'Lakewood Village (la481)'!G115+'Lakewood Village MHC LLC'!G135+'Maple Corner'!G68+'Maple Corner (ma490)'!G58+'Marlboro Court (ma489)'!G46+'Marlboro Court MHC LLC'!G46+'May Manor'!G150+'May Manor (ma488)'!G82+'Mobiland by the Sea (mo320)'!G51+'Mobiland By The Sea MHC'!G52+'Moss Landing'!G79+'Moss Landing (mo321)'!G71+'Oak Springs'!G83+'Oak Springs MHC (oa150)'!G59+'Orange Manor East'!G48+'Orange Manor East (or125)'!G51+'Pacific Manor'!G57+'Pacific Manor (pa602)'!G59+Parkhaven!G114+Ridgecrest!G64+Riverest!G58+'Riverview MHRV LLC'!G61+Rosehaven!G126+'Sanctuary RV Resort'!G238+'Shadow Mountain MHC'!G45+Springhaven!G45+'Star Valley Ranch'!G56+Sunhaven!G52+'Sunny Grove'!G51+Tarponaire!G55+'Val Vista RV Resort'!G84+'Webster RV Resort LLC'!G71+'Wekiva Falls RV Resort'!G95+'West Jupiter RV Resort'!G52+'Western Way RV Resort LLC'!G144</f>
      </c>
      <c r="H24" s="24">
        <f>'Agave Village (ag011)'!H77+'Agave Village LLC'!H66+'Brookhaven Estates (bo260)'!H59+'Brookhaven RV Resort'!H55+'Courtly Manor'!H48+'Courtly Manor Park (co669)'!H49+'Cross Creek RV'!H144+'Cross Creek RV Resort (cr994)'!H150+'El Rio De Oro (el289)'!H46+'El Rio del Oro'!H49+'Endless Summer RV Resort'!H67+'Endless Summer RV Resort (en079'!H59+Evergreen!H46+'Far Horizons'!H46+'Far Horizons (fa105)'!H46+'Floridian Sandalwood (fl356)'!H43+'Floridian Sandalwood MHC'!H47+Glenhaven!H51+'Glenhaven Estates (gl317)'!H51+'Harbor Lights (ha310)'!H52+'Harbor Lights MHC'!H50+'Harvest Gate'!H60+'Hunter Run RV Estates'!H101+'Hunters Run RV Estates (hu116)'!H214+'Jade Isle (ja068)'!H43+'Jade Isle MHC'!H45+'Kakusha Estates (ka045)'!H49+'Kakusha MHC'!H48+'Lakeside Village'!H54+'Lakeside Village (la482)'!H56+'Lakewood Village (la481)'!H115+'Lakewood Village MHC LLC'!H135+'Maple Corner'!H68+'Maple Corner (ma490)'!H58+'Marlboro Court (ma489)'!H46+'Marlboro Court MHC LLC'!H46+'May Manor'!H150+'May Manor (ma488)'!H82+'Mobiland by the Sea (mo320)'!H51+'Mobiland By The Sea MHC'!H52+'Moss Landing'!H79+'Moss Landing (mo321)'!H71+'Oak Springs'!H83+'Oak Springs MHC (oa150)'!H59+'Orange Manor East'!H48+'Orange Manor East (or125)'!H51+'Pacific Manor'!H57+'Pacific Manor (pa602)'!H59+Parkhaven!H114+Ridgecrest!H64+Riverest!H58+'Riverview MHRV LLC'!H61+Rosehaven!H126+'Sanctuary RV Resort'!H238+'Shadow Mountain MHC'!H45+Springhaven!H45+'Star Valley Ranch'!H56+Sunhaven!H52+'Sunny Grove'!H51+Tarponaire!H55+'Val Vista RV Resort'!H84+'Webster RV Resort LLC'!H71+'Wekiva Falls RV Resort'!H95+'West Jupiter RV Resort'!H52+'Western Way RV Resort LLC'!H144</f>
      </c>
      <c r="I24" s="24">
        <f>'Agave Village (ag011)'!I77+'Agave Village LLC'!I66+'Brookhaven Estates (bo260)'!I59+'Brookhaven RV Resort'!I55+'Courtly Manor'!I48+'Courtly Manor Park (co669)'!I49+'Cross Creek RV'!I144+'Cross Creek RV Resort (cr994)'!I150+'El Rio De Oro (el289)'!I46+'El Rio del Oro'!I49+'Endless Summer RV Resort'!I67+'Endless Summer RV Resort (en079'!I59+Evergreen!I46+'Far Horizons'!I46+'Far Horizons (fa105)'!I46+'Floridian Sandalwood (fl356)'!I43+'Floridian Sandalwood MHC'!I47+Glenhaven!I51+'Glenhaven Estates (gl317)'!I51+'Harbor Lights (ha310)'!I52+'Harbor Lights MHC'!I50+'Harvest Gate'!I60+'Hunter Run RV Estates'!I101+'Hunters Run RV Estates (hu116)'!I214+'Jade Isle (ja068)'!I43+'Jade Isle MHC'!I45+'Kakusha Estates (ka045)'!I49+'Kakusha MHC'!I48+'Lakeside Village'!I54+'Lakeside Village (la482)'!I56+'Lakewood Village (la481)'!I115+'Lakewood Village MHC LLC'!I135+'Maple Corner'!I68+'Maple Corner (ma490)'!I58+'Marlboro Court (ma489)'!I46+'Marlboro Court MHC LLC'!I46+'May Manor'!I150+'May Manor (ma488)'!I82+'Mobiland by the Sea (mo320)'!I51+'Mobiland By The Sea MHC'!I52+'Moss Landing'!I79+'Moss Landing (mo321)'!I71+'Oak Springs'!I83+'Oak Springs MHC (oa150)'!I59+'Orange Manor East'!I48+'Orange Manor East (or125)'!I51+'Pacific Manor'!I57+'Pacific Manor (pa602)'!I59+Parkhaven!I114+Ridgecrest!I64+Riverest!I58+'Riverview MHRV LLC'!I61+Rosehaven!I126+'Sanctuary RV Resort'!I238+'Shadow Mountain MHC'!I45+Springhaven!I45+'Star Valley Ranch'!I56+Sunhaven!I52+'Sunny Grove'!I51+Tarponaire!I55+'Val Vista RV Resort'!I84+'Webster RV Resort LLC'!I71+'Wekiva Falls RV Resort'!I95+'West Jupiter RV Resort'!I52+'Western Way RV Resort LLC'!I144</f>
      </c>
      <c r="J24" s="24">
        <f>'Agave Village (ag011)'!J77+'Agave Village LLC'!J66+'Brookhaven Estates (bo260)'!J59+'Brookhaven RV Resort'!J55+'Courtly Manor'!J48+'Courtly Manor Park (co669)'!J49+'Cross Creek RV'!J144+'Cross Creek RV Resort (cr994)'!J150+'El Rio De Oro (el289)'!J46+'El Rio del Oro'!J49+'Endless Summer RV Resort'!J67+'Endless Summer RV Resort (en079'!J59+Evergreen!J46+'Far Horizons'!J46+'Far Horizons (fa105)'!J46+'Floridian Sandalwood (fl356)'!J43+'Floridian Sandalwood MHC'!J47+Glenhaven!J51+'Glenhaven Estates (gl317)'!J51+'Harbor Lights (ha310)'!J52+'Harbor Lights MHC'!J50+'Harvest Gate'!J60+'Hunter Run RV Estates'!J101+'Hunters Run RV Estates (hu116)'!J214+'Jade Isle (ja068)'!J43+'Jade Isle MHC'!J45+'Kakusha Estates (ka045)'!J49+'Kakusha MHC'!J48+'Lakeside Village'!J54+'Lakeside Village (la482)'!J56+'Lakewood Village (la481)'!J115+'Lakewood Village MHC LLC'!J135+'Maple Corner'!J68+'Maple Corner (ma490)'!J58+'Marlboro Court (ma489)'!J46+'Marlboro Court MHC LLC'!J46+'May Manor'!J150+'May Manor (ma488)'!J82+'Mobiland by the Sea (mo320)'!J51+'Mobiland By The Sea MHC'!J52+'Moss Landing'!J79+'Moss Landing (mo321)'!J71+'Oak Springs'!J83+'Oak Springs MHC (oa150)'!J59+'Orange Manor East'!J48+'Orange Manor East (or125)'!J51+'Pacific Manor'!J57+'Pacific Manor (pa602)'!J59+Parkhaven!J114+Ridgecrest!J64+Riverest!J58+'Riverview MHRV LLC'!J61+Rosehaven!J126+'Sanctuary RV Resort'!J238+'Shadow Mountain MHC'!J45+Springhaven!J45+'Star Valley Ranch'!J56+Sunhaven!J52+'Sunny Grove'!J51+Tarponaire!J55+'Val Vista RV Resort'!J84+'Webster RV Resort LLC'!J71+'Wekiva Falls RV Resort'!J95+'West Jupiter RV Resort'!J52+'Western Way RV Resort LLC'!J144</f>
      </c>
      <c r="K24" s="24">
        <f>'Agave Village (ag011)'!K77+'Agave Village LLC'!K66+'Brookhaven Estates (bo260)'!K59+'Brookhaven RV Resort'!K55+'Courtly Manor'!K48+'Courtly Manor Park (co669)'!K49+'Cross Creek RV'!K144+'Cross Creek RV Resort (cr994)'!K150+'El Rio De Oro (el289)'!K46+'El Rio del Oro'!K49+'Endless Summer RV Resort'!K67+'Endless Summer RV Resort (en079'!K59+Evergreen!K46+'Far Horizons'!K46+'Far Horizons (fa105)'!K46+'Floridian Sandalwood (fl356)'!K43+'Floridian Sandalwood MHC'!K47+Glenhaven!K51+'Glenhaven Estates (gl317)'!K51+'Harbor Lights (ha310)'!K52+'Harbor Lights MHC'!K50+'Harvest Gate'!K60+'Hunter Run RV Estates'!K101+'Hunters Run RV Estates (hu116)'!K214+'Jade Isle (ja068)'!K43+'Jade Isle MHC'!K45+'Kakusha Estates (ka045)'!K49+'Kakusha MHC'!K48+'Lakeside Village'!K54+'Lakeside Village (la482)'!K56+'Lakewood Village (la481)'!K115+'Lakewood Village MHC LLC'!K135+'Maple Corner'!K68+'Maple Corner (ma490)'!K58+'Marlboro Court (ma489)'!K46+'Marlboro Court MHC LLC'!K46+'May Manor'!K150+'May Manor (ma488)'!K82+'Mobiland by the Sea (mo320)'!K51+'Mobiland By The Sea MHC'!K52+'Moss Landing'!K79+'Moss Landing (mo321)'!K71+'Oak Springs'!K83+'Oak Springs MHC (oa150)'!K59+'Orange Manor East'!K48+'Orange Manor East (or125)'!K51+'Pacific Manor'!K57+'Pacific Manor (pa602)'!K59+Parkhaven!K114+Ridgecrest!K64+Riverest!K58+'Riverview MHRV LLC'!K61+Rosehaven!K126+'Sanctuary RV Resort'!K238+'Shadow Mountain MHC'!K45+Springhaven!K45+'Star Valley Ranch'!K56+Sunhaven!K52+'Sunny Grove'!K51+Tarponaire!K55+'Val Vista RV Resort'!K84+'Webster RV Resort LLC'!K71+'Wekiva Falls RV Resort'!K95+'West Jupiter RV Resort'!K52+'Western Way RV Resort LLC'!K144</f>
      </c>
      <c r="L24" s="24">
        <f>'Agave Village (ag011)'!L77+'Agave Village LLC'!L66+'Brookhaven Estates (bo260)'!L59+'Brookhaven RV Resort'!L55+'Courtly Manor'!L48+'Courtly Manor Park (co669)'!L49+'Cross Creek RV'!L144+'Cross Creek RV Resort (cr994)'!L150+'El Rio De Oro (el289)'!L46+'El Rio del Oro'!L49+'Endless Summer RV Resort'!L67+'Endless Summer RV Resort (en079'!L59+Evergreen!L46+'Far Horizons'!L46+'Far Horizons (fa105)'!L46+'Floridian Sandalwood (fl356)'!L43+'Floridian Sandalwood MHC'!L47+Glenhaven!L51+'Glenhaven Estates (gl317)'!L51+'Harbor Lights (ha310)'!L52+'Harbor Lights MHC'!L50+'Harvest Gate'!L60+'Hunter Run RV Estates'!L101+'Hunters Run RV Estates (hu116)'!L214+'Jade Isle (ja068)'!L43+'Jade Isle MHC'!L45+'Kakusha Estates (ka045)'!L49+'Kakusha MHC'!L48+'Lakeside Village'!L54+'Lakeside Village (la482)'!L56+'Lakewood Village (la481)'!L115+'Lakewood Village MHC LLC'!L135+'Maple Corner'!L68+'Maple Corner (ma490)'!L58+'Marlboro Court (ma489)'!L46+'Marlboro Court MHC LLC'!L46+'May Manor'!L150+'May Manor (ma488)'!L82+'Mobiland by the Sea (mo320)'!L51+'Mobiland By The Sea MHC'!L52+'Moss Landing'!L79+'Moss Landing (mo321)'!L71+'Oak Springs'!L83+'Oak Springs MHC (oa150)'!L59+'Orange Manor East'!L48+'Orange Manor East (or125)'!L51+'Pacific Manor'!L57+'Pacific Manor (pa602)'!L59+Parkhaven!L114+Ridgecrest!L64+Riverest!L58+'Riverview MHRV LLC'!L61+Rosehaven!L126+'Sanctuary RV Resort'!L238+'Shadow Mountain MHC'!L45+Springhaven!L45+'Star Valley Ranch'!L56+Sunhaven!L52+'Sunny Grove'!L51+Tarponaire!L55+'Val Vista RV Resort'!L84+'Webster RV Resort LLC'!L71+'Wekiva Falls RV Resort'!L95+'West Jupiter RV Resort'!L52+'Western Way RV Resort LLC'!L144</f>
      </c>
      <c r="M24" s="24">
        <f>'Agave Village (ag011)'!M77+'Agave Village LLC'!M66+'Brookhaven Estates (bo260)'!M59+'Brookhaven RV Resort'!M55+'Courtly Manor'!M48+'Courtly Manor Park (co669)'!M49+'Cross Creek RV'!M144+'Cross Creek RV Resort (cr994)'!M150+'El Rio De Oro (el289)'!M46+'El Rio del Oro'!M49+'Endless Summer RV Resort'!M67+'Endless Summer RV Resort (en079'!M59+Evergreen!M46+'Far Horizons'!M46+'Far Horizons (fa105)'!M46+'Floridian Sandalwood (fl356)'!M43+'Floridian Sandalwood MHC'!M47+Glenhaven!M51+'Glenhaven Estates (gl317)'!M51+'Harbor Lights (ha310)'!M52+'Harbor Lights MHC'!M50+'Harvest Gate'!M60+'Hunter Run RV Estates'!M101+'Hunters Run RV Estates (hu116)'!M214+'Jade Isle (ja068)'!M43+'Jade Isle MHC'!M45+'Kakusha Estates (ka045)'!M49+'Kakusha MHC'!M48+'Lakeside Village'!M54+'Lakeside Village (la482)'!M56+'Lakewood Village (la481)'!M115+'Lakewood Village MHC LLC'!M135+'Maple Corner'!M68+'Maple Corner (ma490)'!M58+'Marlboro Court (ma489)'!M46+'Marlboro Court MHC LLC'!M46+'May Manor'!M150+'May Manor (ma488)'!M82+'Mobiland by the Sea (mo320)'!M51+'Mobiland By The Sea MHC'!M52+'Moss Landing'!M79+'Moss Landing (mo321)'!M71+'Oak Springs'!M83+'Oak Springs MHC (oa150)'!M59+'Orange Manor East'!M48+'Orange Manor East (or125)'!M51+'Pacific Manor'!M57+'Pacific Manor (pa602)'!M59+Parkhaven!M114+Ridgecrest!M64+Riverest!M58+'Riverview MHRV LLC'!M61+Rosehaven!M126+'Sanctuary RV Resort'!M238+'Shadow Mountain MHC'!M45+Springhaven!M45+'Star Valley Ranch'!M56+Sunhaven!M52+'Sunny Grove'!M51+Tarponaire!M55+'Val Vista RV Resort'!M84+'Webster RV Resort LLC'!M71+'Wekiva Falls RV Resort'!M95+'West Jupiter RV Resort'!M52+'Western Way RV Resort LLC'!M144</f>
      </c>
      <c r="N24" s="24">
        <f>'Agave Village (ag011)'!N77+'Agave Village LLC'!N66+'Brookhaven Estates (bo260)'!N59+'Brookhaven RV Resort'!N55+'Courtly Manor'!N48+'Courtly Manor Park (co669)'!N49+'Cross Creek RV'!N144+'Cross Creek RV Resort (cr994)'!N150+'El Rio De Oro (el289)'!N46+'El Rio del Oro'!N49+'Endless Summer RV Resort'!N67+'Endless Summer RV Resort (en079'!N59+Evergreen!N46+'Far Horizons'!N46+'Far Horizons (fa105)'!N46+'Floridian Sandalwood (fl356)'!N43+'Floridian Sandalwood MHC'!N47+Glenhaven!N51+'Glenhaven Estates (gl317)'!N51+'Harbor Lights (ha310)'!N52+'Harbor Lights MHC'!N50+'Harvest Gate'!N60+'Hunter Run RV Estates'!N101+'Hunters Run RV Estates (hu116)'!N214+'Jade Isle (ja068)'!N43+'Jade Isle MHC'!N45+'Kakusha Estates (ka045)'!N49+'Kakusha MHC'!N48+'Lakeside Village'!N54+'Lakeside Village (la482)'!N56+'Lakewood Village (la481)'!N115+'Lakewood Village MHC LLC'!N135+'Maple Corner'!N68+'Maple Corner (ma490)'!N58+'Marlboro Court (ma489)'!N46+'Marlboro Court MHC LLC'!N46+'May Manor'!N150+'May Manor (ma488)'!N82+'Mobiland by the Sea (mo320)'!N51+'Mobiland By The Sea MHC'!N52+'Moss Landing'!N79+'Moss Landing (mo321)'!N71+'Oak Springs'!N83+'Oak Springs MHC (oa150)'!N59+'Orange Manor East'!N48+'Orange Manor East (or125)'!N51+'Pacific Manor'!N57+'Pacific Manor (pa602)'!N59+Parkhaven!N114+Ridgecrest!N64+Riverest!N58+'Riverview MHRV LLC'!N61+Rosehaven!N126+'Sanctuary RV Resort'!N238+'Shadow Mountain MHC'!N45+Springhaven!N45+'Star Valley Ranch'!N56+Sunhaven!N52+'Sunny Grove'!N51+Tarponaire!N55+'Val Vista RV Resort'!N84+'Webster RV Resort LLC'!N71+'Wekiva Falls RV Resort'!N95+'West Jupiter RV Resort'!N52+'Western Way RV Resort LLC'!N144</f>
      </c>
      <c r="O24" s="24">
        <f>'Agave Village (ag011)'!O77+'Agave Village LLC'!O66+'Brookhaven Estates (bo260)'!O59+'Brookhaven RV Resort'!O55+'Courtly Manor'!O48+'Courtly Manor Park (co669)'!O49+'Cross Creek RV'!O144+'Cross Creek RV Resort (cr994)'!O150+'El Rio De Oro (el289)'!O46+'El Rio del Oro'!O49+'Endless Summer RV Resort'!O67+'Endless Summer RV Resort (en079'!O59+Evergreen!O46+'Far Horizons'!O46+'Far Horizons (fa105)'!O46+'Floridian Sandalwood (fl356)'!O43+'Floridian Sandalwood MHC'!O47+Glenhaven!O51+'Glenhaven Estates (gl317)'!O51+'Harbor Lights (ha310)'!O52+'Harbor Lights MHC'!O50+'Harvest Gate'!O60+'Hunter Run RV Estates'!O101+'Hunters Run RV Estates (hu116)'!O214+'Jade Isle (ja068)'!O43+'Jade Isle MHC'!O45+'Kakusha Estates (ka045)'!O49+'Kakusha MHC'!O48+'Lakeside Village'!O54+'Lakeside Village (la482)'!O56+'Lakewood Village (la481)'!O115+'Lakewood Village MHC LLC'!O135+'Maple Corner'!O68+'Maple Corner (ma490)'!O58+'Marlboro Court (ma489)'!O46+'Marlboro Court MHC LLC'!O46+'May Manor'!O150+'May Manor (ma488)'!O82+'Mobiland by the Sea (mo320)'!O51+'Mobiland By The Sea MHC'!O52+'Moss Landing'!O79+'Moss Landing (mo321)'!O71+'Oak Springs'!O83+'Oak Springs MHC (oa150)'!O59+'Orange Manor East'!O48+'Orange Manor East (or125)'!O51+'Pacific Manor'!O57+'Pacific Manor (pa602)'!O59+Parkhaven!O114+Ridgecrest!O64+Riverest!O58+'Riverview MHRV LLC'!O61+Rosehaven!O126+'Sanctuary RV Resort'!O238+'Shadow Mountain MHC'!O45+Springhaven!O45+'Star Valley Ranch'!O56+Sunhaven!O52+'Sunny Grove'!O51+Tarponaire!O55+'Val Vista RV Resort'!O84+'Webster RV Resort LLC'!O71+'Wekiva Falls RV Resort'!O95+'West Jupiter RV Resort'!O52+'Western Way RV Resort LLC'!O144</f>
      </c>
      <c r="P24" s="24">
        <f>'Agave Village (ag011)'!P77+'Agave Village LLC'!P66+'Brookhaven Estates (bo260)'!P59+'Brookhaven RV Resort'!P55+'Courtly Manor'!P48+'Courtly Manor Park (co669)'!P49+'Cross Creek RV'!P144+'Cross Creek RV Resort (cr994)'!P150+'El Rio De Oro (el289)'!P46+'El Rio del Oro'!P49+'Endless Summer RV Resort'!P67+'Endless Summer RV Resort (en079'!P59+Evergreen!P46+'Far Horizons'!P46+'Far Horizons (fa105)'!P46+'Floridian Sandalwood (fl356)'!P43+'Floridian Sandalwood MHC'!P47+Glenhaven!P51+'Glenhaven Estates (gl317)'!P51+'Harbor Lights (ha310)'!P52+'Harbor Lights MHC'!P50+'Harvest Gate'!P60+'Hunter Run RV Estates'!P101+'Hunters Run RV Estates (hu116)'!P214+'Jade Isle (ja068)'!P43+'Jade Isle MHC'!P45+'Kakusha Estates (ka045)'!P49+'Kakusha MHC'!P48+'Lakeside Village'!P54+'Lakeside Village (la482)'!P56+'Lakewood Village (la481)'!P115+'Lakewood Village MHC LLC'!P135+'Maple Corner'!P68+'Maple Corner (ma490)'!P58+'Marlboro Court (ma489)'!P46+'Marlboro Court MHC LLC'!P46+'May Manor'!P150+'May Manor (ma488)'!P82+'Mobiland by the Sea (mo320)'!P51+'Mobiland By The Sea MHC'!P52+'Moss Landing'!P79+'Moss Landing (mo321)'!P71+'Oak Springs'!P83+'Oak Springs MHC (oa150)'!P59+'Orange Manor East'!P48+'Orange Manor East (or125)'!P51+'Pacific Manor'!P57+'Pacific Manor (pa602)'!P59+Parkhaven!P114+Ridgecrest!P64+Riverest!P58+'Riverview MHRV LLC'!P61+Rosehaven!P126+'Sanctuary RV Resort'!P238+'Shadow Mountain MHC'!P45+Springhaven!P45+'Star Valley Ranch'!P56+Sunhaven!P52+'Sunny Grove'!P51+Tarponaire!P55+'Val Vista RV Resort'!P84+'Webster RV Resort LLC'!P71+'Wekiva Falls RV Resort'!P95+'West Jupiter RV Resort'!P52+'Western Way RV Resort LLC'!P144</f>
      </c>
      <c r="Q24" s="24">
        <f>'Agave Village (ag011)'!Q77+'Agave Village LLC'!Q66+'Brookhaven Estates (bo260)'!Q59+'Brookhaven RV Resort'!Q55+'Courtly Manor'!Q48+'Courtly Manor Park (co669)'!Q49+'Cross Creek RV'!Q144+'Cross Creek RV Resort (cr994)'!Q150+'El Rio De Oro (el289)'!Q46+'El Rio del Oro'!Q49+'Endless Summer RV Resort'!Q67+'Endless Summer RV Resort (en079'!Q59+Evergreen!Q46+'Far Horizons'!Q46+'Far Horizons (fa105)'!Q46+'Floridian Sandalwood (fl356)'!Q43+'Floridian Sandalwood MHC'!Q47+Glenhaven!Q51+'Glenhaven Estates (gl317)'!Q51+'Harbor Lights (ha310)'!Q52+'Harbor Lights MHC'!Q50+'Harvest Gate'!Q60+'Hunter Run RV Estates'!Q101+'Hunters Run RV Estates (hu116)'!Q214+'Jade Isle (ja068)'!Q43+'Jade Isle MHC'!Q45+'Kakusha Estates (ka045)'!Q49+'Kakusha MHC'!Q48+'Lakeside Village'!Q54+'Lakeside Village (la482)'!Q56+'Lakewood Village (la481)'!Q115+'Lakewood Village MHC LLC'!Q135+'Maple Corner'!Q68+'Maple Corner (ma490)'!Q58+'Marlboro Court (ma489)'!Q46+'Marlboro Court MHC LLC'!Q46+'May Manor'!Q150+'May Manor (ma488)'!Q82+'Mobiland by the Sea (mo320)'!Q51+'Mobiland By The Sea MHC'!Q52+'Moss Landing'!Q79+'Moss Landing (mo321)'!Q71+'Oak Springs'!Q83+'Oak Springs MHC (oa150)'!Q59+'Orange Manor East'!Q48+'Orange Manor East (or125)'!Q51+'Pacific Manor'!Q57+'Pacific Manor (pa602)'!Q59+Parkhaven!Q114+Ridgecrest!Q64+Riverest!Q58+'Riverview MHRV LLC'!Q61+Rosehaven!Q126+'Sanctuary RV Resort'!Q238+'Shadow Mountain MHC'!Q45+Springhaven!Q45+'Star Valley Ranch'!Q56+Sunhaven!Q52+'Sunny Grove'!Q51+Tarponaire!Q55+'Val Vista RV Resort'!Q84+'Webster RV Resort LLC'!Q71+'Wekiva Falls RV Resort'!Q95+'West Jupiter RV Resort'!Q52+'Western Way RV Resort LLC'!Q144</f>
      </c>
      <c r="R24" s="24">
        <f>'Agave Village (ag011)'!R77+'Agave Village LLC'!R66+'Brookhaven Estates (bo260)'!R59+'Brookhaven RV Resort'!R55+'Courtly Manor'!R48+'Courtly Manor Park (co669)'!R49+'Cross Creek RV'!R144+'Cross Creek RV Resort (cr994)'!R150+'El Rio De Oro (el289)'!R46+'El Rio del Oro'!R49+'Endless Summer RV Resort'!R67+'Endless Summer RV Resort (en079'!R59+Evergreen!R46+'Far Horizons'!R46+'Far Horizons (fa105)'!R46+'Floridian Sandalwood (fl356)'!R43+'Floridian Sandalwood MHC'!R47+Glenhaven!R51+'Glenhaven Estates (gl317)'!R51+'Harbor Lights (ha310)'!R52+'Harbor Lights MHC'!R50+'Harvest Gate'!R60+'Hunter Run RV Estates'!R101+'Hunters Run RV Estates (hu116)'!R214+'Jade Isle (ja068)'!R43+'Jade Isle MHC'!R45+'Kakusha Estates (ka045)'!R49+'Kakusha MHC'!R48+'Lakeside Village'!R54+'Lakeside Village (la482)'!R56+'Lakewood Village (la481)'!R115+'Lakewood Village MHC LLC'!R135+'Maple Corner'!R68+'Maple Corner (ma490)'!R58+'Marlboro Court (ma489)'!R46+'Marlboro Court MHC LLC'!R46+'May Manor'!R150+'May Manor (ma488)'!R82+'Mobiland by the Sea (mo320)'!R51+'Mobiland By The Sea MHC'!R52+'Moss Landing'!R79+'Moss Landing (mo321)'!R71+'Oak Springs'!R83+'Oak Springs MHC (oa150)'!R59+'Orange Manor East'!R48+'Orange Manor East (or125)'!R51+'Pacific Manor'!R57+'Pacific Manor (pa602)'!R59+Parkhaven!R114+Ridgecrest!R64+Riverest!R58+'Riverview MHRV LLC'!R61+Rosehaven!R126+'Sanctuary RV Resort'!R238+'Shadow Mountain MHC'!R45+Springhaven!R45+'Star Valley Ranch'!R56+Sunhaven!R52+'Sunny Grove'!R51+Tarponaire!R55+'Val Vista RV Resort'!R84+'Webster RV Resort LLC'!R71+'Wekiva Falls RV Resort'!R95+'West Jupiter RV Resort'!R52+'Western Way RV Resort LLC'!R144</f>
      </c>
      <c r="S24" s="24">
        <f>'Agave Village (ag011)'!S77+'Agave Village LLC'!S66+'Brookhaven Estates (bo260)'!S59+'Brookhaven RV Resort'!S55+'Courtly Manor'!S48+'Courtly Manor Park (co669)'!S49+'Cross Creek RV'!S144+'Cross Creek RV Resort (cr994)'!S150+'El Rio De Oro (el289)'!S46+'El Rio del Oro'!S49+'Endless Summer RV Resort'!S67+'Endless Summer RV Resort (en079'!S59+Evergreen!S46+'Far Horizons'!S46+'Far Horizons (fa105)'!S46+'Floridian Sandalwood (fl356)'!S43+'Floridian Sandalwood MHC'!S47+Glenhaven!S51+'Glenhaven Estates (gl317)'!S51+'Harbor Lights (ha310)'!S52+'Harbor Lights MHC'!S50+'Harvest Gate'!S60+'Hunter Run RV Estates'!S101+'Hunters Run RV Estates (hu116)'!S214+'Jade Isle (ja068)'!S43+'Jade Isle MHC'!S45+'Kakusha Estates (ka045)'!S49+'Kakusha MHC'!S48+'Lakeside Village'!S54+'Lakeside Village (la482)'!S56+'Lakewood Village (la481)'!S115+'Lakewood Village MHC LLC'!S135+'Maple Corner'!S68+'Maple Corner (ma490)'!S58+'Marlboro Court (ma489)'!S46+'Marlboro Court MHC LLC'!S46+'May Manor'!S150+'May Manor (ma488)'!S82+'Mobiland by the Sea (mo320)'!S51+'Mobiland By The Sea MHC'!S52+'Moss Landing'!S79+'Moss Landing (mo321)'!S71+'Oak Springs'!S83+'Oak Springs MHC (oa150)'!S59+'Orange Manor East'!S48+'Orange Manor East (or125)'!S51+'Pacific Manor'!S57+'Pacific Manor (pa602)'!S59+Parkhaven!S114+Ridgecrest!S64+Riverest!S58+'Riverview MHRV LLC'!S61+Rosehaven!S126+'Sanctuary RV Resort'!S238+'Shadow Mountain MHC'!S45+Springhaven!S45+'Star Valley Ranch'!S56+Sunhaven!S52+'Sunny Grove'!S51+Tarponaire!S55+'Val Vista RV Resort'!S84+'Webster RV Resort LLC'!S71+'Wekiva Falls RV Resort'!S95+'West Jupiter RV Resort'!S52+'Western Way RV Resort LLC'!S144</f>
      </c>
      <c r="T24" s="24">
        <f>'Agave Village (ag011)'!T77+'Agave Village LLC'!T66+'Brookhaven Estates (bo260)'!T59+'Brookhaven RV Resort'!T55+'Courtly Manor'!T48+'Courtly Manor Park (co669)'!T49+'Cross Creek RV'!T144+'Cross Creek RV Resort (cr994)'!T150+'El Rio De Oro (el289)'!T46+'El Rio del Oro'!T49+'Endless Summer RV Resort'!T67+'Endless Summer RV Resort (en079'!T59+Evergreen!T46+'Far Horizons'!T46+'Far Horizons (fa105)'!T46+'Floridian Sandalwood (fl356)'!T43+'Floridian Sandalwood MHC'!T47+Glenhaven!T51+'Glenhaven Estates (gl317)'!T51+'Harbor Lights (ha310)'!T52+'Harbor Lights MHC'!T50+'Harvest Gate'!T60+'Hunter Run RV Estates'!T101+'Hunters Run RV Estates (hu116)'!T214+'Jade Isle (ja068)'!T43+'Jade Isle MHC'!T45+'Kakusha Estates (ka045)'!T49+'Kakusha MHC'!T48+'Lakeside Village'!T54+'Lakeside Village (la482)'!T56+'Lakewood Village (la481)'!T115+'Lakewood Village MHC LLC'!T135+'Maple Corner'!T68+'Maple Corner (ma490)'!T58+'Marlboro Court (ma489)'!T46+'Marlboro Court MHC LLC'!T46+'May Manor'!T150+'May Manor (ma488)'!T82+'Mobiland by the Sea (mo320)'!T51+'Mobiland By The Sea MHC'!T52+'Moss Landing'!T79+'Moss Landing (mo321)'!T71+'Oak Springs'!T83+'Oak Springs MHC (oa150)'!T59+'Orange Manor East'!T48+'Orange Manor East (or125)'!T51+'Pacific Manor'!T57+'Pacific Manor (pa602)'!T59+Parkhaven!T114+Ridgecrest!T64+Riverest!T58+'Riverview MHRV LLC'!T61+Rosehaven!T126+'Sanctuary RV Resort'!T238+'Shadow Mountain MHC'!T45+Springhaven!T45+'Star Valley Ranch'!T56+Sunhaven!T52+'Sunny Grove'!T51+Tarponaire!T55+'Val Vista RV Resort'!T84+'Webster RV Resort LLC'!T71+'Wekiva Falls RV Resort'!T95+'West Jupiter RV Resort'!T52+'Western Way RV Resort LLC'!T144</f>
      </c>
      <c r="U24" s="24">
        <f>'Agave Village (ag011)'!U77+'Agave Village LLC'!U66+'Brookhaven Estates (bo260)'!U59+'Brookhaven RV Resort'!U55+'Courtly Manor'!U48+'Courtly Manor Park (co669)'!U49+'Cross Creek RV'!U144+'Cross Creek RV Resort (cr994)'!U150+'El Rio De Oro (el289)'!U46+'El Rio del Oro'!U49+'Endless Summer RV Resort'!U67+'Endless Summer RV Resort (en079'!U59+Evergreen!U46+'Far Horizons'!U46+'Far Horizons (fa105)'!U46+'Floridian Sandalwood (fl356)'!U43+'Floridian Sandalwood MHC'!U47+Glenhaven!U51+'Glenhaven Estates (gl317)'!U51+'Harbor Lights (ha310)'!U52+'Harbor Lights MHC'!U50+'Harvest Gate'!U60+'Hunter Run RV Estates'!U101+'Hunters Run RV Estates (hu116)'!U214+'Jade Isle (ja068)'!U43+'Jade Isle MHC'!U45+'Kakusha Estates (ka045)'!U49+'Kakusha MHC'!U48+'Lakeside Village'!U54+'Lakeside Village (la482)'!U56+'Lakewood Village (la481)'!U115+'Lakewood Village MHC LLC'!U135+'Maple Corner'!U68+'Maple Corner (ma490)'!U58+'Marlboro Court (ma489)'!U46+'Marlboro Court MHC LLC'!U46+'May Manor'!U150+'May Manor (ma488)'!U82+'Mobiland by the Sea (mo320)'!U51+'Mobiland By The Sea MHC'!U52+'Moss Landing'!U79+'Moss Landing (mo321)'!U71+'Oak Springs'!U83+'Oak Springs MHC (oa150)'!U59+'Orange Manor East'!U48+'Orange Manor East (or125)'!U51+'Pacific Manor'!U57+'Pacific Manor (pa602)'!U59+Parkhaven!U114+Ridgecrest!U64+Riverest!U58+'Riverview MHRV LLC'!U61+Rosehaven!U126+'Sanctuary RV Resort'!U238+'Shadow Mountain MHC'!U45+Springhaven!U45+'Star Valley Ranch'!U56+Sunhaven!U52+'Sunny Grove'!U51+Tarponaire!U55+'Val Vista RV Resort'!U84+'Webster RV Resort LLC'!U71+'Wekiva Falls RV Resort'!U95+'West Jupiter RV Resort'!U52+'Western Way RV Resort LLC'!U144</f>
      </c>
      <c r="V24" s="24">
        <f>'Agave Village (ag011)'!V77+'Agave Village LLC'!V66+'Brookhaven Estates (bo260)'!V59+'Brookhaven RV Resort'!V55+'Courtly Manor'!V48+'Courtly Manor Park (co669)'!V49+'Cross Creek RV'!V144+'Cross Creek RV Resort (cr994)'!V150+'El Rio De Oro (el289)'!V46+'El Rio del Oro'!V49+'Endless Summer RV Resort'!V67+'Endless Summer RV Resort (en079'!V59+Evergreen!V46+'Far Horizons'!V46+'Far Horizons (fa105)'!V46+'Floridian Sandalwood (fl356)'!V43+'Floridian Sandalwood MHC'!V47+Glenhaven!V51+'Glenhaven Estates (gl317)'!V51+'Harbor Lights (ha310)'!V52+'Harbor Lights MHC'!V50+'Harvest Gate'!V60+'Hunter Run RV Estates'!V101+'Hunters Run RV Estates (hu116)'!V214+'Jade Isle (ja068)'!V43+'Jade Isle MHC'!V45+'Kakusha Estates (ka045)'!V49+'Kakusha MHC'!V48+'Lakeside Village'!V54+'Lakeside Village (la482)'!V56+'Lakewood Village (la481)'!V115+'Lakewood Village MHC LLC'!V135+'Maple Corner'!V68+'Maple Corner (ma490)'!V58+'Marlboro Court (ma489)'!V46+'Marlboro Court MHC LLC'!V46+'May Manor'!V150+'May Manor (ma488)'!V82+'Mobiland by the Sea (mo320)'!V51+'Mobiland By The Sea MHC'!V52+'Moss Landing'!V79+'Moss Landing (mo321)'!V71+'Oak Springs'!V83+'Oak Springs MHC (oa150)'!V59+'Orange Manor East'!V48+'Orange Manor East (or125)'!V51+'Pacific Manor'!V57+'Pacific Manor (pa602)'!V59+Parkhaven!V114+Ridgecrest!V64+Riverest!V58+'Riverview MHRV LLC'!V61+Rosehaven!V126+'Sanctuary RV Resort'!V238+'Shadow Mountain MHC'!V45+Springhaven!V45+'Star Valley Ranch'!V56+Sunhaven!V52+'Sunny Grove'!V51+Tarponaire!V55+'Val Vista RV Resort'!V84+'Webster RV Resort LLC'!V71+'Wekiva Falls RV Resort'!V95+'West Jupiter RV Resort'!V52+'Western Way RV Resort LLC'!V144</f>
      </c>
      <c r="W24" s="24">
        <f>'Agave Village (ag011)'!W77+'Agave Village LLC'!W66+'Brookhaven Estates (bo260)'!W59+'Brookhaven RV Resort'!W55+'Courtly Manor'!W48+'Courtly Manor Park (co669)'!W49+'Cross Creek RV'!W144+'Cross Creek RV Resort (cr994)'!W150+'El Rio De Oro (el289)'!W46+'El Rio del Oro'!W49+'Endless Summer RV Resort'!W67+'Endless Summer RV Resort (en079'!W59+Evergreen!W46+'Far Horizons'!W46+'Far Horizons (fa105)'!W46+'Floridian Sandalwood (fl356)'!W43+'Floridian Sandalwood MHC'!W47+Glenhaven!W51+'Glenhaven Estates (gl317)'!W51+'Harbor Lights (ha310)'!W52+'Harbor Lights MHC'!W50+'Harvest Gate'!W60+'Hunter Run RV Estates'!W101+'Hunters Run RV Estates (hu116)'!W214+'Jade Isle (ja068)'!W43+'Jade Isle MHC'!W45+'Kakusha Estates (ka045)'!W49+'Kakusha MHC'!W48+'Lakeside Village'!W54+'Lakeside Village (la482)'!W56+'Lakewood Village (la481)'!W115+'Lakewood Village MHC LLC'!W135+'Maple Corner'!W68+'Maple Corner (ma490)'!W58+'Marlboro Court (ma489)'!W46+'Marlboro Court MHC LLC'!W46+'May Manor'!W150+'May Manor (ma488)'!W82+'Mobiland by the Sea (mo320)'!W51+'Mobiland By The Sea MHC'!W52+'Moss Landing'!W79+'Moss Landing (mo321)'!W71+'Oak Springs'!W83+'Oak Springs MHC (oa150)'!W59+'Orange Manor East'!W48+'Orange Manor East (or125)'!W51+'Pacific Manor'!W57+'Pacific Manor (pa602)'!W59+Parkhaven!W114+Ridgecrest!W64+Riverest!W58+'Riverview MHRV LLC'!W61+Rosehaven!W126+'Sanctuary RV Resort'!W238+'Shadow Mountain MHC'!W45+Springhaven!W45+'Star Valley Ranch'!W56+Sunhaven!W52+'Sunny Grove'!W51+Tarponaire!W55+'Val Vista RV Resort'!W84+'Webster RV Resort LLC'!W71+'Wekiva Falls RV Resort'!W95+'West Jupiter RV Resort'!W52+'Western Way RV Resort LLC'!W144</f>
      </c>
      <c r="X24" s="24">
        <f>'Agave Village (ag011)'!X77+'Agave Village LLC'!X66+'Brookhaven Estates (bo260)'!X59+'Brookhaven RV Resort'!X55+'Courtly Manor'!X48+'Courtly Manor Park (co669)'!X49+'Cross Creek RV'!X144+'Cross Creek RV Resort (cr994)'!X150+'El Rio De Oro (el289)'!X46+'El Rio del Oro'!X49+'Endless Summer RV Resort'!X67+'Endless Summer RV Resort (en079'!X59+Evergreen!X46+'Far Horizons'!X46+'Far Horizons (fa105)'!X46+'Floridian Sandalwood (fl356)'!X43+'Floridian Sandalwood MHC'!X47+Glenhaven!X51+'Glenhaven Estates (gl317)'!X51+'Harbor Lights (ha310)'!X52+'Harbor Lights MHC'!X50+'Harvest Gate'!X60+'Hunter Run RV Estates'!X101+'Hunters Run RV Estates (hu116)'!X214+'Jade Isle (ja068)'!X43+'Jade Isle MHC'!X45+'Kakusha Estates (ka045)'!X49+'Kakusha MHC'!X48+'Lakeside Village'!X54+'Lakeside Village (la482)'!X56+'Lakewood Village (la481)'!X115+'Lakewood Village MHC LLC'!X135+'Maple Corner'!X68+'Maple Corner (ma490)'!X58+'Marlboro Court (ma489)'!X46+'Marlboro Court MHC LLC'!X46+'May Manor'!X150+'May Manor (ma488)'!X82+'Mobiland by the Sea (mo320)'!X51+'Mobiland By The Sea MHC'!X52+'Moss Landing'!X79+'Moss Landing (mo321)'!X71+'Oak Springs'!X83+'Oak Springs MHC (oa150)'!X59+'Orange Manor East'!X48+'Orange Manor East (or125)'!X51+'Pacific Manor'!X57+'Pacific Manor (pa602)'!X59+Parkhaven!X114+Ridgecrest!X64+Riverest!X58+'Riverview MHRV LLC'!X61+Rosehaven!X126+'Sanctuary RV Resort'!X238+'Shadow Mountain MHC'!X45+Springhaven!X45+'Star Valley Ranch'!X56+Sunhaven!X52+'Sunny Grove'!X51+Tarponaire!X55+'Val Vista RV Resort'!X84+'Webster RV Resort LLC'!X71+'Wekiva Falls RV Resort'!X95+'West Jupiter RV Resort'!X52+'Western Way RV Resort LLC'!X144</f>
      </c>
      <c r="Y24" s="24">
        <f>'Agave Village (ag011)'!Y77+'Agave Village LLC'!Y66+'Brookhaven Estates (bo260)'!Y59+'Brookhaven RV Resort'!Y55+'Courtly Manor'!Y48+'Courtly Manor Park (co669)'!Y49+'Cross Creek RV'!Y144+'Cross Creek RV Resort (cr994)'!Y150+'El Rio De Oro (el289)'!Y46+'El Rio del Oro'!Y49+'Endless Summer RV Resort'!Y67+'Endless Summer RV Resort (en079'!Y59+Evergreen!Y46+'Far Horizons'!Y46+'Far Horizons (fa105)'!Y46+'Floridian Sandalwood (fl356)'!Y43+'Floridian Sandalwood MHC'!Y47+Glenhaven!Y51+'Glenhaven Estates (gl317)'!Y51+'Harbor Lights (ha310)'!Y52+'Harbor Lights MHC'!Y50+'Harvest Gate'!Y60+'Hunter Run RV Estates'!Y101+'Hunters Run RV Estates (hu116)'!Y214+'Jade Isle (ja068)'!Y43+'Jade Isle MHC'!Y45+'Kakusha Estates (ka045)'!Y49+'Kakusha MHC'!Y48+'Lakeside Village'!Y54+'Lakeside Village (la482)'!Y56+'Lakewood Village (la481)'!Y115+'Lakewood Village MHC LLC'!Y135+'Maple Corner'!Y68+'Maple Corner (ma490)'!Y58+'Marlboro Court (ma489)'!Y46+'Marlboro Court MHC LLC'!Y46+'May Manor'!Y150+'May Manor (ma488)'!Y82+'Mobiland by the Sea (mo320)'!Y51+'Mobiland By The Sea MHC'!Y52+'Moss Landing'!Y79+'Moss Landing (mo321)'!Y71+'Oak Springs'!Y83+'Oak Springs MHC (oa150)'!Y59+'Orange Manor East'!Y48+'Orange Manor East (or125)'!Y51+'Pacific Manor'!Y57+'Pacific Manor (pa602)'!Y59+Parkhaven!Y114+Ridgecrest!Y64+Riverest!Y58+'Riverview MHRV LLC'!Y61+Rosehaven!Y126+'Sanctuary RV Resort'!Y238+'Shadow Mountain MHC'!Y45+Springhaven!Y45+'Star Valley Ranch'!Y56+Sunhaven!Y52+'Sunny Grove'!Y51+Tarponaire!Y55+'Val Vista RV Resort'!Y84+'Webster RV Resort LLC'!Y71+'Wekiva Falls RV Resort'!Y95+'West Jupiter RV Resort'!Y52+'Western Way RV Resort LLC'!Y144</f>
      </c>
      <c r="Z24" s="24">
        <f>'Agave Village (ag011)'!Z77+'Agave Village LLC'!Z66+'Brookhaven Estates (bo260)'!Z59+'Brookhaven RV Resort'!Z55+'Courtly Manor'!Z48+'Courtly Manor Park (co669)'!Z49+'Cross Creek RV'!Z144+'Cross Creek RV Resort (cr994)'!Z150+'El Rio De Oro (el289)'!Z46+'El Rio del Oro'!Z49+'Endless Summer RV Resort'!Z67+'Endless Summer RV Resort (en079'!Z59+Evergreen!Z46+'Far Horizons'!Z46+'Far Horizons (fa105)'!Z46+'Floridian Sandalwood (fl356)'!Z43+'Floridian Sandalwood MHC'!Z47+Glenhaven!Z51+'Glenhaven Estates (gl317)'!Z51+'Harbor Lights (ha310)'!Z52+'Harbor Lights MHC'!Z50+'Harvest Gate'!Z60+'Hunter Run RV Estates'!Z101+'Hunters Run RV Estates (hu116)'!Z214+'Jade Isle (ja068)'!Z43+'Jade Isle MHC'!Z45+'Kakusha Estates (ka045)'!Z49+'Kakusha MHC'!Z48+'Lakeside Village'!Z54+'Lakeside Village (la482)'!Z56+'Lakewood Village (la481)'!Z115+'Lakewood Village MHC LLC'!Z135+'Maple Corner'!Z68+'Maple Corner (ma490)'!Z58+'Marlboro Court (ma489)'!Z46+'Marlboro Court MHC LLC'!Z46+'May Manor'!Z150+'May Manor (ma488)'!Z82+'Mobiland by the Sea (mo320)'!Z51+'Mobiland By The Sea MHC'!Z52+'Moss Landing'!Z79+'Moss Landing (mo321)'!Z71+'Oak Springs'!Z83+'Oak Springs MHC (oa150)'!Z59+'Orange Manor East'!Z48+'Orange Manor East (or125)'!Z51+'Pacific Manor'!Z57+'Pacific Manor (pa602)'!Z59+Parkhaven!Z114+Ridgecrest!Z64+Riverest!Z58+'Riverview MHRV LLC'!Z61+Rosehaven!Z126+'Sanctuary RV Resort'!Z238+'Shadow Mountain MHC'!Z45+Springhaven!Z45+'Star Valley Ranch'!Z56+Sunhaven!Z52+'Sunny Grove'!Z51+Tarponaire!Z55+'Val Vista RV Resort'!Z84+'Webster RV Resort LLC'!Z71+'Wekiva Falls RV Resort'!Z95+'West Jupiter RV Resort'!Z52+'Western Way RV Resort LLC'!Z144</f>
      </c>
      <c r="AA24" s="24">
        <f>'Agave Village (ag011)'!AA77+'Agave Village LLC'!AA66+'Brookhaven Estates (bo260)'!AA59+'Brookhaven RV Resort'!AA55+'Courtly Manor'!AA48+'Courtly Manor Park (co669)'!AA49+'Cross Creek RV'!AA144+'Cross Creek RV Resort (cr994)'!AA150+'El Rio De Oro (el289)'!AA46+'El Rio del Oro'!AA49+'Endless Summer RV Resort'!AA67+'Endless Summer RV Resort (en079'!AA59+Evergreen!AA46+'Far Horizons'!AA46+'Far Horizons (fa105)'!AA46+'Floridian Sandalwood (fl356)'!AA43+'Floridian Sandalwood MHC'!AA47+Glenhaven!AA51+'Glenhaven Estates (gl317)'!AA51+'Harbor Lights (ha310)'!AA52+'Harbor Lights MHC'!AA50+'Harvest Gate'!AA60+'Hunter Run RV Estates'!AA101+'Hunters Run RV Estates (hu116)'!AA214+'Jade Isle (ja068)'!AA43+'Jade Isle MHC'!AA45+'Kakusha Estates (ka045)'!AA49+'Kakusha MHC'!AA48+'Lakeside Village'!AA54+'Lakeside Village (la482)'!AA56+'Lakewood Village (la481)'!AA115+'Lakewood Village MHC LLC'!AA135+'Maple Corner'!AA68+'Maple Corner (ma490)'!AA58+'Marlboro Court (ma489)'!AA46+'Marlboro Court MHC LLC'!AA46+'May Manor'!AA150+'May Manor (ma488)'!AA82+'Mobiland by the Sea (mo320)'!AA51+'Mobiland By The Sea MHC'!AA52+'Moss Landing'!AA79+'Moss Landing (mo321)'!AA71+'Oak Springs'!AA83+'Oak Springs MHC (oa150)'!AA59+'Orange Manor East'!AA48+'Orange Manor East (or125)'!AA51+'Pacific Manor'!AA57+'Pacific Manor (pa602)'!AA59+Parkhaven!AA114+Ridgecrest!AA64+Riverest!AA58+'Riverview MHRV LLC'!AA61+Rosehaven!AA126+'Sanctuary RV Resort'!AA238+'Shadow Mountain MHC'!AA45+Springhaven!AA45+'Star Valley Ranch'!AA56+Sunhaven!AA52+'Sunny Grove'!AA51+Tarponaire!AA55+'Val Vista RV Resort'!AA84+'Webster RV Resort LLC'!AA71+'Wekiva Falls RV Resort'!AA95+'West Jupiter RV Resort'!AA52+'Western Way RV Resort LLC'!AA144</f>
      </c>
      <c r="AB24" s="24">
        <f>'Agave Village (ag011)'!AB77+'Agave Village LLC'!AB66+'Brookhaven Estates (bo260)'!AB59+'Brookhaven RV Resort'!AB55+'Courtly Manor'!AB48+'Courtly Manor Park (co669)'!AB49+'Cross Creek RV'!AB144+'Cross Creek RV Resort (cr994)'!AB150+'El Rio De Oro (el289)'!AB46+'El Rio del Oro'!AB49+'Endless Summer RV Resort'!AB67+'Endless Summer RV Resort (en079'!AB59+Evergreen!AB46+'Far Horizons'!AB46+'Far Horizons (fa105)'!AB46+'Floridian Sandalwood (fl356)'!AB43+'Floridian Sandalwood MHC'!AB47+Glenhaven!AB51+'Glenhaven Estates (gl317)'!AB51+'Harbor Lights (ha310)'!AB52+'Harbor Lights MHC'!AB50+'Harvest Gate'!AB60+'Hunter Run RV Estates'!AB101+'Hunters Run RV Estates (hu116)'!AB214+'Jade Isle (ja068)'!AB43+'Jade Isle MHC'!AB45+'Kakusha Estates (ka045)'!AB49+'Kakusha MHC'!AB48+'Lakeside Village'!AB54+'Lakeside Village (la482)'!AB56+'Lakewood Village (la481)'!AB115+'Lakewood Village MHC LLC'!AB135+'Maple Corner'!AB68+'Maple Corner (ma490)'!AB58+'Marlboro Court (ma489)'!AB46+'Marlboro Court MHC LLC'!AB46+'May Manor'!AB150+'May Manor (ma488)'!AB82+'Mobiland by the Sea (mo320)'!AB51+'Mobiland By The Sea MHC'!AB52+'Moss Landing'!AB79+'Moss Landing (mo321)'!AB71+'Oak Springs'!AB83+'Oak Springs MHC (oa150)'!AB59+'Orange Manor East'!AB48+'Orange Manor East (or125)'!AB51+'Pacific Manor'!AB57+'Pacific Manor (pa602)'!AB59+Parkhaven!AB114+Ridgecrest!AB64+Riverest!AB58+'Riverview MHRV LLC'!AB61+Rosehaven!AB126+'Sanctuary RV Resort'!AB238+'Shadow Mountain MHC'!AB45+Springhaven!AB45+'Star Valley Ranch'!AB56+Sunhaven!AB52+'Sunny Grove'!AB51+Tarponaire!AB55+'Val Vista RV Resort'!AB84+'Webster RV Resort LLC'!AB71+'Wekiva Falls RV Resort'!AB95+'West Jupiter RV Resort'!AB52+'Western Way RV Resort LLC'!AB144</f>
      </c>
      <c r="AC24" s="24">
        <f>'Agave Village (ag011)'!AC77+'Agave Village LLC'!AC66+'Brookhaven Estates (bo260)'!AC59+'Brookhaven RV Resort'!AC55+'Courtly Manor'!AC48+'Courtly Manor Park (co669)'!AC49+'Cross Creek RV'!AC144+'Cross Creek RV Resort (cr994)'!AC150+'El Rio De Oro (el289)'!AC46+'El Rio del Oro'!AC49+'Endless Summer RV Resort'!AC67+'Endless Summer RV Resort (en079'!AC59+Evergreen!AC46+'Far Horizons'!AC46+'Far Horizons (fa105)'!AC46+'Floridian Sandalwood (fl356)'!AC43+'Floridian Sandalwood MHC'!AC47+Glenhaven!AC51+'Glenhaven Estates (gl317)'!AC51+'Harbor Lights (ha310)'!AC52+'Harbor Lights MHC'!AC50+'Harvest Gate'!AC60+'Hunter Run RV Estates'!AC101+'Hunters Run RV Estates (hu116)'!AC214+'Jade Isle (ja068)'!AC43+'Jade Isle MHC'!AC45+'Kakusha Estates (ka045)'!AC49+'Kakusha MHC'!AC48+'Lakeside Village'!AC54+'Lakeside Village (la482)'!AC56+'Lakewood Village (la481)'!AC115+'Lakewood Village MHC LLC'!AC135+'Maple Corner'!AC68+'Maple Corner (ma490)'!AC58+'Marlboro Court (ma489)'!AC46+'Marlboro Court MHC LLC'!AC46+'May Manor'!AC150+'May Manor (ma488)'!AC82+'Mobiland by the Sea (mo320)'!AC51+'Mobiland By The Sea MHC'!AC52+'Moss Landing'!AC79+'Moss Landing (mo321)'!AC71+'Oak Springs'!AC83+'Oak Springs MHC (oa150)'!AC59+'Orange Manor East'!AC48+'Orange Manor East (or125)'!AC51+'Pacific Manor'!AC57+'Pacific Manor (pa602)'!AC59+Parkhaven!AC114+Ridgecrest!AC64+Riverest!AC58+'Riverview MHRV LLC'!AC61+Rosehaven!AC126+'Sanctuary RV Resort'!AC238+'Shadow Mountain MHC'!AC45+Springhaven!AC45+'Star Valley Ranch'!AC56+Sunhaven!AC52+'Sunny Grove'!AC51+Tarponaire!AC55+'Val Vista RV Resort'!AC84+'Webster RV Resort LLC'!AC71+'Wekiva Falls RV Resort'!AC95+'West Jupiter RV Resort'!AC52+'Western Way RV Resort LLC'!AC144</f>
      </c>
      <c r="AD24" s="24">
        <f>'Agave Village (ag011)'!AD77+'Agave Village LLC'!AD66+'Brookhaven Estates (bo260)'!AD59+'Brookhaven RV Resort'!AD55+'Courtly Manor'!AD48+'Courtly Manor Park (co669)'!AD49+'Cross Creek RV'!AD144+'Cross Creek RV Resort (cr994)'!AD150+'El Rio De Oro (el289)'!AD46+'El Rio del Oro'!AD49+'Endless Summer RV Resort'!AD67+'Endless Summer RV Resort (en079'!AD59+Evergreen!AD46+'Far Horizons'!AD46+'Far Horizons (fa105)'!AD46+'Floridian Sandalwood (fl356)'!AD43+'Floridian Sandalwood MHC'!AD47+Glenhaven!AD51+'Glenhaven Estates (gl317)'!AD51+'Harbor Lights (ha310)'!AD52+'Harbor Lights MHC'!AD50+'Harvest Gate'!AD60+'Hunter Run RV Estates'!AD101+'Hunters Run RV Estates (hu116)'!AD214+'Jade Isle (ja068)'!AD43+'Jade Isle MHC'!AD45+'Kakusha Estates (ka045)'!AD49+'Kakusha MHC'!AD48+'Lakeside Village'!AD54+'Lakeside Village (la482)'!AD56+'Lakewood Village (la481)'!AD115+'Lakewood Village MHC LLC'!AD135+'Maple Corner'!AD68+'Maple Corner (ma490)'!AD58+'Marlboro Court (ma489)'!AD46+'Marlboro Court MHC LLC'!AD46+'May Manor'!AD150+'May Manor (ma488)'!AD82+'Mobiland by the Sea (mo320)'!AD51+'Mobiland By The Sea MHC'!AD52+'Moss Landing'!AD79+'Moss Landing (mo321)'!AD71+'Oak Springs'!AD83+'Oak Springs MHC (oa150)'!AD59+'Orange Manor East'!AD48+'Orange Manor East (or125)'!AD51+'Pacific Manor'!AD57+'Pacific Manor (pa602)'!AD59+Parkhaven!AD114+Ridgecrest!AD64+Riverest!AD58+'Riverview MHRV LLC'!AD61+Rosehaven!AD126+'Sanctuary RV Resort'!AD238+'Shadow Mountain MHC'!AD45+Springhaven!AD45+'Star Valley Ranch'!AD56+Sunhaven!AD52+'Sunny Grove'!AD51+Tarponaire!AD55+'Val Vista RV Resort'!AD84+'Webster RV Resort LLC'!AD71+'Wekiva Falls RV Resort'!AD95+'West Jupiter RV Resort'!AD52+'Western Way RV Resort LLC'!AD144</f>
      </c>
      <c r="AE24" s="24">
        <f>'Agave Village (ag011)'!AE77+'Agave Village LLC'!AE66+'Brookhaven Estates (bo260)'!AE59+'Brookhaven RV Resort'!AE55+'Courtly Manor'!AE48+'Courtly Manor Park (co669)'!AE49+'Cross Creek RV'!AE144+'Cross Creek RV Resort (cr994)'!AE150+'El Rio De Oro (el289)'!AE46+'El Rio del Oro'!AE49+'Endless Summer RV Resort'!AE67+'Endless Summer RV Resort (en079'!AE59+Evergreen!AE46+'Far Horizons'!AE46+'Far Horizons (fa105)'!AE46+'Floridian Sandalwood (fl356)'!AE43+'Floridian Sandalwood MHC'!AE47+Glenhaven!AE51+'Glenhaven Estates (gl317)'!AE51+'Harbor Lights (ha310)'!AE52+'Harbor Lights MHC'!AE50+'Harvest Gate'!AE60+'Hunter Run RV Estates'!AE101+'Hunters Run RV Estates (hu116)'!AE214+'Jade Isle (ja068)'!AE43+'Jade Isle MHC'!AE45+'Kakusha Estates (ka045)'!AE49+'Kakusha MHC'!AE48+'Lakeside Village'!AE54+'Lakeside Village (la482)'!AE56+'Lakewood Village (la481)'!AE115+'Lakewood Village MHC LLC'!AE135+'Maple Corner'!AE68+'Maple Corner (ma490)'!AE58+'Marlboro Court (ma489)'!AE46+'Marlboro Court MHC LLC'!AE46+'May Manor'!AE150+'May Manor (ma488)'!AE82+'Mobiland by the Sea (mo320)'!AE51+'Mobiland By The Sea MHC'!AE52+'Moss Landing'!AE79+'Moss Landing (mo321)'!AE71+'Oak Springs'!AE83+'Oak Springs MHC (oa150)'!AE59+'Orange Manor East'!AE48+'Orange Manor East (or125)'!AE51+'Pacific Manor'!AE57+'Pacific Manor (pa602)'!AE59+Parkhaven!AE114+Ridgecrest!AE64+Riverest!AE58+'Riverview MHRV LLC'!AE61+Rosehaven!AE126+'Sanctuary RV Resort'!AE238+'Shadow Mountain MHC'!AE45+Springhaven!AE45+'Star Valley Ranch'!AE56+Sunhaven!AE52+'Sunny Grove'!AE51+Tarponaire!AE55+'Val Vista RV Resort'!AE84+'Webster RV Resort LLC'!AE71+'Wekiva Falls RV Resort'!AE95+'West Jupiter RV Resort'!AE52+'Western Way RV Resort LLC'!AE144</f>
      </c>
      <c r="AF24" s="24">
        <f>'Agave Village (ag011)'!AF77+'Agave Village LLC'!AF66+'Brookhaven Estates (bo260)'!AF59+'Brookhaven RV Resort'!AF55+'Courtly Manor'!AF48+'Courtly Manor Park (co669)'!AF49+'Cross Creek RV'!AF144+'Cross Creek RV Resort (cr994)'!AF150+'El Rio De Oro (el289)'!AF46+'El Rio del Oro'!AF49+'Endless Summer RV Resort'!AF67+'Endless Summer RV Resort (en079'!AF59+Evergreen!AF46+'Far Horizons'!AF46+'Far Horizons (fa105)'!AF46+'Floridian Sandalwood (fl356)'!AF43+'Floridian Sandalwood MHC'!AF47+Glenhaven!AF51+'Glenhaven Estates (gl317)'!AF51+'Harbor Lights (ha310)'!AF52+'Harbor Lights MHC'!AF50+'Harvest Gate'!AF60+'Hunter Run RV Estates'!AF101+'Hunters Run RV Estates (hu116)'!AF214+'Jade Isle (ja068)'!AF43+'Jade Isle MHC'!AF45+'Kakusha Estates (ka045)'!AF49+'Kakusha MHC'!AF48+'Lakeside Village'!AF54+'Lakeside Village (la482)'!AF56+'Lakewood Village (la481)'!AF115+'Lakewood Village MHC LLC'!AF135+'Maple Corner'!AF68+'Maple Corner (ma490)'!AF58+'Marlboro Court (ma489)'!AF46+'Marlboro Court MHC LLC'!AF46+'May Manor'!AF150+'May Manor (ma488)'!AF82+'Mobiland by the Sea (mo320)'!AF51+'Mobiland By The Sea MHC'!AF52+'Moss Landing'!AF79+'Moss Landing (mo321)'!AF71+'Oak Springs'!AF83+'Oak Springs MHC (oa150)'!AF59+'Orange Manor East'!AF48+'Orange Manor East (or125)'!AF51+'Pacific Manor'!AF57+'Pacific Manor (pa602)'!AF59+Parkhaven!AF114+Ridgecrest!AF64+Riverest!AF58+'Riverview MHRV LLC'!AF61+Rosehaven!AF126+'Sanctuary RV Resort'!AF238+'Shadow Mountain MHC'!AF45+Springhaven!AF45+'Star Valley Ranch'!AF56+Sunhaven!AF52+'Sunny Grove'!AF51+Tarponaire!AF55+'Val Vista RV Resort'!AF84+'Webster RV Resort LLC'!AF71+'Wekiva Falls RV Resort'!AF95+'West Jupiter RV Resort'!AF52+'Western Way RV Resort LLC'!AF144</f>
      </c>
      <c r="AG24" s="24">
        <f>'Agave Village (ag011)'!AG77+'Agave Village LLC'!AG66+'Brookhaven Estates (bo260)'!AG59+'Brookhaven RV Resort'!AG55+'Courtly Manor'!AG48+'Courtly Manor Park (co669)'!AG49+'Cross Creek RV'!AG144+'Cross Creek RV Resort (cr994)'!AG150+'El Rio De Oro (el289)'!AG46+'El Rio del Oro'!AG49+'Endless Summer RV Resort'!AG67+'Endless Summer RV Resort (en079'!AG59+Evergreen!AG46+'Far Horizons'!AG46+'Far Horizons (fa105)'!AG46+'Floridian Sandalwood (fl356)'!AG43+'Floridian Sandalwood MHC'!AG47+Glenhaven!AG51+'Glenhaven Estates (gl317)'!AG51+'Harbor Lights (ha310)'!AG52+'Harbor Lights MHC'!AG50+'Harvest Gate'!AG60+'Hunter Run RV Estates'!AG101+'Hunters Run RV Estates (hu116)'!AG214+'Jade Isle (ja068)'!AG43+'Jade Isle MHC'!AG45+'Kakusha Estates (ka045)'!AG49+'Kakusha MHC'!AG48+'Lakeside Village'!AG54+'Lakeside Village (la482)'!AG56+'Lakewood Village (la481)'!AG115+'Lakewood Village MHC LLC'!AG135+'Maple Corner'!AG68+'Maple Corner (ma490)'!AG58+'Marlboro Court (ma489)'!AG46+'Marlboro Court MHC LLC'!AG46+'May Manor'!AG150+'May Manor (ma488)'!AG82+'Mobiland by the Sea (mo320)'!AG51+'Mobiland By The Sea MHC'!AG52+'Moss Landing'!AG79+'Moss Landing (mo321)'!AG71+'Oak Springs'!AG83+'Oak Springs MHC (oa150)'!AG59+'Orange Manor East'!AG48+'Orange Manor East (or125)'!AG51+'Pacific Manor'!AG57+'Pacific Manor (pa602)'!AG59+Parkhaven!AG114+Ridgecrest!AG64+Riverest!AG58+'Riverview MHRV LLC'!AG61+Rosehaven!AG126+'Sanctuary RV Resort'!AG238+'Shadow Mountain MHC'!AG45+Springhaven!AG45+'Star Valley Ranch'!AG56+Sunhaven!AG52+'Sunny Grove'!AG51+Tarponaire!AG55+'Val Vista RV Resort'!AG84+'Webster RV Resort LLC'!AG71+'Wekiva Falls RV Resort'!AG95+'West Jupiter RV Resort'!AG52+'Western Way RV Resort LLC'!AG144</f>
      </c>
      <c r="AH24" s="24">
        <f>'Agave Village (ag011)'!AH77+'Agave Village LLC'!AH66+'Brookhaven Estates (bo260)'!AH59+'Brookhaven RV Resort'!AH55+'Courtly Manor'!AH48+'Courtly Manor Park (co669)'!AH49+'Cross Creek RV'!AH144+'Cross Creek RV Resort (cr994)'!AH150+'El Rio De Oro (el289)'!AH46+'El Rio del Oro'!AH49+'Endless Summer RV Resort'!AH67+'Endless Summer RV Resort (en079'!AH59+Evergreen!AH46+'Far Horizons'!AH46+'Far Horizons (fa105)'!AH46+'Floridian Sandalwood (fl356)'!AH43+'Floridian Sandalwood MHC'!AH47+Glenhaven!AH51+'Glenhaven Estates (gl317)'!AH51+'Harbor Lights (ha310)'!AH52+'Harbor Lights MHC'!AH50+'Harvest Gate'!AH60+'Hunter Run RV Estates'!AH101+'Hunters Run RV Estates (hu116)'!AH214+'Jade Isle (ja068)'!AH43+'Jade Isle MHC'!AH45+'Kakusha Estates (ka045)'!AH49+'Kakusha MHC'!AH48+'Lakeside Village'!AH54+'Lakeside Village (la482)'!AH56+'Lakewood Village (la481)'!AH115+'Lakewood Village MHC LLC'!AH135+'Maple Corner'!AH68+'Maple Corner (ma490)'!AH58+'Marlboro Court (ma489)'!AH46+'Marlboro Court MHC LLC'!AH46+'May Manor'!AH150+'May Manor (ma488)'!AH82+'Mobiland by the Sea (mo320)'!AH51+'Mobiland By The Sea MHC'!AH52+'Moss Landing'!AH79+'Moss Landing (mo321)'!AH71+'Oak Springs'!AH83+'Oak Springs MHC (oa150)'!AH59+'Orange Manor East'!AH48+'Orange Manor East (or125)'!AH51+'Pacific Manor'!AH57+'Pacific Manor (pa602)'!AH59+Parkhaven!AH114+Ridgecrest!AH64+Riverest!AH58+'Riverview MHRV LLC'!AH61+Rosehaven!AH126+'Sanctuary RV Resort'!AH238+'Shadow Mountain MHC'!AH45+Springhaven!AH45+'Star Valley Ranch'!AH56+Sunhaven!AH52+'Sunny Grove'!AH51+Tarponaire!AH55+'Val Vista RV Resort'!AH84+'Webster RV Resort LLC'!AH71+'Wekiva Falls RV Resort'!AH95+'West Jupiter RV Resort'!AH52+'Western Way RV Resort LLC'!AH144</f>
      </c>
      <c r="AI24" s="24">
        <f>'Agave Village (ag011)'!AI77+'Agave Village LLC'!AI66+'Brookhaven Estates (bo260)'!AI59+'Brookhaven RV Resort'!AI55+'Courtly Manor'!AI48+'Courtly Manor Park (co669)'!AI49+'Cross Creek RV'!AI144+'Cross Creek RV Resort (cr994)'!AI150+'El Rio De Oro (el289)'!AI46+'El Rio del Oro'!AI49+'Endless Summer RV Resort'!AI67+'Endless Summer RV Resort (en079'!AI59+Evergreen!AI46+'Far Horizons'!AI46+'Far Horizons (fa105)'!AI46+'Floridian Sandalwood (fl356)'!AI43+'Floridian Sandalwood MHC'!AI47+Glenhaven!AI51+'Glenhaven Estates (gl317)'!AI51+'Harbor Lights (ha310)'!AI52+'Harbor Lights MHC'!AI50+'Harvest Gate'!AI60+'Hunter Run RV Estates'!AI101+'Hunters Run RV Estates (hu116)'!AI214+'Jade Isle (ja068)'!AI43+'Jade Isle MHC'!AI45+'Kakusha Estates (ka045)'!AI49+'Kakusha MHC'!AI48+'Lakeside Village'!AI54+'Lakeside Village (la482)'!AI56+'Lakewood Village (la481)'!AI115+'Lakewood Village MHC LLC'!AI135+'Maple Corner'!AI68+'Maple Corner (ma490)'!AI58+'Marlboro Court (ma489)'!AI46+'Marlboro Court MHC LLC'!AI46+'May Manor'!AI150+'May Manor (ma488)'!AI82+'Mobiland by the Sea (mo320)'!AI51+'Mobiland By The Sea MHC'!AI52+'Moss Landing'!AI79+'Moss Landing (mo321)'!AI71+'Oak Springs'!AI83+'Oak Springs MHC (oa150)'!AI59+'Orange Manor East'!AI48+'Orange Manor East (or125)'!AI51+'Pacific Manor'!AI57+'Pacific Manor (pa602)'!AI59+Parkhaven!AI114+Ridgecrest!AI64+Riverest!AI58+'Riverview MHRV LLC'!AI61+Rosehaven!AI126+'Sanctuary RV Resort'!AI238+'Shadow Mountain MHC'!AI45+Springhaven!AI45+'Star Valley Ranch'!AI56+Sunhaven!AI52+'Sunny Grove'!AI51+Tarponaire!AI55+'Val Vista RV Resort'!AI84+'Webster RV Resort LLC'!AI71+'Wekiva Falls RV Resort'!AI95+'West Jupiter RV Resort'!AI52+'Western Way RV Resort LLC'!AI144</f>
      </c>
      <c r="AJ24" s="24">
        <f>'Agave Village (ag011)'!AJ77+'Agave Village LLC'!AJ66+'Brookhaven Estates (bo260)'!AJ59+'Brookhaven RV Resort'!AJ55+'Courtly Manor'!AJ48+'Courtly Manor Park (co669)'!AJ49+'Cross Creek RV'!AJ144+'Cross Creek RV Resort (cr994)'!AJ150+'El Rio De Oro (el289)'!AJ46+'El Rio del Oro'!AJ49+'Endless Summer RV Resort'!AJ67+'Endless Summer RV Resort (en079'!AJ59+Evergreen!AJ46+'Far Horizons'!AJ46+'Far Horizons (fa105)'!AJ46+'Floridian Sandalwood (fl356)'!AJ43+'Floridian Sandalwood MHC'!AJ47+Glenhaven!AJ51+'Glenhaven Estates (gl317)'!AJ51+'Harbor Lights (ha310)'!AJ52+'Harbor Lights MHC'!AJ50+'Harvest Gate'!AJ60+'Hunter Run RV Estates'!AJ101+'Hunters Run RV Estates (hu116)'!AJ214+'Jade Isle (ja068)'!AJ43+'Jade Isle MHC'!AJ45+'Kakusha Estates (ka045)'!AJ49+'Kakusha MHC'!AJ48+'Lakeside Village'!AJ54+'Lakeside Village (la482)'!AJ56+'Lakewood Village (la481)'!AJ115+'Lakewood Village MHC LLC'!AJ135+'Maple Corner'!AJ68+'Maple Corner (ma490)'!AJ58+'Marlboro Court (ma489)'!AJ46+'Marlboro Court MHC LLC'!AJ46+'May Manor'!AJ150+'May Manor (ma488)'!AJ82+'Mobiland by the Sea (mo320)'!AJ51+'Mobiland By The Sea MHC'!AJ52+'Moss Landing'!AJ79+'Moss Landing (mo321)'!AJ71+'Oak Springs'!AJ83+'Oak Springs MHC (oa150)'!AJ59+'Orange Manor East'!AJ48+'Orange Manor East (or125)'!AJ51+'Pacific Manor'!AJ57+'Pacific Manor (pa602)'!AJ59+Parkhaven!AJ114+Ridgecrest!AJ64+Riverest!AJ58+'Riverview MHRV LLC'!AJ61+Rosehaven!AJ126+'Sanctuary RV Resort'!AJ238+'Shadow Mountain MHC'!AJ45+Springhaven!AJ45+'Star Valley Ranch'!AJ56+Sunhaven!AJ52+'Sunny Grove'!AJ51+Tarponaire!AJ55+'Val Vista RV Resort'!AJ84+'Webster RV Resort LLC'!AJ71+'Wekiva Falls RV Resort'!AJ95+'West Jupiter RV Resort'!AJ52+'Western Way RV Resort LLC'!AJ144</f>
      </c>
      <c r="AK24" s="19"/>
    </row>
    <row r="25" ht="12.75" customHeight="1" spans="2:37" x14ac:dyDescent="0.25">
      <c r="B25" s="16" t="s">
        <v>43</v>
      </c>
      <c r="C25" s="17"/>
      <c r="D25" s="17"/>
      <c r="E25" s="24">
        <f>'Agave Village (ag011)'!E78+'Agave Village LLC'!E67+'Brookhaven Estates (bo260)'!E60+'Brookhaven RV Resort'!E56+'Courtly Manor'!E49+'Courtly Manor Park (co669)'!E50+'Cross Creek RV'!E145+'Cross Creek RV Resort (cr994)'!E151+'El Rio De Oro (el289)'!E47+'El Rio del Oro'!E50+'Endless Summer RV Resort'!E68+'Endless Summer RV Resort (en079'!E60+Evergreen!E47+'Far Horizons'!E47+'Far Horizons (fa105)'!E47+'Floridian Sandalwood (fl356)'!E44+'Floridian Sandalwood MHC'!E48+Glenhaven!E52+'Glenhaven Estates (gl317)'!E52+'Harbor Lights (ha310)'!E53+'Harbor Lights MHC'!E51+'Harvest Gate'!E61+'Hunter Run RV Estates'!E102+'Hunters Run RV Estates (hu116)'!E215+'Jade Isle (ja068)'!E44+'Jade Isle MHC'!E46+'Kakusha Estates (ka045)'!E50+'Kakusha MHC'!E49+'Lakeside Village'!E55+'Lakeside Village (la482)'!E57+'Lakewood Village (la481)'!E116+'Lakewood Village MHC LLC'!E136+'Maple Corner'!E69+'Maple Corner (ma490)'!E59+'Marlboro Court (ma489)'!E47+'Marlboro Court MHC LLC'!E47+'May Manor'!E151+'May Manor (ma488)'!E83+'Mobiland by the Sea (mo320)'!E52+'Mobiland By The Sea MHC'!E53+'Moss Landing'!E80+'Moss Landing (mo321)'!E72+'Oak Springs'!E84+'Oak Springs MHC (oa150)'!E60+'Orange Manor East'!E49+'Orange Manor East (or125)'!E52+'Pacific Manor'!E58+'Pacific Manor (pa602)'!E60+Parkhaven!E115+Ridgecrest!E65+Riverest!E59+'Riverview MHRV LLC'!E62+Rosehaven!E127+'Sanctuary RV Resort'!E239+'Shadow Mountain MHC'!E46+Springhaven!E46+'Star Valley Ranch'!E57+Sunhaven!E53+'Sunny Grove'!E52+Tarponaire!E56+'Val Vista RV Resort'!E85+'Webster RV Resort LLC'!E72+'Wekiva Falls RV Resort'!E96+'West Jupiter RV Resort'!E53+'Western Way RV Resort LLC'!E145</f>
      </c>
      <c r="F25" s="24">
        <f>'Agave Village (ag011)'!F78+'Agave Village LLC'!F67+'Brookhaven Estates (bo260)'!F60+'Brookhaven RV Resort'!F56+'Courtly Manor'!F49+'Courtly Manor Park (co669)'!F50+'Cross Creek RV'!F145+'Cross Creek RV Resort (cr994)'!F151+'El Rio De Oro (el289)'!F47+'El Rio del Oro'!F50+'Endless Summer RV Resort'!F68+'Endless Summer RV Resort (en079'!F60+Evergreen!F47+'Far Horizons'!F47+'Far Horizons (fa105)'!F47+'Floridian Sandalwood (fl356)'!F44+'Floridian Sandalwood MHC'!F48+Glenhaven!F52+'Glenhaven Estates (gl317)'!F52+'Harbor Lights (ha310)'!F53+'Harbor Lights MHC'!F51+'Harvest Gate'!F61+'Hunter Run RV Estates'!F102+'Hunters Run RV Estates (hu116)'!F215+'Jade Isle (ja068)'!F44+'Jade Isle MHC'!F46+'Kakusha Estates (ka045)'!F50+'Kakusha MHC'!F49+'Lakeside Village'!F55+'Lakeside Village (la482)'!F57+'Lakewood Village (la481)'!F116+'Lakewood Village MHC LLC'!F136+'Maple Corner'!F69+'Maple Corner (ma490)'!F59+'Marlboro Court (ma489)'!F47+'Marlboro Court MHC LLC'!F47+'May Manor'!F151+'May Manor (ma488)'!F83+'Mobiland by the Sea (mo320)'!F52+'Mobiland By The Sea MHC'!F53+'Moss Landing'!F80+'Moss Landing (mo321)'!F72+'Oak Springs'!F84+'Oak Springs MHC (oa150)'!F60+'Orange Manor East'!F49+'Orange Manor East (or125)'!F52+'Pacific Manor'!F58+'Pacific Manor (pa602)'!F60+Parkhaven!F115+Ridgecrest!F65+Riverest!F59+'Riverview MHRV LLC'!F62+Rosehaven!F127+'Sanctuary RV Resort'!F239+'Shadow Mountain MHC'!F46+Springhaven!F46+'Star Valley Ranch'!F57+Sunhaven!F53+'Sunny Grove'!F52+Tarponaire!F56+'Val Vista RV Resort'!F85+'Webster RV Resort LLC'!F72+'Wekiva Falls RV Resort'!F96+'West Jupiter RV Resort'!F53+'Western Way RV Resort LLC'!F145</f>
      </c>
      <c r="G25" s="24">
        <f>'Agave Village (ag011)'!G78+'Agave Village LLC'!G67+'Brookhaven Estates (bo260)'!G60+'Brookhaven RV Resort'!G56+'Courtly Manor'!G49+'Courtly Manor Park (co669)'!G50+'Cross Creek RV'!G145+'Cross Creek RV Resort (cr994)'!G151+'El Rio De Oro (el289)'!G47+'El Rio del Oro'!G50+'Endless Summer RV Resort'!G68+'Endless Summer RV Resort (en079'!G60+Evergreen!G47+'Far Horizons'!G47+'Far Horizons (fa105)'!G47+'Floridian Sandalwood (fl356)'!G44+'Floridian Sandalwood MHC'!G48+Glenhaven!G52+'Glenhaven Estates (gl317)'!G52+'Harbor Lights (ha310)'!G53+'Harbor Lights MHC'!G51+'Harvest Gate'!G61+'Hunter Run RV Estates'!G102+'Hunters Run RV Estates (hu116)'!G215+'Jade Isle (ja068)'!G44+'Jade Isle MHC'!G46+'Kakusha Estates (ka045)'!G50+'Kakusha MHC'!G49+'Lakeside Village'!G55+'Lakeside Village (la482)'!G57+'Lakewood Village (la481)'!G116+'Lakewood Village MHC LLC'!G136+'Maple Corner'!G69+'Maple Corner (ma490)'!G59+'Marlboro Court (ma489)'!G47+'Marlboro Court MHC LLC'!G47+'May Manor'!G151+'May Manor (ma488)'!G83+'Mobiland by the Sea (mo320)'!G52+'Mobiland By The Sea MHC'!G53+'Moss Landing'!G80+'Moss Landing (mo321)'!G72+'Oak Springs'!G84+'Oak Springs MHC (oa150)'!G60+'Orange Manor East'!G49+'Orange Manor East (or125)'!G52+'Pacific Manor'!G58+'Pacific Manor (pa602)'!G60+Parkhaven!G115+Ridgecrest!G65+Riverest!G59+'Riverview MHRV LLC'!G62+Rosehaven!G127+'Sanctuary RV Resort'!G239+'Shadow Mountain MHC'!G46+Springhaven!G46+'Star Valley Ranch'!G57+Sunhaven!G53+'Sunny Grove'!G52+Tarponaire!G56+'Val Vista RV Resort'!G85+'Webster RV Resort LLC'!G72+'Wekiva Falls RV Resort'!G96+'West Jupiter RV Resort'!G53+'Western Way RV Resort LLC'!G145</f>
      </c>
      <c r="H25" s="24">
        <f>'Agave Village (ag011)'!H78+'Agave Village LLC'!H67+'Brookhaven Estates (bo260)'!H60+'Brookhaven RV Resort'!H56+'Courtly Manor'!H49+'Courtly Manor Park (co669)'!H50+'Cross Creek RV'!H145+'Cross Creek RV Resort (cr994)'!H151+'El Rio De Oro (el289)'!H47+'El Rio del Oro'!H50+'Endless Summer RV Resort'!H68+'Endless Summer RV Resort (en079'!H60+Evergreen!H47+'Far Horizons'!H47+'Far Horizons (fa105)'!H47+'Floridian Sandalwood (fl356)'!H44+'Floridian Sandalwood MHC'!H48+Glenhaven!H52+'Glenhaven Estates (gl317)'!H52+'Harbor Lights (ha310)'!H53+'Harbor Lights MHC'!H51+'Harvest Gate'!H61+'Hunter Run RV Estates'!H102+'Hunters Run RV Estates (hu116)'!H215+'Jade Isle (ja068)'!H44+'Jade Isle MHC'!H46+'Kakusha Estates (ka045)'!H50+'Kakusha MHC'!H49+'Lakeside Village'!H55+'Lakeside Village (la482)'!H57+'Lakewood Village (la481)'!H116+'Lakewood Village MHC LLC'!H136+'Maple Corner'!H69+'Maple Corner (ma490)'!H59+'Marlboro Court (ma489)'!H47+'Marlboro Court MHC LLC'!H47+'May Manor'!H151+'May Manor (ma488)'!H83+'Mobiland by the Sea (mo320)'!H52+'Mobiland By The Sea MHC'!H53+'Moss Landing'!H80+'Moss Landing (mo321)'!H72+'Oak Springs'!H84+'Oak Springs MHC (oa150)'!H60+'Orange Manor East'!H49+'Orange Manor East (or125)'!H52+'Pacific Manor'!H58+'Pacific Manor (pa602)'!H60+Parkhaven!H115+Ridgecrest!H65+Riverest!H59+'Riverview MHRV LLC'!H62+Rosehaven!H127+'Sanctuary RV Resort'!H239+'Shadow Mountain MHC'!H46+Springhaven!H46+'Star Valley Ranch'!H57+Sunhaven!H53+'Sunny Grove'!H52+Tarponaire!H56+'Val Vista RV Resort'!H85+'Webster RV Resort LLC'!H72+'Wekiva Falls RV Resort'!H96+'West Jupiter RV Resort'!H53+'Western Way RV Resort LLC'!H145</f>
      </c>
      <c r="I25" s="24">
        <f>'Agave Village (ag011)'!I78+'Agave Village LLC'!I67+'Brookhaven Estates (bo260)'!I60+'Brookhaven RV Resort'!I56+'Courtly Manor'!I49+'Courtly Manor Park (co669)'!I50+'Cross Creek RV'!I145+'Cross Creek RV Resort (cr994)'!I151+'El Rio De Oro (el289)'!I47+'El Rio del Oro'!I50+'Endless Summer RV Resort'!I68+'Endless Summer RV Resort (en079'!I60+Evergreen!I47+'Far Horizons'!I47+'Far Horizons (fa105)'!I47+'Floridian Sandalwood (fl356)'!I44+'Floridian Sandalwood MHC'!I48+Glenhaven!I52+'Glenhaven Estates (gl317)'!I52+'Harbor Lights (ha310)'!I53+'Harbor Lights MHC'!I51+'Harvest Gate'!I61+'Hunter Run RV Estates'!I102+'Hunters Run RV Estates (hu116)'!I215+'Jade Isle (ja068)'!I44+'Jade Isle MHC'!I46+'Kakusha Estates (ka045)'!I50+'Kakusha MHC'!I49+'Lakeside Village'!I55+'Lakeside Village (la482)'!I57+'Lakewood Village (la481)'!I116+'Lakewood Village MHC LLC'!I136+'Maple Corner'!I69+'Maple Corner (ma490)'!I59+'Marlboro Court (ma489)'!I47+'Marlboro Court MHC LLC'!I47+'May Manor'!I151+'May Manor (ma488)'!I83+'Mobiland by the Sea (mo320)'!I52+'Mobiland By The Sea MHC'!I53+'Moss Landing'!I80+'Moss Landing (mo321)'!I72+'Oak Springs'!I84+'Oak Springs MHC (oa150)'!I60+'Orange Manor East'!I49+'Orange Manor East (or125)'!I52+'Pacific Manor'!I58+'Pacific Manor (pa602)'!I60+Parkhaven!I115+Ridgecrest!I65+Riverest!I59+'Riverview MHRV LLC'!I62+Rosehaven!I127+'Sanctuary RV Resort'!I239+'Shadow Mountain MHC'!I46+Springhaven!I46+'Star Valley Ranch'!I57+Sunhaven!I53+'Sunny Grove'!I52+Tarponaire!I56+'Val Vista RV Resort'!I85+'Webster RV Resort LLC'!I72+'Wekiva Falls RV Resort'!I96+'West Jupiter RV Resort'!I53+'Western Way RV Resort LLC'!I145</f>
      </c>
      <c r="J25" s="24">
        <f>'Agave Village (ag011)'!J78+'Agave Village LLC'!J67+'Brookhaven Estates (bo260)'!J60+'Brookhaven RV Resort'!J56+'Courtly Manor'!J49+'Courtly Manor Park (co669)'!J50+'Cross Creek RV'!J145+'Cross Creek RV Resort (cr994)'!J151+'El Rio De Oro (el289)'!J47+'El Rio del Oro'!J50+'Endless Summer RV Resort'!J68+'Endless Summer RV Resort (en079'!J60+Evergreen!J47+'Far Horizons'!J47+'Far Horizons (fa105)'!J47+'Floridian Sandalwood (fl356)'!J44+'Floridian Sandalwood MHC'!J48+Glenhaven!J52+'Glenhaven Estates (gl317)'!J52+'Harbor Lights (ha310)'!J53+'Harbor Lights MHC'!J51+'Harvest Gate'!J61+'Hunter Run RV Estates'!J102+'Hunters Run RV Estates (hu116)'!J215+'Jade Isle (ja068)'!J44+'Jade Isle MHC'!J46+'Kakusha Estates (ka045)'!J50+'Kakusha MHC'!J49+'Lakeside Village'!J55+'Lakeside Village (la482)'!J57+'Lakewood Village (la481)'!J116+'Lakewood Village MHC LLC'!J136+'Maple Corner'!J69+'Maple Corner (ma490)'!J59+'Marlboro Court (ma489)'!J47+'Marlboro Court MHC LLC'!J47+'May Manor'!J151+'May Manor (ma488)'!J83+'Mobiland by the Sea (mo320)'!J52+'Mobiland By The Sea MHC'!J53+'Moss Landing'!J80+'Moss Landing (mo321)'!J72+'Oak Springs'!J84+'Oak Springs MHC (oa150)'!J60+'Orange Manor East'!J49+'Orange Manor East (or125)'!J52+'Pacific Manor'!J58+'Pacific Manor (pa602)'!J60+Parkhaven!J115+Ridgecrest!J65+Riverest!J59+'Riverview MHRV LLC'!J62+Rosehaven!J127+'Sanctuary RV Resort'!J239+'Shadow Mountain MHC'!J46+Springhaven!J46+'Star Valley Ranch'!J57+Sunhaven!J53+'Sunny Grove'!J52+Tarponaire!J56+'Val Vista RV Resort'!J85+'Webster RV Resort LLC'!J72+'Wekiva Falls RV Resort'!J96+'West Jupiter RV Resort'!J53+'Western Way RV Resort LLC'!J145</f>
      </c>
      <c r="K25" s="24">
        <f>'Agave Village (ag011)'!K78+'Agave Village LLC'!K67+'Brookhaven Estates (bo260)'!K60+'Brookhaven RV Resort'!K56+'Courtly Manor'!K49+'Courtly Manor Park (co669)'!K50+'Cross Creek RV'!K145+'Cross Creek RV Resort (cr994)'!K151+'El Rio De Oro (el289)'!K47+'El Rio del Oro'!K50+'Endless Summer RV Resort'!K68+'Endless Summer RV Resort (en079'!K60+Evergreen!K47+'Far Horizons'!K47+'Far Horizons (fa105)'!K47+'Floridian Sandalwood (fl356)'!K44+'Floridian Sandalwood MHC'!K48+Glenhaven!K52+'Glenhaven Estates (gl317)'!K52+'Harbor Lights (ha310)'!K53+'Harbor Lights MHC'!K51+'Harvest Gate'!K61+'Hunter Run RV Estates'!K102+'Hunters Run RV Estates (hu116)'!K215+'Jade Isle (ja068)'!K44+'Jade Isle MHC'!K46+'Kakusha Estates (ka045)'!K50+'Kakusha MHC'!K49+'Lakeside Village'!K55+'Lakeside Village (la482)'!K57+'Lakewood Village (la481)'!K116+'Lakewood Village MHC LLC'!K136+'Maple Corner'!K69+'Maple Corner (ma490)'!K59+'Marlboro Court (ma489)'!K47+'Marlboro Court MHC LLC'!K47+'May Manor'!K151+'May Manor (ma488)'!K83+'Mobiland by the Sea (mo320)'!K52+'Mobiland By The Sea MHC'!K53+'Moss Landing'!K80+'Moss Landing (mo321)'!K72+'Oak Springs'!K84+'Oak Springs MHC (oa150)'!K60+'Orange Manor East'!K49+'Orange Manor East (or125)'!K52+'Pacific Manor'!K58+'Pacific Manor (pa602)'!K60+Parkhaven!K115+Ridgecrest!K65+Riverest!K59+'Riverview MHRV LLC'!K62+Rosehaven!K127+'Sanctuary RV Resort'!K239+'Shadow Mountain MHC'!K46+Springhaven!K46+'Star Valley Ranch'!K57+Sunhaven!K53+'Sunny Grove'!K52+Tarponaire!K56+'Val Vista RV Resort'!K85+'Webster RV Resort LLC'!K72+'Wekiva Falls RV Resort'!K96+'West Jupiter RV Resort'!K53+'Western Way RV Resort LLC'!K145</f>
      </c>
      <c r="L25" s="24">
        <f>'Agave Village (ag011)'!L78+'Agave Village LLC'!L67+'Brookhaven Estates (bo260)'!L60+'Brookhaven RV Resort'!L56+'Courtly Manor'!L49+'Courtly Manor Park (co669)'!L50+'Cross Creek RV'!L145+'Cross Creek RV Resort (cr994)'!L151+'El Rio De Oro (el289)'!L47+'El Rio del Oro'!L50+'Endless Summer RV Resort'!L68+'Endless Summer RV Resort (en079'!L60+Evergreen!L47+'Far Horizons'!L47+'Far Horizons (fa105)'!L47+'Floridian Sandalwood (fl356)'!L44+'Floridian Sandalwood MHC'!L48+Glenhaven!L52+'Glenhaven Estates (gl317)'!L52+'Harbor Lights (ha310)'!L53+'Harbor Lights MHC'!L51+'Harvest Gate'!L61+'Hunter Run RV Estates'!L102+'Hunters Run RV Estates (hu116)'!L215+'Jade Isle (ja068)'!L44+'Jade Isle MHC'!L46+'Kakusha Estates (ka045)'!L50+'Kakusha MHC'!L49+'Lakeside Village'!L55+'Lakeside Village (la482)'!L57+'Lakewood Village (la481)'!L116+'Lakewood Village MHC LLC'!L136+'Maple Corner'!L69+'Maple Corner (ma490)'!L59+'Marlboro Court (ma489)'!L47+'Marlboro Court MHC LLC'!L47+'May Manor'!L151+'May Manor (ma488)'!L83+'Mobiland by the Sea (mo320)'!L52+'Mobiland By The Sea MHC'!L53+'Moss Landing'!L80+'Moss Landing (mo321)'!L72+'Oak Springs'!L84+'Oak Springs MHC (oa150)'!L60+'Orange Manor East'!L49+'Orange Manor East (or125)'!L52+'Pacific Manor'!L58+'Pacific Manor (pa602)'!L60+Parkhaven!L115+Ridgecrest!L65+Riverest!L59+'Riverview MHRV LLC'!L62+Rosehaven!L127+'Sanctuary RV Resort'!L239+'Shadow Mountain MHC'!L46+Springhaven!L46+'Star Valley Ranch'!L57+Sunhaven!L53+'Sunny Grove'!L52+Tarponaire!L56+'Val Vista RV Resort'!L85+'Webster RV Resort LLC'!L72+'Wekiva Falls RV Resort'!L96+'West Jupiter RV Resort'!L53+'Western Way RV Resort LLC'!L145</f>
      </c>
      <c r="M25" s="24">
        <f>'Agave Village (ag011)'!M78+'Agave Village LLC'!M67+'Brookhaven Estates (bo260)'!M60+'Brookhaven RV Resort'!M56+'Courtly Manor'!M49+'Courtly Manor Park (co669)'!M50+'Cross Creek RV'!M145+'Cross Creek RV Resort (cr994)'!M151+'El Rio De Oro (el289)'!M47+'El Rio del Oro'!M50+'Endless Summer RV Resort'!M68+'Endless Summer RV Resort (en079'!M60+Evergreen!M47+'Far Horizons'!M47+'Far Horizons (fa105)'!M47+'Floridian Sandalwood (fl356)'!M44+'Floridian Sandalwood MHC'!M48+Glenhaven!M52+'Glenhaven Estates (gl317)'!M52+'Harbor Lights (ha310)'!M53+'Harbor Lights MHC'!M51+'Harvest Gate'!M61+'Hunter Run RV Estates'!M102+'Hunters Run RV Estates (hu116)'!M215+'Jade Isle (ja068)'!M44+'Jade Isle MHC'!M46+'Kakusha Estates (ka045)'!M50+'Kakusha MHC'!M49+'Lakeside Village'!M55+'Lakeside Village (la482)'!M57+'Lakewood Village (la481)'!M116+'Lakewood Village MHC LLC'!M136+'Maple Corner'!M69+'Maple Corner (ma490)'!M59+'Marlboro Court (ma489)'!M47+'Marlboro Court MHC LLC'!M47+'May Manor'!M151+'May Manor (ma488)'!M83+'Mobiland by the Sea (mo320)'!M52+'Mobiland By The Sea MHC'!M53+'Moss Landing'!M80+'Moss Landing (mo321)'!M72+'Oak Springs'!M84+'Oak Springs MHC (oa150)'!M60+'Orange Manor East'!M49+'Orange Manor East (or125)'!M52+'Pacific Manor'!M58+'Pacific Manor (pa602)'!M60+Parkhaven!M115+Ridgecrest!M65+Riverest!M59+'Riverview MHRV LLC'!M62+Rosehaven!M127+'Sanctuary RV Resort'!M239+'Shadow Mountain MHC'!M46+Springhaven!M46+'Star Valley Ranch'!M57+Sunhaven!M53+'Sunny Grove'!M52+Tarponaire!M56+'Val Vista RV Resort'!M85+'Webster RV Resort LLC'!M72+'Wekiva Falls RV Resort'!M96+'West Jupiter RV Resort'!M53+'Western Way RV Resort LLC'!M145</f>
      </c>
      <c r="N25" s="24">
        <f>'Agave Village (ag011)'!N78+'Agave Village LLC'!N67+'Brookhaven Estates (bo260)'!N60+'Brookhaven RV Resort'!N56+'Courtly Manor'!N49+'Courtly Manor Park (co669)'!N50+'Cross Creek RV'!N145+'Cross Creek RV Resort (cr994)'!N151+'El Rio De Oro (el289)'!N47+'El Rio del Oro'!N50+'Endless Summer RV Resort'!N68+'Endless Summer RV Resort (en079'!N60+Evergreen!N47+'Far Horizons'!N47+'Far Horizons (fa105)'!N47+'Floridian Sandalwood (fl356)'!N44+'Floridian Sandalwood MHC'!N48+Glenhaven!N52+'Glenhaven Estates (gl317)'!N52+'Harbor Lights (ha310)'!N53+'Harbor Lights MHC'!N51+'Harvest Gate'!N61+'Hunter Run RV Estates'!N102+'Hunters Run RV Estates (hu116)'!N215+'Jade Isle (ja068)'!N44+'Jade Isle MHC'!N46+'Kakusha Estates (ka045)'!N50+'Kakusha MHC'!N49+'Lakeside Village'!N55+'Lakeside Village (la482)'!N57+'Lakewood Village (la481)'!N116+'Lakewood Village MHC LLC'!N136+'Maple Corner'!N69+'Maple Corner (ma490)'!N59+'Marlboro Court (ma489)'!N47+'Marlboro Court MHC LLC'!N47+'May Manor'!N151+'May Manor (ma488)'!N83+'Mobiland by the Sea (mo320)'!N52+'Mobiland By The Sea MHC'!N53+'Moss Landing'!N80+'Moss Landing (mo321)'!N72+'Oak Springs'!N84+'Oak Springs MHC (oa150)'!N60+'Orange Manor East'!N49+'Orange Manor East (or125)'!N52+'Pacific Manor'!N58+'Pacific Manor (pa602)'!N60+Parkhaven!N115+Ridgecrest!N65+Riverest!N59+'Riverview MHRV LLC'!N62+Rosehaven!N127+'Sanctuary RV Resort'!N239+'Shadow Mountain MHC'!N46+Springhaven!N46+'Star Valley Ranch'!N57+Sunhaven!N53+'Sunny Grove'!N52+Tarponaire!N56+'Val Vista RV Resort'!N85+'Webster RV Resort LLC'!N72+'Wekiva Falls RV Resort'!N96+'West Jupiter RV Resort'!N53+'Western Way RV Resort LLC'!N145</f>
      </c>
      <c r="O25" s="24">
        <f>'Agave Village (ag011)'!O78+'Agave Village LLC'!O67+'Brookhaven Estates (bo260)'!O60+'Brookhaven RV Resort'!O56+'Courtly Manor'!O49+'Courtly Manor Park (co669)'!O50+'Cross Creek RV'!O145+'Cross Creek RV Resort (cr994)'!O151+'El Rio De Oro (el289)'!O47+'El Rio del Oro'!O50+'Endless Summer RV Resort'!O68+'Endless Summer RV Resort (en079'!O60+Evergreen!O47+'Far Horizons'!O47+'Far Horizons (fa105)'!O47+'Floridian Sandalwood (fl356)'!O44+'Floridian Sandalwood MHC'!O48+Glenhaven!O52+'Glenhaven Estates (gl317)'!O52+'Harbor Lights (ha310)'!O53+'Harbor Lights MHC'!O51+'Harvest Gate'!O61+'Hunter Run RV Estates'!O102+'Hunters Run RV Estates (hu116)'!O215+'Jade Isle (ja068)'!O44+'Jade Isle MHC'!O46+'Kakusha Estates (ka045)'!O50+'Kakusha MHC'!O49+'Lakeside Village'!O55+'Lakeside Village (la482)'!O57+'Lakewood Village (la481)'!O116+'Lakewood Village MHC LLC'!O136+'Maple Corner'!O69+'Maple Corner (ma490)'!O59+'Marlboro Court (ma489)'!O47+'Marlboro Court MHC LLC'!O47+'May Manor'!O151+'May Manor (ma488)'!O83+'Mobiland by the Sea (mo320)'!O52+'Mobiland By The Sea MHC'!O53+'Moss Landing'!O80+'Moss Landing (mo321)'!O72+'Oak Springs'!O84+'Oak Springs MHC (oa150)'!O60+'Orange Manor East'!O49+'Orange Manor East (or125)'!O52+'Pacific Manor'!O58+'Pacific Manor (pa602)'!O60+Parkhaven!O115+Ridgecrest!O65+Riverest!O59+'Riverview MHRV LLC'!O62+Rosehaven!O127+'Sanctuary RV Resort'!O239+'Shadow Mountain MHC'!O46+Springhaven!O46+'Star Valley Ranch'!O57+Sunhaven!O53+'Sunny Grove'!O52+Tarponaire!O56+'Val Vista RV Resort'!O85+'Webster RV Resort LLC'!O72+'Wekiva Falls RV Resort'!O96+'West Jupiter RV Resort'!O53+'Western Way RV Resort LLC'!O145</f>
      </c>
      <c r="P25" s="24">
        <f>'Agave Village (ag011)'!P78+'Agave Village LLC'!P67+'Brookhaven Estates (bo260)'!P60+'Brookhaven RV Resort'!P56+'Courtly Manor'!P49+'Courtly Manor Park (co669)'!P50+'Cross Creek RV'!P145+'Cross Creek RV Resort (cr994)'!P151+'El Rio De Oro (el289)'!P47+'El Rio del Oro'!P50+'Endless Summer RV Resort'!P68+'Endless Summer RV Resort (en079'!P60+Evergreen!P47+'Far Horizons'!P47+'Far Horizons (fa105)'!P47+'Floridian Sandalwood (fl356)'!P44+'Floridian Sandalwood MHC'!P48+Glenhaven!P52+'Glenhaven Estates (gl317)'!P52+'Harbor Lights (ha310)'!P53+'Harbor Lights MHC'!P51+'Harvest Gate'!P61+'Hunter Run RV Estates'!P102+'Hunters Run RV Estates (hu116)'!P215+'Jade Isle (ja068)'!P44+'Jade Isle MHC'!P46+'Kakusha Estates (ka045)'!P50+'Kakusha MHC'!P49+'Lakeside Village'!P55+'Lakeside Village (la482)'!P57+'Lakewood Village (la481)'!P116+'Lakewood Village MHC LLC'!P136+'Maple Corner'!P69+'Maple Corner (ma490)'!P59+'Marlboro Court (ma489)'!P47+'Marlboro Court MHC LLC'!P47+'May Manor'!P151+'May Manor (ma488)'!P83+'Mobiland by the Sea (mo320)'!P52+'Mobiland By The Sea MHC'!P53+'Moss Landing'!P80+'Moss Landing (mo321)'!P72+'Oak Springs'!P84+'Oak Springs MHC (oa150)'!P60+'Orange Manor East'!P49+'Orange Manor East (or125)'!P52+'Pacific Manor'!P58+'Pacific Manor (pa602)'!P60+Parkhaven!P115+Ridgecrest!P65+Riverest!P59+'Riverview MHRV LLC'!P62+Rosehaven!P127+'Sanctuary RV Resort'!P239+'Shadow Mountain MHC'!P46+Springhaven!P46+'Star Valley Ranch'!P57+Sunhaven!P53+'Sunny Grove'!P52+Tarponaire!P56+'Val Vista RV Resort'!P85+'Webster RV Resort LLC'!P72+'Wekiva Falls RV Resort'!P96+'West Jupiter RV Resort'!P53+'Western Way RV Resort LLC'!P145</f>
      </c>
      <c r="Q25" s="24">
        <f>'Agave Village (ag011)'!Q78+'Agave Village LLC'!Q67+'Brookhaven Estates (bo260)'!Q60+'Brookhaven RV Resort'!Q56+'Courtly Manor'!Q49+'Courtly Manor Park (co669)'!Q50+'Cross Creek RV'!Q145+'Cross Creek RV Resort (cr994)'!Q151+'El Rio De Oro (el289)'!Q47+'El Rio del Oro'!Q50+'Endless Summer RV Resort'!Q68+'Endless Summer RV Resort (en079'!Q60+Evergreen!Q47+'Far Horizons'!Q47+'Far Horizons (fa105)'!Q47+'Floridian Sandalwood (fl356)'!Q44+'Floridian Sandalwood MHC'!Q48+Glenhaven!Q52+'Glenhaven Estates (gl317)'!Q52+'Harbor Lights (ha310)'!Q53+'Harbor Lights MHC'!Q51+'Harvest Gate'!Q61+'Hunter Run RV Estates'!Q102+'Hunters Run RV Estates (hu116)'!Q215+'Jade Isle (ja068)'!Q44+'Jade Isle MHC'!Q46+'Kakusha Estates (ka045)'!Q50+'Kakusha MHC'!Q49+'Lakeside Village'!Q55+'Lakeside Village (la482)'!Q57+'Lakewood Village (la481)'!Q116+'Lakewood Village MHC LLC'!Q136+'Maple Corner'!Q69+'Maple Corner (ma490)'!Q59+'Marlboro Court (ma489)'!Q47+'Marlboro Court MHC LLC'!Q47+'May Manor'!Q151+'May Manor (ma488)'!Q83+'Mobiland by the Sea (mo320)'!Q52+'Mobiland By The Sea MHC'!Q53+'Moss Landing'!Q80+'Moss Landing (mo321)'!Q72+'Oak Springs'!Q84+'Oak Springs MHC (oa150)'!Q60+'Orange Manor East'!Q49+'Orange Manor East (or125)'!Q52+'Pacific Manor'!Q58+'Pacific Manor (pa602)'!Q60+Parkhaven!Q115+Ridgecrest!Q65+Riverest!Q59+'Riverview MHRV LLC'!Q62+Rosehaven!Q127+'Sanctuary RV Resort'!Q239+'Shadow Mountain MHC'!Q46+Springhaven!Q46+'Star Valley Ranch'!Q57+Sunhaven!Q53+'Sunny Grove'!Q52+Tarponaire!Q56+'Val Vista RV Resort'!Q85+'Webster RV Resort LLC'!Q72+'Wekiva Falls RV Resort'!Q96+'West Jupiter RV Resort'!Q53+'Western Way RV Resort LLC'!Q145</f>
      </c>
      <c r="R25" s="24">
        <f>'Agave Village (ag011)'!R78+'Agave Village LLC'!R67+'Brookhaven Estates (bo260)'!R60+'Brookhaven RV Resort'!R56+'Courtly Manor'!R49+'Courtly Manor Park (co669)'!R50+'Cross Creek RV'!R145+'Cross Creek RV Resort (cr994)'!R151+'El Rio De Oro (el289)'!R47+'El Rio del Oro'!R50+'Endless Summer RV Resort'!R68+'Endless Summer RV Resort (en079'!R60+Evergreen!R47+'Far Horizons'!R47+'Far Horizons (fa105)'!R47+'Floridian Sandalwood (fl356)'!R44+'Floridian Sandalwood MHC'!R48+Glenhaven!R52+'Glenhaven Estates (gl317)'!R52+'Harbor Lights (ha310)'!R53+'Harbor Lights MHC'!R51+'Harvest Gate'!R61+'Hunter Run RV Estates'!R102+'Hunters Run RV Estates (hu116)'!R215+'Jade Isle (ja068)'!R44+'Jade Isle MHC'!R46+'Kakusha Estates (ka045)'!R50+'Kakusha MHC'!R49+'Lakeside Village'!R55+'Lakeside Village (la482)'!R57+'Lakewood Village (la481)'!R116+'Lakewood Village MHC LLC'!R136+'Maple Corner'!R69+'Maple Corner (ma490)'!R59+'Marlboro Court (ma489)'!R47+'Marlboro Court MHC LLC'!R47+'May Manor'!R151+'May Manor (ma488)'!R83+'Mobiland by the Sea (mo320)'!R52+'Mobiland By The Sea MHC'!R53+'Moss Landing'!R80+'Moss Landing (mo321)'!R72+'Oak Springs'!R84+'Oak Springs MHC (oa150)'!R60+'Orange Manor East'!R49+'Orange Manor East (or125)'!R52+'Pacific Manor'!R58+'Pacific Manor (pa602)'!R60+Parkhaven!R115+Ridgecrest!R65+Riverest!R59+'Riverview MHRV LLC'!R62+Rosehaven!R127+'Sanctuary RV Resort'!R239+'Shadow Mountain MHC'!R46+Springhaven!R46+'Star Valley Ranch'!R57+Sunhaven!R53+'Sunny Grove'!R52+Tarponaire!R56+'Val Vista RV Resort'!R85+'Webster RV Resort LLC'!R72+'Wekiva Falls RV Resort'!R96+'West Jupiter RV Resort'!R53+'Western Way RV Resort LLC'!R145</f>
      </c>
      <c r="S25" s="24">
        <f>'Agave Village (ag011)'!S78+'Agave Village LLC'!S67+'Brookhaven Estates (bo260)'!S60+'Brookhaven RV Resort'!S56+'Courtly Manor'!S49+'Courtly Manor Park (co669)'!S50+'Cross Creek RV'!S145+'Cross Creek RV Resort (cr994)'!S151+'El Rio De Oro (el289)'!S47+'El Rio del Oro'!S50+'Endless Summer RV Resort'!S68+'Endless Summer RV Resort (en079'!S60+Evergreen!S47+'Far Horizons'!S47+'Far Horizons (fa105)'!S47+'Floridian Sandalwood (fl356)'!S44+'Floridian Sandalwood MHC'!S48+Glenhaven!S52+'Glenhaven Estates (gl317)'!S52+'Harbor Lights (ha310)'!S53+'Harbor Lights MHC'!S51+'Harvest Gate'!S61+'Hunter Run RV Estates'!S102+'Hunters Run RV Estates (hu116)'!S215+'Jade Isle (ja068)'!S44+'Jade Isle MHC'!S46+'Kakusha Estates (ka045)'!S50+'Kakusha MHC'!S49+'Lakeside Village'!S55+'Lakeside Village (la482)'!S57+'Lakewood Village (la481)'!S116+'Lakewood Village MHC LLC'!S136+'Maple Corner'!S69+'Maple Corner (ma490)'!S59+'Marlboro Court (ma489)'!S47+'Marlboro Court MHC LLC'!S47+'May Manor'!S151+'May Manor (ma488)'!S83+'Mobiland by the Sea (mo320)'!S52+'Mobiland By The Sea MHC'!S53+'Moss Landing'!S80+'Moss Landing (mo321)'!S72+'Oak Springs'!S84+'Oak Springs MHC (oa150)'!S60+'Orange Manor East'!S49+'Orange Manor East (or125)'!S52+'Pacific Manor'!S58+'Pacific Manor (pa602)'!S60+Parkhaven!S115+Ridgecrest!S65+Riverest!S59+'Riverview MHRV LLC'!S62+Rosehaven!S127+'Sanctuary RV Resort'!S239+'Shadow Mountain MHC'!S46+Springhaven!S46+'Star Valley Ranch'!S57+Sunhaven!S53+'Sunny Grove'!S52+Tarponaire!S56+'Val Vista RV Resort'!S85+'Webster RV Resort LLC'!S72+'Wekiva Falls RV Resort'!S96+'West Jupiter RV Resort'!S53+'Western Way RV Resort LLC'!S145</f>
      </c>
      <c r="T25" s="24">
        <f>'Agave Village (ag011)'!T78+'Agave Village LLC'!T67+'Brookhaven Estates (bo260)'!T60+'Brookhaven RV Resort'!T56+'Courtly Manor'!T49+'Courtly Manor Park (co669)'!T50+'Cross Creek RV'!T145+'Cross Creek RV Resort (cr994)'!T151+'El Rio De Oro (el289)'!T47+'El Rio del Oro'!T50+'Endless Summer RV Resort'!T68+'Endless Summer RV Resort (en079'!T60+Evergreen!T47+'Far Horizons'!T47+'Far Horizons (fa105)'!T47+'Floridian Sandalwood (fl356)'!T44+'Floridian Sandalwood MHC'!T48+Glenhaven!T52+'Glenhaven Estates (gl317)'!T52+'Harbor Lights (ha310)'!T53+'Harbor Lights MHC'!T51+'Harvest Gate'!T61+'Hunter Run RV Estates'!T102+'Hunters Run RV Estates (hu116)'!T215+'Jade Isle (ja068)'!T44+'Jade Isle MHC'!T46+'Kakusha Estates (ka045)'!T50+'Kakusha MHC'!T49+'Lakeside Village'!T55+'Lakeside Village (la482)'!T57+'Lakewood Village (la481)'!T116+'Lakewood Village MHC LLC'!T136+'Maple Corner'!T69+'Maple Corner (ma490)'!T59+'Marlboro Court (ma489)'!T47+'Marlboro Court MHC LLC'!T47+'May Manor'!T151+'May Manor (ma488)'!T83+'Mobiland by the Sea (mo320)'!T52+'Mobiland By The Sea MHC'!T53+'Moss Landing'!T80+'Moss Landing (mo321)'!T72+'Oak Springs'!T84+'Oak Springs MHC (oa150)'!T60+'Orange Manor East'!T49+'Orange Manor East (or125)'!T52+'Pacific Manor'!T58+'Pacific Manor (pa602)'!T60+Parkhaven!T115+Ridgecrest!T65+Riverest!T59+'Riverview MHRV LLC'!T62+Rosehaven!T127+'Sanctuary RV Resort'!T239+'Shadow Mountain MHC'!T46+Springhaven!T46+'Star Valley Ranch'!T57+Sunhaven!T53+'Sunny Grove'!T52+Tarponaire!T56+'Val Vista RV Resort'!T85+'Webster RV Resort LLC'!T72+'Wekiva Falls RV Resort'!T96+'West Jupiter RV Resort'!T53+'Western Way RV Resort LLC'!T145</f>
      </c>
      <c r="U25" s="24">
        <f>'Agave Village (ag011)'!U78+'Agave Village LLC'!U67+'Brookhaven Estates (bo260)'!U60+'Brookhaven RV Resort'!U56+'Courtly Manor'!U49+'Courtly Manor Park (co669)'!U50+'Cross Creek RV'!U145+'Cross Creek RV Resort (cr994)'!U151+'El Rio De Oro (el289)'!U47+'El Rio del Oro'!U50+'Endless Summer RV Resort'!U68+'Endless Summer RV Resort (en079'!U60+Evergreen!U47+'Far Horizons'!U47+'Far Horizons (fa105)'!U47+'Floridian Sandalwood (fl356)'!U44+'Floridian Sandalwood MHC'!U48+Glenhaven!U52+'Glenhaven Estates (gl317)'!U52+'Harbor Lights (ha310)'!U53+'Harbor Lights MHC'!U51+'Harvest Gate'!U61+'Hunter Run RV Estates'!U102+'Hunters Run RV Estates (hu116)'!U215+'Jade Isle (ja068)'!U44+'Jade Isle MHC'!U46+'Kakusha Estates (ka045)'!U50+'Kakusha MHC'!U49+'Lakeside Village'!U55+'Lakeside Village (la482)'!U57+'Lakewood Village (la481)'!U116+'Lakewood Village MHC LLC'!U136+'Maple Corner'!U69+'Maple Corner (ma490)'!U59+'Marlboro Court (ma489)'!U47+'Marlboro Court MHC LLC'!U47+'May Manor'!U151+'May Manor (ma488)'!U83+'Mobiland by the Sea (mo320)'!U52+'Mobiland By The Sea MHC'!U53+'Moss Landing'!U80+'Moss Landing (mo321)'!U72+'Oak Springs'!U84+'Oak Springs MHC (oa150)'!U60+'Orange Manor East'!U49+'Orange Manor East (or125)'!U52+'Pacific Manor'!U58+'Pacific Manor (pa602)'!U60+Parkhaven!U115+Ridgecrest!U65+Riverest!U59+'Riverview MHRV LLC'!U62+Rosehaven!U127+'Sanctuary RV Resort'!U239+'Shadow Mountain MHC'!U46+Springhaven!U46+'Star Valley Ranch'!U57+Sunhaven!U53+'Sunny Grove'!U52+Tarponaire!U56+'Val Vista RV Resort'!U85+'Webster RV Resort LLC'!U72+'Wekiva Falls RV Resort'!U96+'West Jupiter RV Resort'!U53+'Western Way RV Resort LLC'!U145</f>
      </c>
      <c r="V25" s="24">
        <f>'Agave Village (ag011)'!V78+'Agave Village LLC'!V67+'Brookhaven Estates (bo260)'!V60+'Brookhaven RV Resort'!V56+'Courtly Manor'!V49+'Courtly Manor Park (co669)'!V50+'Cross Creek RV'!V145+'Cross Creek RV Resort (cr994)'!V151+'El Rio De Oro (el289)'!V47+'El Rio del Oro'!V50+'Endless Summer RV Resort'!V68+'Endless Summer RV Resort (en079'!V60+Evergreen!V47+'Far Horizons'!V47+'Far Horizons (fa105)'!V47+'Floridian Sandalwood (fl356)'!V44+'Floridian Sandalwood MHC'!V48+Glenhaven!V52+'Glenhaven Estates (gl317)'!V52+'Harbor Lights (ha310)'!V53+'Harbor Lights MHC'!V51+'Harvest Gate'!V61+'Hunter Run RV Estates'!V102+'Hunters Run RV Estates (hu116)'!V215+'Jade Isle (ja068)'!V44+'Jade Isle MHC'!V46+'Kakusha Estates (ka045)'!V50+'Kakusha MHC'!V49+'Lakeside Village'!V55+'Lakeside Village (la482)'!V57+'Lakewood Village (la481)'!V116+'Lakewood Village MHC LLC'!V136+'Maple Corner'!V69+'Maple Corner (ma490)'!V59+'Marlboro Court (ma489)'!V47+'Marlboro Court MHC LLC'!V47+'May Manor'!V151+'May Manor (ma488)'!V83+'Mobiland by the Sea (mo320)'!V52+'Mobiland By The Sea MHC'!V53+'Moss Landing'!V80+'Moss Landing (mo321)'!V72+'Oak Springs'!V84+'Oak Springs MHC (oa150)'!V60+'Orange Manor East'!V49+'Orange Manor East (or125)'!V52+'Pacific Manor'!V58+'Pacific Manor (pa602)'!V60+Parkhaven!V115+Ridgecrest!V65+Riverest!V59+'Riverview MHRV LLC'!V62+Rosehaven!V127+'Sanctuary RV Resort'!V239+'Shadow Mountain MHC'!V46+Springhaven!V46+'Star Valley Ranch'!V57+Sunhaven!V53+'Sunny Grove'!V52+Tarponaire!V56+'Val Vista RV Resort'!V85+'Webster RV Resort LLC'!V72+'Wekiva Falls RV Resort'!V96+'West Jupiter RV Resort'!V53+'Western Way RV Resort LLC'!V145</f>
      </c>
      <c r="W25" s="24">
        <f>'Agave Village (ag011)'!W78+'Agave Village LLC'!W67+'Brookhaven Estates (bo260)'!W60+'Brookhaven RV Resort'!W56+'Courtly Manor'!W49+'Courtly Manor Park (co669)'!W50+'Cross Creek RV'!W145+'Cross Creek RV Resort (cr994)'!W151+'El Rio De Oro (el289)'!W47+'El Rio del Oro'!W50+'Endless Summer RV Resort'!W68+'Endless Summer RV Resort (en079'!W60+Evergreen!W47+'Far Horizons'!W47+'Far Horizons (fa105)'!W47+'Floridian Sandalwood (fl356)'!W44+'Floridian Sandalwood MHC'!W48+Glenhaven!W52+'Glenhaven Estates (gl317)'!W52+'Harbor Lights (ha310)'!W53+'Harbor Lights MHC'!W51+'Harvest Gate'!W61+'Hunter Run RV Estates'!W102+'Hunters Run RV Estates (hu116)'!W215+'Jade Isle (ja068)'!W44+'Jade Isle MHC'!W46+'Kakusha Estates (ka045)'!W50+'Kakusha MHC'!W49+'Lakeside Village'!W55+'Lakeside Village (la482)'!W57+'Lakewood Village (la481)'!W116+'Lakewood Village MHC LLC'!W136+'Maple Corner'!W69+'Maple Corner (ma490)'!W59+'Marlboro Court (ma489)'!W47+'Marlboro Court MHC LLC'!W47+'May Manor'!W151+'May Manor (ma488)'!W83+'Mobiland by the Sea (mo320)'!W52+'Mobiland By The Sea MHC'!W53+'Moss Landing'!W80+'Moss Landing (mo321)'!W72+'Oak Springs'!W84+'Oak Springs MHC (oa150)'!W60+'Orange Manor East'!W49+'Orange Manor East (or125)'!W52+'Pacific Manor'!W58+'Pacific Manor (pa602)'!W60+Parkhaven!W115+Ridgecrest!W65+Riverest!W59+'Riverview MHRV LLC'!W62+Rosehaven!W127+'Sanctuary RV Resort'!W239+'Shadow Mountain MHC'!W46+Springhaven!W46+'Star Valley Ranch'!W57+Sunhaven!W53+'Sunny Grove'!W52+Tarponaire!W56+'Val Vista RV Resort'!W85+'Webster RV Resort LLC'!W72+'Wekiva Falls RV Resort'!W96+'West Jupiter RV Resort'!W53+'Western Way RV Resort LLC'!W145</f>
      </c>
      <c r="X25" s="24">
        <f>'Agave Village (ag011)'!X78+'Agave Village LLC'!X67+'Brookhaven Estates (bo260)'!X60+'Brookhaven RV Resort'!X56+'Courtly Manor'!X49+'Courtly Manor Park (co669)'!X50+'Cross Creek RV'!X145+'Cross Creek RV Resort (cr994)'!X151+'El Rio De Oro (el289)'!X47+'El Rio del Oro'!X50+'Endless Summer RV Resort'!X68+'Endless Summer RV Resort (en079'!X60+Evergreen!X47+'Far Horizons'!X47+'Far Horizons (fa105)'!X47+'Floridian Sandalwood (fl356)'!X44+'Floridian Sandalwood MHC'!X48+Glenhaven!X52+'Glenhaven Estates (gl317)'!X52+'Harbor Lights (ha310)'!X53+'Harbor Lights MHC'!X51+'Harvest Gate'!X61+'Hunter Run RV Estates'!X102+'Hunters Run RV Estates (hu116)'!X215+'Jade Isle (ja068)'!X44+'Jade Isle MHC'!X46+'Kakusha Estates (ka045)'!X50+'Kakusha MHC'!X49+'Lakeside Village'!X55+'Lakeside Village (la482)'!X57+'Lakewood Village (la481)'!X116+'Lakewood Village MHC LLC'!X136+'Maple Corner'!X69+'Maple Corner (ma490)'!X59+'Marlboro Court (ma489)'!X47+'Marlboro Court MHC LLC'!X47+'May Manor'!X151+'May Manor (ma488)'!X83+'Mobiland by the Sea (mo320)'!X52+'Mobiland By The Sea MHC'!X53+'Moss Landing'!X80+'Moss Landing (mo321)'!X72+'Oak Springs'!X84+'Oak Springs MHC (oa150)'!X60+'Orange Manor East'!X49+'Orange Manor East (or125)'!X52+'Pacific Manor'!X58+'Pacific Manor (pa602)'!X60+Parkhaven!X115+Ridgecrest!X65+Riverest!X59+'Riverview MHRV LLC'!X62+Rosehaven!X127+'Sanctuary RV Resort'!X239+'Shadow Mountain MHC'!X46+Springhaven!X46+'Star Valley Ranch'!X57+Sunhaven!X53+'Sunny Grove'!X52+Tarponaire!X56+'Val Vista RV Resort'!X85+'Webster RV Resort LLC'!X72+'Wekiva Falls RV Resort'!X96+'West Jupiter RV Resort'!X53+'Western Way RV Resort LLC'!X145</f>
      </c>
      <c r="Y25" s="24">
        <f>'Agave Village (ag011)'!Y78+'Agave Village LLC'!Y67+'Brookhaven Estates (bo260)'!Y60+'Brookhaven RV Resort'!Y56+'Courtly Manor'!Y49+'Courtly Manor Park (co669)'!Y50+'Cross Creek RV'!Y145+'Cross Creek RV Resort (cr994)'!Y151+'El Rio De Oro (el289)'!Y47+'El Rio del Oro'!Y50+'Endless Summer RV Resort'!Y68+'Endless Summer RV Resort (en079'!Y60+Evergreen!Y47+'Far Horizons'!Y47+'Far Horizons (fa105)'!Y47+'Floridian Sandalwood (fl356)'!Y44+'Floridian Sandalwood MHC'!Y48+Glenhaven!Y52+'Glenhaven Estates (gl317)'!Y52+'Harbor Lights (ha310)'!Y53+'Harbor Lights MHC'!Y51+'Harvest Gate'!Y61+'Hunter Run RV Estates'!Y102+'Hunters Run RV Estates (hu116)'!Y215+'Jade Isle (ja068)'!Y44+'Jade Isle MHC'!Y46+'Kakusha Estates (ka045)'!Y50+'Kakusha MHC'!Y49+'Lakeside Village'!Y55+'Lakeside Village (la482)'!Y57+'Lakewood Village (la481)'!Y116+'Lakewood Village MHC LLC'!Y136+'Maple Corner'!Y69+'Maple Corner (ma490)'!Y59+'Marlboro Court (ma489)'!Y47+'Marlboro Court MHC LLC'!Y47+'May Manor'!Y151+'May Manor (ma488)'!Y83+'Mobiland by the Sea (mo320)'!Y52+'Mobiland By The Sea MHC'!Y53+'Moss Landing'!Y80+'Moss Landing (mo321)'!Y72+'Oak Springs'!Y84+'Oak Springs MHC (oa150)'!Y60+'Orange Manor East'!Y49+'Orange Manor East (or125)'!Y52+'Pacific Manor'!Y58+'Pacific Manor (pa602)'!Y60+Parkhaven!Y115+Ridgecrest!Y65+Riverest!Y59+'Riverview MHRV LLC'!Y62+Rosehaven!Y127+'Sanctuary RV Resort'!Y239+'Shadow Mountain MHC'!Y46+Springhaven!Y46+'Star Valley Ranch'!Y57+Sunhaven!Y53+'Sunny Grove'!Y52+Tarponaire!Y56+'Val Vista RV Resort'!Y85+'Webster RV Resort LLC'!Y72+'Wekiva Falls RV Resort'!Y96+'West Jupiter RV Resort'!Y53+'Western Way RV Resort LLC'!Y145</f>
      </c>
      <c r="Z25" s="24">
        <f>'Agave Village (ag011)'!Z78+'Agave Village LLC'!Z67+'Brookhaven Estates (bo260)'!Z60+'Brookhaven RV Resort'!Z56+'Courtly Manor'!Z49+'Courtly Manor Park (co669)'!Z50+'Cross Creek RV'!Z145+'Cross Creek RV Resort (cr994)'!Z151+'El Rio De Oro (el289)'!Z47+'El Rio del Oro'!Z50+'Endless Summer RV Resort'!Z68+'Endless Summer RV Resort (en079'!Z60+Evergreen!Z47+'Far Horizons'!Z47+'Far Horizons (fa105)'!Z47+'Floridian Sandalwood (fl356)'!Z44+'Floridian Sandalwood MHC'!Z48+Glenhaven!Z52+'Glenhaven Estates (gl317)'!Z52+'Harbor Lights (ha310)'!Z53+'Harbor Lights MHC'!Z51+'Harvest Gate'!Z61+'Hunter Run RV Estates'!Z102+'Hunters Run RV Estates (hu116)'!Z215+'Jade Isle (ja068)'!Z44+'Jade Isle MHC'!Z46+'Kakusha Estates (ka045)'!Z50+'Kakusha MHC'!Z49+'Lakeside Village'!Z55+'Lakeside Village (la482)'!Z57+'Lakewood Village (la481)'!Z116+'Lakewood Village MHC LLC'!Z136+'Maple Corner'!Z69+'Maple Corner (ma490)'!Z59+'Marlboro Court (ma489)'!Z47+'Marlboro Court MHC LLC'!Z47+'May Manor'!Z151+'May Manor (ma488)'!Z83+'Mobiland by the Sea (mo320)'!Z52+'Mobiland By The Sea MHC'!Z53+'Moss Landing'!Z80+'Moss Landing (mo321)'!Z72+'Oak Springs'!Z84+'Oak Springs MHC (oa150)'!Z60+'Orange Manor East'!Z49+'Orange Manor East (or125)'!Z52+'Pacific Manor'!Z58+'Pacific Manor (pa602)'!Z60+Parkhaven!Z115+Ridgecrest!Z65+Riverest!Z59+'Riverview MHRV LLC'!Z62+Rosehaven!Z127+'Sanctuary RV Resort'!Z239+'Shadow Mountain MHC'!Z46+Springhaven!Z46+'Star Valley Ranch'!Z57+Sunhaven!Z53+'Sunny Grove'!Z52+Tarponaire!Z56+'Val Vista RV Resort'!Z85+'Webster RV Resort LLC'!Z72+'Wekiva Falls RV Resort'!Z96+'West Jupiter RV Resort'!Z53+'Western Way RV Resort LLC'!Z145</f>
      </c>
      <c r="AA25" s="24">
        <f>'Agave Village (ag011)'!AA78+'Agave Village LLC'!AA67+'Brookhaven Estates (bo260)'!AA60+'Brookhaven RV Resort'!AA56+'Courtly Manor'!AA49+'Courtly Manor Park (co669)'!AA50+'Cross Creek RV'!AA145+'Cross Creek RV Resort (cr994)'!AA151+'El Rio De Oro (el289)'!AA47+'El Rio del Oro'!AA50+'Endless Summer RV Resort'!AA68+'Endless Summer RV Resort (en079'!AA60+Evergreen!AA47+'Far Horizons'!AA47+'Far Horizons (fa105)'!AA47+'Floridian Sandalwood (fl356)'!AA44+'Floridian Sandalwood MHC'!AA48+Glenhaven!AA52+'Glenhaven Estates (gl317)'!AA52+'Harbor Lights (ha310)'!AA53+'Harbor Lights MHC'!AA51+'Harvest Gate'!AA61+'Hunter Run RV Estates'!AA102+'Hunters Run RV Estates (hu116)'!AA215+'Jade Isle (ja068)'!AA44+'Jade Isle MHC'!AA46+'Kakusha Estates (ka045)'!AA50+'Kakusha MHC'!AA49+'Lakeside Village'!AA55+'Lakeside Village (la482)'!AA57+'Lakewood Village (la481)'!AA116+'Lakewood Village MHC LLC'!AA136+'Maple Corner'!AA69+'Maple Corner (ma490)'!AA59+'Marlboro Court (ma489)'!AA47+'Marlboro Court MHC LLC'!AA47+'May Manor'!AA151+'May Manor (ma488)'!AA83+'Mobiland by the Sea (mo320)'!AA52+'Mobiland By The Sea MHC'!AA53+'Moss Landing'!AA80+'Moss Landing (mo321)'!AA72+'Oak Springs'!AA84+'Oak Springs MHC (oa150)'!AA60+'Orange Manor East'!AA49+'Orange Manor East (or125)'!AA52+'Pacific Manor'!AA58+'Pacific Manor (pa602)'!AA60+Parkhaven!AA115+Ridgecrest!AA65+Riverest!AA59+'Riverview MHRV LLC'!AA62+Rosehaven!AA127+'Sanctuary RV Resort'!AA239+'Shadow Mountain MHC'!AA46+Springhaven!AA46+'Star Valley Ranch'!AA57+Sunhaven!AA53+'Sunny Grove'!AA52+Tarponaire!AA56+'Val Vista RV Resort'!AA85+'Webster RV Resort LLC'!AA72+'Wekiva Falls RV Resort'!AA96+'West Jupiter RV Resort'!AA53+'Western Way RV Resort LLC'!AA145</f>
      </c>
      <c r="AB25" s="24">
        <f>'Agave Village (ag011)'!AB78+'Agave Village LLC'!AB67+'Brookhaven Estates (bo260)'!AB60+'Brookhaven RV Resort'!AB56+'Courtly Manor'!AB49+'Courtly Manor Park (co669)'!AB50+'Cross Creek RV'!AB145+'Cross Creek RV Resort (cr994)'!AB151+'El Rio De Oro (el289)'!AB47+'El Rio del Oro'!AB50+'Endless Summer RV Resort'!AB68+'Endless Summer RV Resort (en079'!AB60+Evergreen!AB47+'Far Horizons'!AB47+'Far Horizons (fa105)'!AB47+'Floridian Sandalwood (fl356)'!AB44+'Floridian Sandalwood MHC'!AB48+Glenhaven!AB52+'Glenhaven Estates (gl317)'!AB52+'Harbor Lights (ha310)'!AB53+'Harbor Lights MHC'!AB51+'Harvest Gate'!AB61+'Hunter Run RV Estates'!AB102+'Hunters Run RV Estates (hu116)'!AB215+'Jade Isle (ja068)'!AB44+'Jade Isle MHC'!AB46+'Kakusha Estates (ka045)'!AB50+'Kakusha MHC'!AB49+'Lakeside Village'!AB55+'Lakeside Village (la482)'!AB57+'Lakewood Village (la481)'!AB116+'Lakewood Village MHC LLC'!AB136+'Maple Corner'!AB69+'Maple Corner (ma490)'!AB59+'Marlboro Court (ma489)'!AB47+'Marlboro Court MHC LLC'!AB47+'May Manor'!AB151+'May Manor (ma488)'!AB83+'Mobiland by the Sea (mo320)'!AB52+'Mobiland By The Sea MHC'!AB53+'Moss Landing'!AB80+'Moss Landing (mo321)'!AB72+'Oak Springs'!AB84+'Oak Springs MHC (oa150)'!AB60+'Orange Manor East'!AB49+'Orange Manor East (or125)'!AB52+'Pacific Manor'!AB58+'Pacific Manor (pa602)'!AB60+Parkhaven!AB115+Ridgecrest!AB65+Riverest!AB59+'Riverview MHRV LLC'!AB62+Rosehaven!AB127+'Sanctuary RV Resort'!AB239+'Shadow Mountain MHC'!AB46+Springhaven!AB46+'Star Valley Ranch'!AB57+Sunhaven!AB53+'Sunny Grove'!AB52+Tarponaire!AB56+'Val Vista RV Resort'!AB85+'Webster RV Resort LLC'!AB72+'Wekiva Falls RV Resort'!AB96+'West Jupiter RV Resort'!AB53+'Western Way RV Resort LLC'!AB145</f>
      </c>
      <c r="AC25" s="24">
        <f>'Agave Village (ag011)'!AC78+'Agave Village LLC'!AC67+'Brookhaven Estates (bo260)'!AC60+'Brookhaven RV Resort'!AC56+'Courtly Manor'!AC49+'Courtly Manor Park (co669)'!AC50+'Cross Creek RV'!AC145+'Cross Creek RV Resort (cr994)'!AC151+'El Rio De Oro (el289)'!AC47+'El Rio del Oro'!AC50+'Endless Summer RV Resort'!AC68+'Endless Summer RV Resort (en079'!AC60+Evergreen!AC47+'Far Horizons'!AC47+'Far Horizons (fa105)'!AC47+'Floridian Sandalwood (fl356)'!AC44+'Floridian Sandalwood MHC'!AC48+Glenhaven!AC52+'Glenhaven Estates (gl317)'!AC52+'Harbor Lights (ha310)'!AC53+'Harbor Lights MHC'!AC51+'Harvest Gate'!AC61+'Hunter Run RV Estates'!AC102+'Hunters Run RV Estates (hu116)'!AC215+'Jade Isle (ja068)'!AC44+'Jade Isle MHC'!AC46+'Kakusha Estates (ka045)'!AC50+'Kakusha MHC'!AC49+'Lakeside Village'!AC55+'Lakeside Village (la482)'!AC57+'Lakewood Village (la481)'!AC116+'Lakewood Village MHC LLC'!AC136+'Maple Corner'!AC69+'Maple Corner (ma490)'!AC59+'Marlboro Court (ma489)'!AC47+'Marlboro Court MHC LLC'!AC47+'May Manor'!AC151+'May Manor (ma488)'!AC83+'Mobiland by the Sea (mo320)'!AC52+'Mobiland By The Sea MHC'!AC53+'Moss Landing'!AC80+'Moss Landing (mo321)'!AC72+'Oak Springs'!AC84+'Oak Springs MHC (oa150)'!AC60+'Orange Manor East'!AC49+'Orange Manor East (or125)'!AC52+'Pacific Manor'!AC58+'Pacific Manor (pa602)'!AC60+Parkhaven!AC115+Ridgecrest!AC65+Riverest!AC59+'Riverview MHRV LLC'!AC62+Rosehaven!AC127+'Sanctuary RV Resort'!AC239+'Shadow Mountain MHC'!AC46+Springhaven!AC46+'Star Valley Ranch'!AC57+Sunhaven!AC53+'Sunny Grove'!AC52+Tarponaire!AC56+'Val Vista RV Resort'!AC85+'Webster RV Resort LLC'!AC72+'Wekiva Falls RV Resort'!AC96+'West Jupiter RV Resort'!AC53+'Western Way RV Resort LLC'!AC145</f>
      </c>
      <c r="AD25" s="24">
        <f>'Agave Village (ag011)'!AD78+'Agave Village LLC'!AD67+'Brookhaven Estates (bo260)'!AD60+'Brookhaven RV Resort'!AD56+'Courtly Manor'!AD49+'Courtly Manor Park (co669)'!AD50+'Cross Creek RV'!AD145+'Cross Creek RV Resort (cr994)'!AD151+'El Rio De Oro (el289)'!AD47+'El Rio del Oro'!AD50+'Endless Summer RV Resort'!AD68+'Endless Summer RV Resort (en079'!AD60+Evergreen!AD47+'Far Horizons'!AD47+'Far Horizons (fa105)'!AD47+'Floridian Sandalwood (fl356)'!AD44+'Floridian Sandalwood MHC'!AD48+Glenhaven!AD52+'Glenhaven Estates (gl317)'!AD52+'Harbor Lights (ha310)'!AD53+'Harbor Lights MHC'!AD51+'Harvest Gate'!AD61+'Hunter Run RV Estates'!AD102+'Hunters Run RV Estates (hu116)'!AD215+'Jade Isle (ja068)'!AD44+'Jade Isle MHC'!AD46+'Kakusha Estates (ka045)'!AD50+'Kakusha MHC'!AD49+'Lakeside Village'!AD55+'Lakeside Village (la482)'!AD57+'Lakewood Village (la481)'!AD116+'Lakewood Village MHC LLC'!AD136+'Maple Corner'!AD69+'Maple Corner (ma490)'!AD59+'Marlboro Court (ma489)'!AD47+'Marlboro Court MHC LLC'!AD47+'May Manor'!AD151+'May Manor (ma488)'!AD83+'Mobiland by the Sea (mo320)'!AD52+'Mobiland By The Sea MHC'!AD53+'Moss Landing'!AD80+'Moss Landing (mo321)'!AD72+'Oak Springs'!AD84+'Oak Springs MHC (oa150)'!AD60+'Orange Manor East'!AD49+'Orange Manor East (or125)'!AD52+'Pacific Manor'!AD58+'Pacific Manor (pa602)'!AD60+Parkhaven!AD115+Ridgecrest!AD65+Riverest!AD59+'Riverview MHRV LLC'!AD62+Rosehaven!AD127+'Sanctuary RV Resort'!AD239+'Shadow Mountain MHC'!AD46+Springhaven!AD46+'Star Valley Ranch'!AD57+Sunhaven!AD53+'Sunny Grove'!AD52+Tarponaire!AD56+'Val Vista RV Resort'!AD85+'Webster RV Resort LLC'!AD72+'Wekiva Falls RV Resort'!AD96+'West Jupiter RV Resort'!AD53+'Western Way RV Resort LLC'!AD145</f>
      </c>
      <c r="AE25" s="24">
        <f>'Agave Village (ag011)'!AE78+'Agave Village LLC'!AE67+'Brookhaven Estates (bo260)'!AE60+'Brookhaven RV Resort'!AE56+'Courtly Manor'!AE49+'Courtly Manor Park (co669)'!AE50+'Cross Creek RV'!AE145+'Cross Creek RV Resort (cr994)'!AE151+'El Rio De Oro (el289)'!AE47+'El Rio del Oro'!AE50+'Endless Summer RV Resort'!AE68+'Endless Summer RV Resort (en079'!AE60+Evergreen!AE47+'Far Horizons'!AE47+'Far Horizons (fa105)'!AE47+'Floridian Sandalwood (fl356)'!AE44+'Floridian Sandalwood MHC'!AE48+Glenhaven!AE52+'Glenhaven Estates (gl317)'!AE52+'Harbor Lights (ha310)'!AE53+'Harbor Lights MHC'!AE51+'Harvest Gate'!AE61+'Hunter Run RV Estates'!AE102+'Hunters Run RV Estates (hu116)'!AE215+'Jade Isle (ja068)'!AE44+'Jade Isle MHC'!AE46+'Kakusha Estates (ka045)'!AE50+'Kakusha MHC'!AE49+'Lakeside Village'!AE55+'Lakeside Village (la482)'!AE57+'Lakewood Village (la481)'!AE116+'Lakewood Village MHC LLC'!AE136+'Maple Corner'!AE69+'Maple Corner (ma490)'!AE59+'Marlboro Court (ma489)'!AE47+'Marlboro Court MHC LLC'!AE47+'May Manor'!AE151+'May Manor (ma488)'!AE83+'Mobiland by the Sea (mo320)'!AE52+'Mobiland By The Sea MHC'!AE53+'Moss Landing'!AE80+'Moss Landing (mo321)'!AE72+'Oak Springs'!AE84+'Oak Springs MHC (oa150)'!AE60+'Orange Manor East'!AE49+'Orange Manor East (or125)'!AE52+'Pacific Manor'!AE58+'Pacific Manor (pa602)'!AE60+Parkhaven!AE115+Ridgecrest!AE65+Riverest!AE59+'Riverview MHRV LLC'!AE62+Rosehaven!AE127+'Sanctuary RV Resort'!AE239+'Shadow Mountain MHC'!AE46+Springhaven!AE46+'Star Valley Ranch'!AE57+Sunhaven!AE53+'Sunny Grove'!AE52+Tarponaire!AE56+'Val Vista RV Resort'!AE85+'Webster RV Resort LLC'!AE72+'Wekiva Falls RV Resort'!AE96+'West Jupiter RV Resort'!AE53+'Western Way RV Resort LLC'!AE145</f>
      </c>
      <c r="AF25" s="24">
        <f>'Agave Village (ag011)'!AF78+'Agave Village LLC'!AF67+'Brookhaven Estates (bo260)'!AF60+'Brookhaven RV Resort'!AF56+'Courtly Manor'!AF49+'Courtly Manor Park (co669)'!AF50+'Cross Creek RV'!AF145+'Cross Creek RV Resort (cr994)'!AF151+'El Rio De Oro (el289)'!AF47+'El Rio del Oro'!AF50+'Endless Summer RV Resort'!AF68+'Endless Summer RV Resort (en079'!AF60+Evergreen!AF47+'Far Horizons'!AF47+'Far Horizons (fa105)'!AF47+'Floridian Sandalwood (fl356)'!AF44+'Floridian Sandalwood MHC'!AF48+Glenhaven!AF52+'Glenhaven Estates (gl317)'!AF52+'Harbor Lights (ha310)'!AF53+'Harbor Lights MHC'!AF51+'Harvest Gate'!AF61+'Hunter Run RV Estates'!AF102+'Hunters Run RV Estates (hu116)'!AF215+'Jade Isle (ja068)'!AF44+'Jade Isle MHC'!AF46+'Kakusha Estates (ka045)'!AF50+'Kakusha MHC'!AF49+'Lakeside Village'!AF55+'Lakeside Village (la482)'!AF57+'Lakewood Village (la481)'!AF116+'Lakewood Village MHC LLC'!AF136+'Maple Corner'!AF69+'Maple Corner (ma490)'!AF59+'Marlboro Court (ma489)'!AF47+'Marlboro Court MHC LLC'!AF47+'May Manor'!AF151+'May Manor (ma488)'!AF83+'Mobiland by the Sea (mo320)'!AF52+'Mobiland By The Sea MHC'!AF53+'Moss Landing'!AF80+'Moss Landing (mo321)'!AF72+'Oak Springs'!AF84+'Oak Springs MHC (oa150)'!AF60+'Orange Manor East'!AF49+'Orange Manor East (or125)'!AF52+'Pacific Manor'!AF58+'Pacific Manor (pa602)'!AF60+Parkhaven!AF115+Ridgecrest!AF65+Riverest!AF59+'Riverview MHRV LLC'!AF62+Rosehaven!AF127+'Sanctuary RV Resort'!AF239+'Shadow Mountain MHC'!AF46+Springhaven!AF46+'Star Valley Ranch'!AF57+Sunhaven!AF53+'Sunny Grove'!AF52+Tarponaire!AF56+'Val Vista RV Resort'!AF85+'Webster RV Resort LLC'!AF72+'Wekiva Falls RV Resort'!AF96+'West Jupiter RV Resort'!AF53+'Western Way RV Resort LLC'!AF145</f>
      </c>
      <c r="AG25" s="24">
        <f>'Agave Village (ag011)'!AG78+'Agave Village LLC'!AG67+'Brookhaven Estates (bo260)'!AG60+'Brookhaven RV Resort'!AG56+'Courtly Manor'!AG49+'Courtly Manor Park (co669)'!AG50+'Cross Creek RV'!AG145+'Cross Creek RV Resort (cr994)'!AG151+'El Rio De Oro (el289)'!AG47+'El Rio del Oro'!AG50+'Endless Summer RV Resort'!AG68+'Endless Summer RV Resort (en079'!AG60+Evergreen!AG47+'Far Horizons'!AG47+'Far Horizons (fa105)'!AG47+'Floridian Sandalwood (fl356)'!AG44+'Floridian Sandalwood MHC'!AG48+Glenhaven!AG52+'Glenhaven Estates (gl317)'!AG52+'Harbor Lights (ha310)'!AG53+'Harbor Lights MHC'!AG51+'Harvest Gate'!AG61+'Hunter Run RV Estates'!AG102+'Hunters Run RV Estates (hu116)'!AG215+'Jade Isle (ja068)'!AG44+'Jade Isle MHC'!AG46+'Kakusha Estates (ka045)'!AG50+'Kakusha MHC'!AG49+'Lakeside Village'!AG55+'Lakeside Village (la482)'!AG57+'Lakewood Village (la481)'!AG116+'Lakewood Village MHC LLC'!AG136+'Maple Corner'!AG69+'Maple Corner (ma490)'!AG59+'Marlboro Court (ma489)'!AG47+'Marlboro Court MHC LLC'!AG47+'May Manor'!AG151+'May Manor (ma488)'!AG83+'Mobiland by the Sea (mo320)'!AG52+'Mobiland By The Sea MHC'!AG53+'Moss Landing'!AG80+'Moss Landing (mo321)'!AG72+'Oak Springs'!AG84+'Oak Springs MHC (oa150)'!AG60+'Orange Manor East'!AG49+'Orange Manor East (or125)'!AG52+'Pacific Manor'!AG58+'Pacific Manor (pa602)'!AG60+Parkhaven!AG115+Ridgecrest!AG65+Riverest!AG59+'Riverview MHRV LLC'!AG62+Rosehaven!AG127+'Sanctuary RV Resort'!AG239+'Shadow Mountain MHC'!AG46+Springhaven!AG46+'Star Valley Ranch'!AG57+Sunhaven!AG53+'Sunny Grove'!AG52+Tarponaire!AG56+'Val Vista RV Resort'!AG85+'Webster RV Resort LLC'!AG72+'Wekiva Falls RV Resort'!AG96+'West Jupiter RV Resort'!AG53+'Western Way RV Resort LLC'!AG145</f>
      </c>
      <c r="AH25" s="24">
        <f>'Agave Village (ag011)'!AH78+'Agave Village LLC'!AH67+'Brookhaven Estates (bo260)'!AH60+'Brookhaven RV Resort'!AH56+'Courtly Manor'!AH49+'Courtly Manor Park (co669)'!AH50+'Cross Creek RV'!AH145+'Cross Creek RV Resort (cr994)'!AH151+'El Rio De Oro (el289)'!AH47+'El Rio del Oro'!AH50+'Endless Summer RV Resort'!AH68+'Endless Summer RV Resort (en079'!AH60+Evergreen!AH47+'Far Horizons'!AH47+'Far Horizons (fa105)'!AH47+'Floridian Sandalwood (fl356)'!AH44+'Floridian Sandalwood MHC'!AH48+Glenhaven!AH52+'Glenhaven Estates (gl317)'!AH52+'Harbor Lights (ha310)'!AH53+'Harbor Lights MHC'!AH51+'Harvest Gate'!AH61+'Hunter Run RV Estates'!AH102+'Hunters Run RV Estates (hu116)'!AH215+'Jade Isle (ja068)'!AH44+'Jade Isle MHC'!AH46+'Kakusha Estates (ka045)'!AH50+'Kakusha MHC'!AH49+'Lakeside Village'!AH55+'Lakeside Village (la482)'!AH57+'Lakewood Village (la481)'!AH116+'Lakewood Village MHC LLC'!AH136+'Maple Corner'!AH69+'Maple Corner (ma490)'!AH59+'Marlboro Court (ma489)'!AH47+'Marlboro Court MHC LLC'!AH47+'May Manor'!AH151+'May Manor (ma488)'!AH83+'Mobiland by the Sea (mo320)'!AH52+'Mobiland By The Sea MHC'!AH53+'Moss Landing'!AH80+'Moss Landing (mo321)'!AH72+'Oak Springs'!AH84+'Oak Springs MHC (oa150)'!AH60+'Orange Manor East'!AH49+'Orange Manor East (or125)'!AH52+'Pacific Manor'!AH58+'Pacific Manor (pa602)'!AH60+Parkhaven!AH115+Ridgecrest!AH65+Riverest!AH59+'Riverview MHRV LLC'!AH62+Rosehaven!AH127+'Sanctuary RV Resort'!AH239+'Shadow Mountain MHC'!AH46+Springhaven!AH46+'Star Valley Ranch'!AH57+Sunhaven!AH53+'Sunny Grove'!AH52+Tarponaire!AH56+'Val Vista RV Resort'!AH85+'Webster RV Resort LLC'!AH72+'Wekiva Falls RV Resort'!AH96+'West Jupiter RV Resort'!AH53+'Western Way RV Resort LLC'!AH145</f>
      </c>
      <c r="AI25" s="24">
        <f>'Agave Village (ag011)'!AI78+'Agave Village LLC'!AI67+'Brookhaven Estates (bo260)'!AI60+'Brookhaven RV Resort'!AI56+'Courtly Manor'!AI49+'Courtly Manor Park (co669)'!AI50+'Cross Creek RV'!AI145+'Cross Creek RV Resort (cr994)'!AI151+'El Rio De Oro (el289)'!AI47+'El Rio del Oro'!AI50+'Endless Summer RV Resort'!AI68+'Endless Summer RV Resort (en079'!AI60+Evergreen!AI47+'Far Horizons'!AI47+'Far Horizons (fa105)'!AI47+'Floridian Sandalwood (fl356)'!AI44+'Floridian Sandalwood MHC'!AI48+Glenhaven!AI52+'Glenhaven Estates (gl317)'!AI52+'Harbor Lights (ha310)'!AI53+'Harbor Lights MHC'!AI51+'Harvest Gate'!AI61+'Hunter Run RV Estates'!AI102+'Hunters Run RV Estates (hu116)'!AI215+'Jade Isle (ja068)'!AI44+'Jade Isle MHC'!AI46+'Kakusha Estates (ka045)'!AI50+'Kakusha MHC'!AI49+'Lakeside Village'!AI55+'Lakeside Village (la482)'!AI57+'Lakewood Village (la481)'!AI116+'Lakewood Village MHC LLC'!AI136+'Maple Corner'!AI69+'Maple Corner (ma490)'!AI59+'Marlboro Court (ma489)'!AI47+'Marlboro Court MHC LLC'!AI47+'May Manor'!AI151+'May Manor (ma488)'!AI83+'Mobiland by the Sea (mo320)'!AI52+'Mobiland By The Sea MHC'!AI53+'Moss Landing'!AI80+'Moss Landing (mo321)'!AI72+'Oak Springs'!AI84+'Oak Springs MHC (oa150)'!AI60+'Orange Manor East'!AI49+'Orange Manor East (or125)'!AI52+'Pacific Manor'!AI58+'Pacific Manor (pa602)'!AI60+Parkhaven!AI115+Ridgecrest!AI65+Riverest!AI59+'Riverview MHRV LLC'!AI62+Rosehaven!AI127+'Sanctuary RV Resort'!AI239+'Shadow Mountain MHC'!AI46+Springhaven!AI46+'Star Valley Ranch'!AI57+Sunhaven!AI53+'Sunny Grove'!AI52+Tarponaire!AI56+'Val Vista RV Resort'!AI85+'Webster RV Resort LLC'!AI72+'Wekiva Falls RV Resort'!AI96+'West Jupiter RV Resort'!AI53+'Western Way RV Resort LLC'!AI145</f>
      </c>
      <c r="AJ25" s="24">
        <f>'Agave Village (ag011)'!AJ78+'Agave Village LLC'!AJ67+'Brookhaven Estates (bo260)'!AJ60+'Brookhaven RV Resort'!AJ56+'Courtly Manor'!AJ49+'Courtly Manor Park (co669)'!AJ50+'Cross Creek RV'!AJ145+'Cross Creek RV Resort (cr994)'!AJ151+'El Rio De Oro (el289)'!AJ47+'El Rio del Oro'!AJ50+'Endless Summer RV Resort'!AJ68+'Endless Summer RV Resort (en079'!AJ60+Evergreen!AJ47+'Far Horizons'!AJ47+'Far Horizons (fa105)'!AJ47+'Floridian Sandalwood (fl356)'!AJ44+'Floridian Sandalwood MHC'!AJ48+Glenhaven!AJ52+'Glenhaven Estates (gl317)'!AJ52+'Harbor Lights (ha310)'!AJ53+'Harbor Lights MHC'!AJ51+'Harvest Gate'!AJ61+'Hunter Run RV Estates'!AJ102+'Hunters Run RV Estates (hu116)'!AJ215+'Jade Isle (ja068)'!AJ44+'Jade Isle MHC'!AJ46+'Kakusha Estates (ka045)'!AJ50+'Kakusha MHC'!AJ49+'Lakeside Village'!AJ55+'Lakeside Village (la482)'!AJ57+'Lakewood Village (la481)'!AJ116+'Lakewood Village MHC LLC'!AJ136+'Maple Corner'!AJ69+'Maple Corner (ma490)'!AJ59+'Marlboro Court (ma489)'!AJ47+'Marlboro Court MHC LLC'!AJ47+'May Manor'!AJ151+'May Manor (ma488)'!AJ83+'Mobiland by the Sea (mo320)'!AJ52+'Mobiland By The Sea MHC'!AJ53+'Moss Landing'!AJ80+'Moss Landing (mo321)'!AJ72+'Oak Springs'!AJ84+'Oak Springs MHC (oa150)'!AJ60+'Orange Manor East'!AJ49+'Orange Manor East (or125)'!AJ52+'Pacific Manor'!AJ58+'Pacific Manor (pa602)'!AJ60+Parkhaven!AJ115+Ridgecrest!AJ65+Riverest!AJ59+'Riverview MHRV LLC'!AJ62+Rosehaven!AJ127+'Sanctuary RV Resort'!AJ239+'Shadow Mountain MHC'!AJ46+Springhaven!AJ46+'Star Valley Ranch'!AJ57+Sunhaven!AJ53+'Sunny Grove'!AJ52+Tarponaire!AJ56+'Val Vista RV Resort'!AJ85+'Webster RV Resort LLC'!AJ72+'Wekiva Falls RV Resort'!AJ96+'West Jupiter RV Resort'!AJ53+'Western Way RV Resort LLC'!AJ145</f>
      </c>
      <c r="AK25" s="19"/>
    </row>
    <row r="26" ht="12.75" customHeight="1" spans="2:37" x14ac:dyDescent="0.25">
      <c r="B26" s="16" t="s">
        <v>44</v>
      </c>
      <c r="C26" s="17"/>
      <c r="D26" s="17"/>
      <c r="E26" s="24">
        <f>'Agave Village (ag011)'!E79+'Agave Village LLC'!E68+'Brookhaven Estates (bo260)'!E61+'Brookhaven RV Resort'!E57+'Courtly Manor'!E50+'Courtly Manor Park (co669)'!E51+'Cross Creek RV'!E146+'Cross Creek RV Resort (cr994)'!E152+'El Rio De Oro (el289)'!E48+'El Rio del Oro'!E51+'Endless Summer RV Resort'!E69+'Endless Summer RV Resort (en079'!E61+Evergreen!E48+'Far Horizons'!E48+'Far Horizons (fa105)'!E48+'Floridian Sandalwood (fl356)'!E45+'Floridian Sandalwood MHC'!E49+Glenhaven!E53+'Glenhaven Estates (gl317)'!E53+'Harbor Lights (ha310)'!E54+'Harbor Lights MHC'!E52+'Harvest Gate'!E62+'Hunter Run RV Estates'!E103+'Hunters Run RV Estates (hu116)'!E216+'Jade Isle (ja068)'!E45+'Jade Isle MHC'!E47+'Kakusha Estates (ka045)'!E51+'Kakusha MHC'!E50+'Lakeside Village'!E56+'Lakeside Village (la482)'!E58+'Lakewood Village (la481)'!E117+'Lakewood Village MHC LLC'!E137+'Maple Corner'!E70+'Maple Corner (ma490)'!E60+'Marlboro Court (ma489)'!E48+'Marlboro Court MHC LLC'!E48+'May Manor'!E152+'May Manor (ma488)'!E84+'Mobiland by the Sea (mo320)'!E53+'Mobiland By The Sea MHC'!E54+'Moss Landing'!E81+'Moss Landing (mo321)'!E73+'Oak Springs'!E85+'Oak Springs MHC (oa150)'!E61+'Orange Manor East'!E50+'Orange Manor East (or125)'!E53+'Pacific Manor'!E59+'Pacific Manor (pa602)'!E61+Parkhaven!E116+Ridgecrest!E66+Riverest!E60+'Riverview MHRV LLC'!E63+Rosehaven!E128+'Sanctuary RV Resort'!E240+'Shadow Mountain MHC'!E47+Springhaven!E47+'Star Valley Ranch'!E58+Sunhaven!E54+'Sunny Grove'!E53+Tarponaire!E57+'Val Vista RV Resort'!E86+'Webster RV Resort LLC'!E73+'Wekiva Falls RV Resort'!E97+'West Jupiter RV Resort'!E54+'Western Way RV Resort LLC'!E146</f>
      </c>
      <c r="F26" s="24">
        <f>'Agave Village (ag011)'!F79+'Agave Village LLC'!F68+'Brookhaven Estates (bo260)'!F61+'Brookhaven RV Resort'!F57+'Courtly Manor'!F50+'Courtly Manor Park (co669)'!F51+'Cross Creek RV'!F146+'Cross Creek RV Resort (cr994)'!F152+'El Rio De Oro (el289)'!F48+'El Rio del Oro'!F51+'Endless Summer RV Resort'!F69+'Endless Summer RV Resort (en079'!F61+Evergreen!F48+'Far Horizons'!F48+'Far Horizons (fa105)'!F48+'Floridian Sandalwood (fl356)'!F45+'Floridian Sandalwood MHC'!F49+Glenhaven!F53+'Glenhaven Estates (gl317)'!F53+'Harbor Lights (ha310)'!F54+'Harbor Lights MHC'!F52+'Harvest Gate'!F62+'Hunter Run RV Estates'!F103+'Hunters Run RV Estates (hu116)'!F216+'Jade Isle (ja068)'!F45+'Jade Isle MHC'!F47+'Kakusha Estates (ka045)'!F51+'Kakusha MHC'!F50+'Lakeside Village'!F56+'Lakeside Village (la482)'!F58+'Lakewood Village (la481)'!F117+'Lakewood Village MHC LLC'!F137+'Maple Corner'!F70+'Maple Corner (ma490)'!F60+'Marlboro Court (ma489)'!F48+'Marlboro Court MHC LLC'!F48+'May Manor'!F152+'May Manor (ma488)'!F84+'Mobiland by the Sea (mo320)'!F53+'Mobiland By The Sea MHC'!F54+'Moss Landing'!F81+'Moss Landing (mo321)'!F73+'Oak Springs'!F85+'Oak Springs MHC (oa150)'!F61+'Orange Manor East'!F50+'Orange Manor East (or125)'!F53+'Pacific Manor'!F59+'Pacific Manor (pa602)'!F61+Parkhaven!F116+Ridgecrest!F66+Riverest!F60+'Riverview MHRV LLC'!F63+Rosehaven!F128+'Sanctuary RV Resort'!F240+'Shadow Mountain MHC'!F47+Springhaven!F47+'Star Valley Ranch'!F58+Sunhaven!F54+'Sunny Grove'!F53+Tarponaire!F57+'Val Vista RV Resort'!F86+'Webster RV Resort LLC'!F73+'Wekiva Falls RV Resort'!F97+'West Jupiter RV Resort'!F54+'Western Way RV Resort LLC'!F146</f>
      </c>
      <c r="G26" s="24">
        <f>'Agave Village (ag011)'!G79+'Agave Village LLC'!G68+'Brookhaven Estates (bo260)'!G61+'Brookhaven RV Resort'!G57+'Courtly Manor'!G50+'Courtly Manor Park (co669)'!G51+'Cross Creek RV'!G146+'Cross Creek RV Resort (cr994)'!G152+'El Rio De Oro (el289)'!G48+'El Rio del Oro'!G51+'Endless Summer RV Resort'!G69+'Endless Summer RV Resort (en079'!G61+Evergreen!G48+'Far Horizons'!G48+'Far Horizons (fa105)'!G48+'Floridian Sandalwood (fl356)'!G45+'Floridian Sandalwood MHC'!G49+Glenhaven!G53+'Glenhaven Estates (gl317)'!G53+'Harbor Lights (ha310)'!G54+'Harbor Lights MHC'!G52+'Harvest Gate'!G62+'Hunter Run RV Estates'!G103+'Hunters Run RV Estates (hu116)'!G216+'Jade Isle (ja068)'!G45+'Jade Isle MHC'!G47+'Kakusha Estates (ka045)'!G51+'Kakusha MHC'!G50+'Lakeside Village'!G56+'Lakeside Village (la482)'!G58+'Lakewood Village (la481)'!G117+'Lakewood Village MHC LLC'!G137+'Maple Corner'!G70+'Maple Corner (ma490)'!G60+'Marlboro Court (ma489)'!G48+'Marlboro Court MHC LLC'!G48+'May Manor'!G152+'May Manor (ma488)'!G84+'Mobiland by the Sea (mo320)'!G53+'Mobiland By The Sea MHC'!G54+'Moss Landing'!G81+'Moss Landing (mo321)'!G73+'Oak Springs'!G85+'Oak Springs MHC (oa150)'!G61+'Orange Manor East'!G50+'Orange Manor East (or125)'!G53+'Pacific Manor'!G59+'Pacific Manor (pa602)'!G61+Parkhaven!G116+Ridgecrest!G66+Riverest!G60+'Riverview MHRV LLC'!G63+Rosehaven!G128+'Sanctuary RV Resort'!G240+'Shadow Mountain MHC'!G47+Springhaven!G47+'Star Valley Ranch'!G58+Sunhaven!G54+'Sunny Grove'!G53+Tarponaire!G57+'Val Vista RV Resort'!G86+'Webster RV Resort LLC'!G73+'Wekiva Falls RV Resort'!G97+'West Jupiter RV Resort'!G54+'Western Way RV Resort LLC'!G146</f>
      </c>
      <c r="H26" s="24">
        <f>'Agave Village (ag011)'!H79+'Agave Village LLC'!H68+'Brookhaven Estates (bo260)'!H61+'Brookhaven RV Resort'!H57+'Courtly Manor'!H50+'Courtly Manor Park (co669)'!H51+'Cross Creek RV'!H146+'Cross Creek RV Resort (cr994)'!H152+'El Rio De Oro (el289)'!H48+'El Rio del Oro'!H51+'Endless Summer RV Resort'!H69+'Endless Summer RV Resort (en079'!H61+Evergreen!H48+'Far Horizons'!H48+'Far Horizons (fa105)'!H48+'Floridian Sandalwood (fl356)'!H45+'Floridian Sandalwood MHC'!H49+Glenhaven!H53+'Glenhaven Estates (gl317)'!H53+'Harbor Lights (ha310)'!H54+'Harbor Lights MHC'!H52+'Harvest Gate'!H62+'Hunter Run RV Estates'!H103+'Hunters Run RV Estates (hu116)'!H216+'Jade Isle (ja068)'!H45+'Jade Isle MHC'!H47+'Kakusha Estates (ka045)'!H51+'Kakusha MHC'!H50+'Lakeside Village'!H56+'Lakeside Village (la482)'!H58+'Lakewood Village (la481)'!H117+'Lakewood Village MHC LLC'!H137+'Maple Corner'!H70+'Maple Corner (ma490)'!H60+'Marlboro Court (ma489)'!H48+'Marlboro Court MHC LLC'!H48+'May Manor'!H152+'May Manor (ma488)'!H84+'Mobiland by the Sea (mo320)'!H53+'Mobiland By The Sea MHC'!H54+'Moss Landing'!H81+'Moss Landing (mo321)'!H73+'Oak Springs'!H85+'Oak Springs MHC (oa150)'!H61+'Orange Manor East'!H50+'Orange Manor East (or125)'!H53+'Pacific Manor'!H59+'Pacific Manor (pa602)'!H61+Parkhaven!H116+Ridgecrest!H66+Riverest!H60+'Riverview MHRV LLC'!H63+Rosehaven!H128+'Sanctuary RV Resort'!H240+'Shadow Mountain MHC'!H47+Springhaven!H47+'Star Valley Ranch'!H58+Sunhaven!H54+'Sunny Grove'!H53+Tarponaire!H57+'Val Vista RV Resort'!H86+'Webster RV Resort LLC'!H73+'Wekiva Falls RV Resort'!H97+'West Jupiter RV Resort'!H54+'Western Way RV Resort LLC'!H146</f>
      </c>
      <c r="I26" s="24">
        <f>'Agave Village (ag011)'!I79+'Agave Village LLC'!I68+'Brookhaven Estates (bo260)'!I61+'Brookhaven RV Resort'!I57+'Courtly Manor'!I50+'Courtly Manor Park (co669)'!I51+'Cross Creek RV'!I146+'Cross Creek RV Resort (cr994)'!I152+'El Rio De Oro (el289)'!I48+'El Rio del Oro'!I51+'Endless Summer RV Resort'!I69+'Endless Summer RV Resort (en079'!I61+Evergreen!I48+'Far Horizons'!I48+'Far Horizons (fa105)'!I48+'Floridian Sandalwood (fl356)'!I45+'Floridian Sandalwood MHC'!I49+Glenhaven!I53+'Glenhaven Estates (gl317)'!I53+'Harbor Lights (ha310)'!I54+'Harbor Lights MHC'!I52+'Harvest Gate'!I62+'Hunter Run RV Estates'!I103+'Hunters Run RV Estates (hu116)'!I216+'Jade Isle (ja068)'!I45+'Jade Isle MHC'!I47+'Kakusha Estates (ka045)'!I51+'Kakusha MHC'!I50+'Lakeside Village'!I56+'Lakeside Village (la482)'!I58+'Lakewood Village (la481)'!I117+'Lakewood Village MHC LLC'!I137+'Maple Corner'!I70+'Maple Corner (ma490)'!I60+'Marlboro Court (ma489)'!I48+'Marlboro Court MHC LLC'!I48+'May Manor'!I152+'May Manor (ma488)'!I84+'Mobiland by the Sea (mo320)'!I53+'Mobiland By The Sea MHC'!I54+'Moss Landing'!I81+'Moss Landing (mo321)'!I73+'Oak Springs'!I85+'Oak Springs MHC (oa150)'!I61+'Orange Manor East'!I50+'Orange Manor East (or125)'!I53+'Pacific Manor'!I59+'Pacific Manor (pa602)'!I61+Parkhaven!I116+Ridgecrest!I66+Riverest!I60+'Riverview MHRV LLC'!I63+Rosehaven!I128+'Sanctuary RV Resort'!I240+'Shadow Mountain MHC'!I47+Springhaven!I47+'Star Valley Ranch'!I58+Sunhaven!I54+'Sunny Grove'!I53+Tarponaire!I57+'Val Vista RV Resort'!I86+'Webster RV Resort LLC'!I73+'Wekiva Falls RV Resort'!I97+'West Jupiter RV Resort'!I54+'Western Way RV Resort LLC'!I146</f>
      </c>
      <c r="J26" s="24">
        <f>'Agave Village (ag011)'!J79+'Agave Village LLC'!J68+'Brookhaven Estates (bo260)'!J61+'Brookhaven RV Resort'!J57+'Courtly Manor'!J50+'Courtly Manor Park (co669)'!J51+'Cross Creek RV'!J146+'Cross Creek RV Resort (cr994)'!J152+'El Rio De Oro (el289)'!J48+'El Rio del Oro'!J51+'Endless Summer RV Resort'!J69+'Endless Summer RV Resort (en079'!J61+Evergreen!J48+'Far Horizons'!J48+'Far Horizons (fa105)'!J48+'Floridian Sandalwood (fl356)'!J45+'Floridian Sandalwood MHC'!J49+Glenhaven!J53+'Glenhaven Estates (gl317)'!J53+'Harbor Lights (ha310)'!J54+'Harbor Lights MHC'!J52+'Harvest Gate'!J62+'Hunter Run RV Estates'!J103+'Hunters Run RV Estates (hu116)'!J216+'Jade Isle (ja068)'!J45+'Jade Isle MHC'!J47+'Kakusha Estates (ka045)'!J51+'Kakusha MHC'!J50+'Lakeside Village'!J56+'Lakeside Village (la482)'!J58+'Lakewood Village (la481)'!J117+'Lakewood Village MHC LLC'!J137+'Maple Corner'!J70+'Maple Corner (ma490)'!J60+'Marlboro Court (ma489)'!J48+'Marlboro Court MHC LLC'!J48+'May Manor'!J152+'May Manor (ma488)'!J84+'Mobiland by the Sea (mo320)'!J53+'Mobiland By The Sea MHC'!J54+'Moss Landing'!J81+'Moss Landing (mo321)'!J73+'Oak Springs'!J85+'Oak Springs MHC (oa150)'!J61+'Orange Manor East'!J50+'Orange Manor East (or125)'!J53+'Pacific Manor'!J59+'Pacific Manor (pa602)'!J61+Parkhaven!J116+Ridgecrest!J66+Riverest!J60+'Riverview MHRV LLC'!J63+Rosehaven!J128+'Sanctuary RV Resort'!J240+'Shadow Mountain MHC'!J47+Springhaven!J47+'Star Valley Ranch'!J58+Sunhaven!J54+'Sunny Grove'!J53+Tarponaire!J57+'Val Vista RV Resort'!J86+'Webster RV Resort LLC'!J73+'Wekiva Falls RV Resort'!J97+'West Jupiter RV Resort'!J54+'Western Way RV Resort LLC'!J146</f>
      </c>
      <c r="K26" s="24">
        <f>'Agave Village (ag011)'!K79+'Agave Village LLC'!K68+'Brookhaven Estates (bo260)'!K61+'Brookhaven RV Resort'!K57+'Courtly Manor'!K50+'Courtly Manor Park (co669)'!K51+'Cross Creek RV'!K146+'Cross Creek RV Resort (cr994)'!K152+'El Rio De Oro (el289)'!K48+'El Rio del Oro'!K51+'Endless Summer RV Resort'!K69+'Endless Summer RV Resort (en079'!K61+Evergreen!K48+'Far Horizons'!K48+'Far Horizons (fa105)'!K48+'Floridian Sandalwood (fl356)'!K45+'Floridian Sandalwood MHC'!K49+Glenhaven!K53+'Glenhaven Estates (gl317)'!K53+'Harbor Lights (ha310)'!K54+'Harbor Lights MHC'!K52+'Harvest Gate'!K62+'Hunter Run RV Estates'!K103+'Hunters Run RV Estates (hu116)'!K216+'Jade Isle (ja068)'!K45+'Jade Isle MHC'!K47+'Kakusha Estates (ka045)'!K51+'Kakusha MHC'!K50+'Lakeside Village'!K56+'Lakeside Village (la482)'!K58+'Lakewood Village (la481)'!K117+'Lakewood Village MHC LLC'!K137+'Maple Corner'!K70+'Maple Corner (ma490)'!K60+'Marlboro Court (ma489)'!K48+'Marlboro Court MHC LLC'!K48+'May Manor'!K152+'May Manor (ma488)'!K84+'Mobiland by the Sea (mo320)'!K53+'Mobiland By The Sea MHC'!K54+'Moss Landing'!K81+'Moss Landing (mo321)'!K73+'Oak Springs'!K85+'Oak Springs MHC (oa150)'!K61+'Orange Manor East'!K50+'Orange Manor East (or125)'!K53+'Pacific Manor'!K59+'Pacific Manor (pa602)'!K61+Parkhaven!K116+Ridgecrest!K66+Riverest!K60+'Riverview MHRV LLC'!K63+Rosehaven!K128+'Sanctuary RV Resort'!K240+'Shadow Mountain MHC'!K47+Springhaven!K47+'Star Valley Ranch'!K58+Sunhaven!K54+'Sunny Grove'!K53+Tarponaire!K57+'Val Vista RV Resort'!K86+'Webster RV Resort LLC'!K73+'Wekiva Falls RV Resort'!K97+'West Jupiter RV Resort'!K54+'Western Way RV Resort LLC'!K146</f>
      </c>
      <c r="L26" s="24">
        <f>'Agave Village (ag011)'!L79+'Agave Village LLC'!L68+'Brookhaven Estates (bo260)'!L61+'Brookhaven RV Resort'!L57+'Courtly Manor'!L50+'Courtly Manor Park (co669)'!L51+'Cross Creek RV'!L146+'Cross Creek RV Resort (cr994)'!L152+'El Rio De Oro (el289)'!L48+'El Rio del Oro'!L51+'Endless Summer RV Resort'!L69+'Endless Summer RV Resort (en079'!L61+Evergreen!L48+'Far Horizons'!L48+'Far Horizons (fa105)'!L48+'Floridian Sandalwood (fl356)'!L45+'Floridian Sandalwood MHC'!L49+Glenhaven!L53+'Glenhaven Estates (gl317)'!L53+'Harbor Lights (ha310)'!L54+'Harbor Lights MHC'!L52+'Harvest Gate'!L62+'Hunter Run RV Estates'!L103+'Hunters Run RV Estates (hu116)'!L216+'Jade Isle (ja068)'!L45+'Jade Isle MHC'!L47+'Kakusha Estates (ka045)'!L51+'Kakusha MHC'!L50+'Lakeside Village'!L56+'Lakeside Village (la482)'!L58+'Lakewood Village (la481)'!L117+'Lakewood Village MHC LLC'!L137+'Maple Corner'!L70+'Maple Corner (ma490)'!L60+'Marlboro Court (ma489)'!L48+'Marlboro Court MHC LLC'!L48+'May Manor'!L152+'May Manor (ma488)'!L84+'Mobiland by the Sea (mo320)'!L53+'Mobiland By The Sea MHC'!L54+'Moss Landing'!L81+'Moss Landing (mo321)'!L73+'Oak Springs'!L85+'Oak Springs MHC (oa150)'!L61+'Orange Manor East'!L50+'Orange Manor East (or125)'!L53+'Pacific Manor'!L59+'Pacific Manor (pa602)'!L61+Parkhaven!L116+Ridgecrest!L66+Riverest!L60+'Riverview MHRV LLC'!L63+Rosehaven!L128+'Sanctuary RV Resort'!L240+'Shadow Mountain MHC'!L47+Springhaven!L47+'Star Valley Ranch'!L58+Sunhaven!L54+'Sunny Grove'!L53+Tarponaire!L57+'Val Vista RV Resort'!L86+'Webster RV Resort LLC'!L73+'Wekiva Falls RV Resort'!L97+'West Jupiter RV Resort'!L54+'Western Way RV Resort LLC'!L146</f>
      </c>
      <c r="M26" s="24">
        <f>'Agave Village (ag011)'!M79+'Agave Village LLC'!M68+'Brookhaven Estates (bo260)'!M61+'Brookhaven RV Resort'!M57+'Courtly Manor'!M50+'Courtly Manor Park (co669)'!M51+'Cross Creek RV'!M146+'Cross Creek RV Resort (cr994)'!M152+'El Rio De Oro (el289)'!M48+'El Rio del Oro'!M51+'Endless Summer RV Resort'!M69+'Endless Summer RV Resort (en079'!M61+Evergreen!M48+'Far Horizons'!M48+'Far Horizons (fa105)'!M48+'Floridian Sandalwood (fl356)'!M45+'Floridian Sandalwood MHC'!M49+Glenhaven!M53+'Glenhaven Estates (gl317)'!M53+'Harbor Lights (ha310)'!M54+'Harbor Lights MHC'!M52+'Harvest Gate'!M62+'Hunter Run RV Estates'!M103+'Hunters Run RV Estates (hu116)'!M216+'Jade Isle (ja068)'!M45+'Jade Isle MHC'!M47+'Kakusha Estates (ka045)'!M51+'Kakusha MHC'!M50+'Lakeside Village'!M56+'Lakeside Village (la482)'!M58+'Lakewood Village (la481)'!M117+'Lakewood Village MHC LLC'!M137+'Maple Corner'!M70+'Maple Corner (ma490)'!M60+'Marlboro Court (ma489)'!M48+'Marlboro Court MHC LLC'!M48+'May Manor'!M152+'May Manor (ma488)'!M84+'Mobiland by the Sea (mo320)'!M53+'Mobiland By The Sea MHC'!M54+'Moss Landing'!M81+'Moss Landing (mo321)'!M73+'Oak Springs'!M85+'Oak Springs MHC (oa150)'!M61+'Orange Manor East'!M50+'Orange Manor East (or125)'!M53+'Pacific Manor'!M59+'Pacific Manor (pa602)'!M61+Parkhaven!M116+Ridgecrest!M66+Riverest!M60+'Riverview MHRV LLC'!M63+Rosehaven!M128+'Sanctuary RV Resort'!M240+'Shadow Mountain MHC'!M47+Springhaven!M47+'Star Valley Ranch'!M58+Sunhaven!M54+'Sunny Grove'!M53+Tarponaire!M57+'Val Vista RV Resort'!M86+'Webster RV Resort LLC'!M73+'Wekiva Falls RV Resort'!M97+'West Jupiter RV Resort'!M54+'Western Way RV Resort LLC'!M146</f>
      </c>
      <c r="N26" s="24">
        <f>'Agave Village (ag011)'!N79+'Agave Village LLC'!N68+'Brookhaven Estates (bo260)'!N61+'Brookhaven RV Resort'!N57+'Courtly Manor'!N50+'Courtly Manor Park (co669)'!N51+'Cross Creek RV'!N146+'Cross Creek RV Resort (cr994)'!N152+'El Rio De Oro (el289)'!N48+'El Rio del Oro'!N51+'Endless Summer RV Resort'!N69+'Endless Summer RV Resort (en079'!N61+Evergreen!N48+'Far Horizons'!N48+'Far Horizons (fa105)'!N48+'Floridian Sandalwood (fl356)'!N45+'Floridian Sandalwood MHC'!N49+Glenhaven!N53+'Glenhaven Estates (gl317)'!N53+'Harbor Lights (ha310)'!N54+'Harbor Lights MHC'!N52+'Harvest Gate'!N62+'Hunter Run RV Estates'!N103+'Hunters Run RV Estates (hu116)'!N216+'Jade Isle (ja068)'!N45+'Jade Isle MHC'!N47+'Kakusha Estates (ka045)'!N51+'Kakusha MHC'!N50+'Lakeside Village'!N56+'Lakeside Village (la482)'!N58+'Lakewood Village (la481)'!N117+'Lakewood Village MHC LLC'!N137+'Maple Corner'!N70+'Maple Corner (ma490)'!N60+'Marlboro Court (ma489)'!N48+'Marlboro Court MHC LLC'!N48+'May Manor'!N152+'May Manor (ma488)'!N84+'Mobiland by the Sea (mo320)'!N53+'Mobiland By The Sea MHC'!N54+'Moss Landing'!N81+'Moss Landing (mo321)'!N73+'Oak Springs'!N85+'Oak Springs MHC (oa150)'!N61+'Orange Manor East'!N50+'Orange Manor East (or125)'!N53+'Pacific Manor'!N59+'Pacific Manor (pa602)'!N61+Parkhaven!N116+Ridgecrest!N66+Riverest!N60+'Riverview MHRV LLC'!N63+Rosehaven!N128+'Sanctuary RV Resort'!N240+'Shadow Mountain MHC'!N47+Springhaven!N47+'Star Valley Ranch'!N58+Sunhaven!N54+'Sunny Grove'!N53+Tarponaire!N57+'Val Vista RV Resort'!N86+'Webster RV Resort LLC'!N73+'Wekiva Falls RV Resort'!N97+'West Jupiter RV Resort'!N54+'Western Way RV Resort LLC'!N146</f>
      </c>
      <c r="O26" s="24">
        <f>'Agave Village (ag011)'!O79+'Agave Village LLC'!O68+'Brookhaven Estates (bo260)'!O61+'Brookhaven RV Resort'!O57+'Courtly Manor'!O50+'Courtly Manor Park (co669)'!O51+'Cross Creek RV'!O146+'Cross Creek RV Resort (cr994)'!O152+'El Rio De Oro (el289)'!O48+'El Rio del Oro'!O51+'Endless Summer RV Resort'!O69+'Endless Summer RV Resort (en079'!O61+Evergreen!O48+'Far Horizons'!O48+'Far Horizons (fa105)'!O48+'Floridian Sandalwood (fl356)'!O45+'Floridian Sandalwood MHC'!O49+Glenhaven!O53+'Glenhaven Estates (gl317)'!O53+'Harbor Lights (ha310)'!O54+'Harbor Lights MHC'!O52+'Harvest Gate'!O62+'Hunter Run RV Estates'!O103+'Hunters Run RV Estates (hu116)'!O216+'Jade Isle (ja068)'!O45+'Jade Isle MHC'!O47+'Kakusha Estates (ka045)'!O51+'Kakusha MHC'!O50+'Lakeside Village'!O56+'Lakeside Village (la482)'!O58+'Lakewood Village (la481)'!O117+'Lakewood Village MHC LLC'!O137+'Maple Corner'!O70+'Maple Corner (ma490)'!O60+'Marlboro Court (ma489)'!O48+'Marlboro Court MHC LLC'!O48+'May Manor'!O152+'May Manor (ma488)'!O84+'Mobiland by the Sea (mo320)'!O53+'Mobiland By The Sea MHC'!O54+'Moss Landing'!O81+'Moss Landing (mo321)'!O73+'Oak Springs'!O85+'Oak Springs MHC (oa150)'!O61+'Orange Manor East'!O50+'Orange Manor East (or125)'!O53+'Pacific Manor'!O59+'Pacific Manor (pa602)'!O61+Parkhaven!O116+Ridgecrest!O66+Riverest!O60+'Riverview MHRV LLC'!O63+Rosehaven!O128+'Sanctuary RV Resort'!O240+'Shadow Mountain MHC'!O47+Springhaven!O47+'Star Valley Ranch'!O58+Sunhaven!O54+'Sunny Grove'!O53+Tarponaire!O57+'Val Vista RV Resort'!O86+'Webster RV Resort LLC'!O73+'Wekiva Falls RV Resort'!O97+'West Jupiter RV Resort'!O54+'Western Way RV Resort LLC'!O146</f>
      </c>
      <c r="P26" s="24">
        <f>'Agave Village (ag011)'!P79+'Agave Village LLC'!P68+'Brookhaven Estates (bo260)'!P61+'Brookhaven RV Resort'!P57+'Courtly Manor'!P50+'Courtly Manor Park (co669)'!P51+'Cross Creek RV'!P146+'Cross Creek RV Resort (cr994)'!P152+'El Rio De Oro (el289)'!P48+'El Rio del Oro'!P51+'Endless Summer RV Resort'!P69+'Endless Summer RV Resort (en079'!P61+Evergreen!P48+'Far Horizons'!P48+'Far Horizons (fa105)'!P48+'Floridian Sandalwood (fl356)'!P45+'Floridian Sandalwood MHC'!P49+Glenhaven!P53+'Glenhaven Estates (gl317)'!P53+'Harbor Lights (ha310)'!P54+'Harbor Lights MHC'!P52+'Harvest Gate'!P62+'Hunter Run RV Estates'!P103+'Hunters Run RV Estates (hu116)'!P216+'Jade Isle (ja068)'!P45+'Jade Isle MHC'!P47+'Kakusha Estates (ka045)'!P51+'Kakusha MHC'!P50+'Lakeside Village'!P56+'Lakeside Village (la482)'!P58+'Lakewood Village (la481)'!P117+'Lakewood Village MHC LLC'!P137+'Maple Corner'!P70+'Maple Corner (ma490)'!P60+'Marlboro Court (ma489)'!P48+'Marlboro Court MHC LLC'!P48+'May Manor'!P152+'May Manor (ma488)'!P84+'Mobiland by the Sea (mo320)'!P53+'Mobiland By The Sea MHC'!P54+'Moss Landing'!P81+'Moss Landing (mo321)'!P73+'Oak Springs'!P85+'Oak Springs MHC (oa150)'!P61+'Orange Manor East'!P50+'Orange Manor East (or125)'!P53+'Pacific Manor'!P59+'Pacific Manor (pa602)'!P61+Parkhaven!P116+Ridgecrest!P66+Riverest!P60+'Riverview MHRV LLC'!P63+Rosehaven!P128+'Sanctuary RV Resort'!P240+'Shadow Mountain MHC'!P47+Springhaven!P47+'Star Valley Ranch'!P58+Sunhaven!P54+'Sunny Grove'!P53+Tarponaire!P57+'Val Vista RV Resort'!P86+'Webster RV Resort LLC'!P73+'Wekiva Falls RV Resort'!P97+'West Jupiter RV Resort'!P54+'Western Way RV Resort LLC'!P146</f>
      </c>
      <c r="Q26" s="24">
        <f>'Agave Village (ag011)'!Q79+'Agave Village LLC'!Q68+'Brookhaven Estates (bo260)'!Q61+'Brookhaven RV Resort'!Q57+'Courtly Manor'!Q50+'Courtly Manor Park (co669)'!Q51+'Cross Creek RV'!Q146+'Cross Creek RV Resort (cr994)'!Q152+'El Rio De Oro (el289)'!Q48+'El Rio del Oro'!Q51+'Endless Summer RV Resort'!Q69+'Endless Summer RV Resort (en079'!Q61+Evergreen!Q48+'Far Horizons'!Q48+'Far Horizons (fa105)'!Q48+'Floridian Sandalwood (fl356)'!Q45+'Floridian Sandalwood MHC'!Q49+Glenhaven!Q53+'Glenhaven Estates (gl317)'!Q53+'Harbor Lights (ha310)'!Q54+'Harbor Lights MHC'!Q52+'Harvest Gate'!Q62+'Hunter Run RV Estates'!Q103+'Hunters Run RV Estates (hu116)'!Q216+'Jade Isle (ja068)'!Q45+'Jade Isle MHC'!Q47+'Kakusha Estates (ka045)'!Q51+'Kakusha MHC'!Q50+'Lakeside Village'!Q56+'Lakeside Village (la482)'!Q58+'Lakewood Village (la481)'!Q117+'Lakewood Village MHC LLC'!Q137+'Maple Corner'!Q70+'Maple Corner (ma490)'!Q60+'Marlboro Court (ma489)'!Q48+'Marlboro Court MHC LLC'!Q48+'May Manor'!Q152+'May Manor (ma488)'!Q84+'Mobiland by the Sea (mo320)'!Q53+'Mobiland By The Sea MHC'!Q54+'Moss Landing'!Q81+'Moss Landing (mo321)'!Q73+'Oak Springs'!Q85+'Oak Springs MHC (oa150)'!Q61+'Orange Manor East'!Q50+'Orange Manor East (or125)'!Q53+'Pacific Manor'!Q59+'Pacific Manor (pa602)'!Q61+Parkhaven!Q116+Ridgecrest!Q66+Riverest!Q60+'Riverview MHRV LLC'!Q63+Rosehaven!Q128+'Sanctuary RV Resort'!Q240+'Shadow Mountain MHC'!Q47+Springhaven!Q47+'Star Valley Ranch'!Q58+Sunhaven!Q54+'Sunny Grove'!Q53+Tarponaire!Q57+'Val Vista RV Resort'!Q86+'Webster RV Resort LLC'!Q73+'Wekiva Falls RV Resort'!Q97+'West Jupiter RV Resort'!Q54+'Western Way RV Resort LLC'!Q146</f>
      </c>
      <c r="R26" s="24">
        <f>'Agave Village (ag011)'!R79+'Agave Village LLC'!R68+'Brookhaven Estates (bo260)'!R61+'Brookhaven RV Resort'!R57+'Courtly Manor'!R50+'Courtly Manor Park (co669)'!R51+'Cross Creek RV'!R146+'Cross Creek RV Resort (cr994)'!R152+'El Rio De Oro (el289)'!R48+'El Rio del Oro'!R51+'Endless Summer RV Resort'!R69+'Endless Summer RV Resort (en079'!R61+Evergreen!R48+'Far Horizons'!R48+'Far Horizons (fa105)'!R48+'Floridian Sandalwood (fl356)'!R45+'Floridian Sandalwood MHC'!R49+Glenhaven!R53+'Glenhaven Estates (gl317)'!R53+'Harbor Lights (ha310)'!R54+'Harbor Lights MHC'!R52+'Harvest Gate'!R62+'Hunter Run RV Estates'!R103+'Hunters Run RV Estates (hu116)'!R216+'Jade Isle (ja068)'!R45+'Jade Isle MHC'!R47+'Kakusha Estates (ka045)'!R51+'Kakusha MHC'!R50+'Lakeside Village'!R56+'Lakeside Village (la482)'!R58+'Lakewood Village (la481)'!R117+'Lakewood Village MHC LLC'!R137+'Maple Corner'!R70+'Maple Corner (ma490)'!R60+'Marlboro Court (ma489)'!R48+'Marlboro Court MHC LLC'!R48+'May Manor'!R152+'May Manor (ma488)'!R84+'Mobiland by the Sea (mo320)'!R53+'Mobiland By The Sea MHC'!R54+'Moss Landing'!R81+'Moss Landing (mo321)'!R73+'Oak Springs'!R85+'Oak Springs MHC (oa150)'!R61+'Orange Manor East'!R50+'Orange Manor East (or125)'!R53+'Pacific Manor'!R59+'Pacific Manor (pa602)'!R61+Parkhaven!R116+Ridgecrest!R66+Riverest!R60+'Riverview MHRV LLC'!R63+Rosehaven!R128+'Sanctuary RV Resort'!R240+'Shadow Mountain MHC'!R47+Springhaven!R47+'Star Valley Ranch'!R58+Sunhaven!R54+'Sunny Grove'!R53+Tarponaire!R57+'Val Vista RV Resort'!R86+'Webster RV Resort LLC'!R73+'Wekiva Falls RV Resort'!R97+'West Jupiter RV Resort'!R54+'Western Way RV Resort LLC'!R146</f>
      </c>
      <c r="S26" s="24">
        <f>'Agave Village (ag011)'!S79+'Agave Village LLC'!S68+'Brookhaven Estates (bo260)'!S61+'Brookhaven RV Resort'!S57+'Courtly Manor'!S50+'Courtly Manor Park (co669)'!S51+'Cross Creek RV'!S146+'Cross Creek RV Resort (cr994)'!S152+'El Rio De Oro (el289)'!S48+'El Rio del Oro'!S51+'Endless Summer RV Resort'!S69+'Endless Summer RV Resort (en079'!S61+Evergreen!S48+'Far Horizons'!S48+'Far Horizons (fa105)'!S48+'Floridian Sandalwood (fl356)'!S45+'Floridian Sandalwood MHC'!S49+Glenhaven!S53+'Glenhaven Estates (gl317)'!S53+'Harbor Lights (ha310)'!S54+'Harbor Lights MHC'!S52+'Harvest Gate'!S62+'Hunter Run RV Estates'!S103+'Hunters Run RV Estates (hu116)'!S216+'Jade Isle (ja068)'!S45+'Jade Isle MHC'!S47+'Kakusha Estates (ka045)'!S51+'Kakusha MHC'!S50+'Lakeside Village'!S56+'Lakeside Village (la482)'!S58+'Lakewood Village (la481)'!S117+'Lakewood Village MHC LLC'!S137+'Maple Corner'!S70+'Maple Corner (ma490)'!S60+'Marlboro Court (ma489)'!S48+'Marlboro Court MHC LLC'!S48+'May Manor'!S152+'May Manor (ma488)'!S84+'Mobiland by the Sea (mo320)'!S53+'Mobiland By The Sea MHC'!S54+'Moss Landing'!S81+'Moss Landing (mo321)'!S73+'Oak Springs'!S85+'Oak Springs MHC (oa150)'!S61+'Orange Manor East'!S50+'Orange Manor East (or125)'!S53+'Pacific Manor'!S59+'Pacific Manor (pa602)'!S61+Parkhaven!S116+Ridgecrest!S66+Riverest!S60+'Riverview MHRV LLC'!S63+Rosehaven!S128+'Sanctuary RV Resort'!S240+'Shadow Mountain MHC'!S47+Springhaven!S47+'Star Valley Ranch'!S58+Sunhaven!S54+'Sunny Grove'!S53+Tarponaire!S57+'Val Vista RV Resort'!S86+'Webster RV Resort LLC'!S73+'Wekiva Falls RV Resort'!S97+'West Jupiter RV Resort'!S54+'Western Way RV Resort LLC'!S146</f>
      </c>
      <c r="T26" s="24">
        <f>'Agave Village (ag011)'!T79+'Agave Village LLC'!T68+'Brookhaven Estates (bo260)'!T61+'Brookhaven RV Resort'!T57+'Courtly Manor'!T50+'Courtly Manor Park (co669)'!T51+'Cross Creek RV'!T146+'Cross Creek RV Resort (cr994)'!T152+'El Rio De Oro (el289)'!T48+'El Rio del Oro'!T51+'Endless Summer RV Resort'!T69+'Endless Summer RV Resort (en079'!T61+Evergreen!T48+'Far Horizons'!T48+'Far Horizons (fa105)'!T48+'Floridian Sandalwood (fl356)'!T45+'Floridian Sandalwood MHC'!T49+Glenhaven!T53+'Glenhaven Estates (gl317)'!T53+'Harbor Lights (ha310)'!T54+'Harbor Lights MHC'!T52+'Harvest Gate'!T62+'Hunter Run RV Estates'!T103+'Hunters Run RV Estates (hu116)'!T216+'Jade Isle (ja068)'!T45+'Jade Isle MHC'!T47+'Kakusha Estates (ka045)'!T51+'Kakusha MHC'!T50+'Lakeside Village'!T56+'Lakeside Village (la482)'!T58+'Lakewood Village (la481)'!T117+'Lakewood Village MHC LLC'!T137+'Maple Corner'!T70+'Maple Corner (ma490)'!T60+'Marlboro Court (ma489)'!T48+'Marlboro Court MHC LLC'!T48+'May Manor'!T152+'May Manor (ma488)'!T84+'Mobiland by the Sea (mo320)'!T53+'Mobiland By The Sea MHC'!T54+'Moss Landing'!T81+'Moss Landing (mo321)'!T73+'Oak Springs'!T85+'Oak Springs MHC (oa150)'!T61+'Orange Manor East'!T50+'Orange Manor East (or125)'!T53+'Pacific Manor'!T59+'Pacific Manor (pa602)'!T61+Parkhaven!T116+Ridgecrest!T66+Riverest!T60+'Riverview MHRV LLC'!T63+Rosehaven!T128+'Sanctuary RV Resort'!T240+'Shadow Mountain MHC'!T47+Springhaven!T47+'Star Valley Ranch'!T58+Sunhaven!T54+'Sunny Grove'!T53+Tarponaire!T57+'Val Vista RV Resort'!T86+'Webster RV Resort LLC'!T73+'Wekiva Falls RV Resort'!T97+'West Jupiter RV Resort'!T54+'Western Way RV Resort LLC'!T146</f>
      </c>
      <c r="U26" s="24">
        <f>'Agave Village (ag011)'!U79+'Agave Village LLC'!U68+'Brookhaven Estates (bo260)'!U61+'Brookhaven RV Resort'!U57+'Courtly Manor'!U50+'Courtly Manor Park (co669)'!U51+'Cross Creek RV'!U146+'Cross Creek RV Resort (cr994)'!U152+'El Rio De Oro (el289)'!U48+'El Rio del Oro'!U51+'Endless Summer RV Resort'!U69+'Endless Summer RV Resort (en079'!U61+Evergreen!U48+'Far Horizons'!U48+'Far Horizons (fa105)'!U48+'Floridian Sandalwood (fl356)'!U45+'Floridian Sandalwood MHC'!U49+Glenhaven!U53+'Glenhaven Estates (gl317)'!U53+'Harbor Lights (ha310)'!U54+'Harbor Lights MHC'!U52+'Harvest Gate'!U62+'Hunter Run RV Estates'!U103+'Hunters Run RV Estates (hu116)'!U216+'Jade Isle (ja068)'!U45+'Jade Isle MHC'!U47+'Kakusha Estates (ka045)'!U51+'Kakusha MHC'!U50+'Lakeside Village'!U56+'Lakeside Village (la482)'!U58+'Lakewood Village (la481)'!U117+'Lakewood Village MHC LLC'!U137+'Maple Corner'!U70+'Maple Corner (ma490)'!U60+'Marlboro Court (ma489)'!U48+'Marlboro Court MHC LLC'!U48+'May Manor'!U152+'May Manor (ma488)'!U84+'Mobiland by the Sea (mo320)'!U53+'Mobiland By The Sea MHC'!U54+'Moss Landing'!U81+'Moss Landing (mo321)'!U73+'Oak Springs'!U85+'Oak Springs MHC (oa150)'!U61+'Orange Manor East'!U50+'Orange Manor East (or125)'!U53+'Pacific Manor'!U59+'Pacific Manor (pa602)'!U61+Parkhaven!U116+Ridgecrest!U66+Riverest!U60+'Riverview MHRV LLC'!U63+Rosehaven!U128+'Sanctuary RV Resort'!U240+'Shadow Mountain MHC'!U47+Springhaven!U47+'Star Valley Ranch'!U58+Sunhaven!U54+'Sunny Grove'!U53+Tarponaire!U57+'Val Vista RV Resort'!U86+'Webster RV Resort LLC'!U73+'Wekiva Falls RV Resort'!U97+'West Jupiter RV Resort'!U54+'Western Way RV Resort LLC'!U146</f>
      </c>
      <c r="V26" s="24">
        <f>'Agave Village (ag011)'!V79+'Agave Village LLC'!V68+'Brookhaven Estates (bo260)'!V61+'Brookhaven RV Resort'!V57+'Courtly Manor'!V50+'Courtly Manor Park (co669)'!V51+'Cross Creek RV'!V146+'Cross Creek RV Resort (cr994)'!V152+'El Rio De Oro (el289)'!V48+'El Rio del Oro'!V51+'Endless Summer RV Resort'!V69+'Endless Summer RV Resort (en079'!V61+Evergreen!V48+'Far Horizons'!V48+'Far Horizons (fa105)'!V48+'Floridian Sandalwood (fl356)'!V45+'Floridian Sandalwood MHC'!V49+Glenhaven!V53+'Glenhaven Estates (gl317)'!V53+'Harbor Lights (ha310)'!V54+'Harbor Lights MHC'!V52+'Harvest Gate'!V62+'Hunter Run RV Estates'!V103+'Hunters Run RV Estates (hu116)'!V216+'Jade Isle (ja068)'!V45+'Jade Isle MHC'!V47+'Kakusha Estates (ka045)'!V51+'Kakusha MHC'!V50+'Lakeside Village'!V56+'Lakeside Village (la482)'!V58+'Lakewood Village (la481)'!V117+'Lakewood Village MHC LLC'!V137+'Maple Corner'!V70+'Maple Corner (ma490)'!V60+'Marlboro Court (ma489)'!V48+'Marlboro Court MHC LLC'!V48+'May Manor'!V152+'May Manor (ma488)'!V84+'Mobiland by the Sea (mo320)'!V53+'Mobiland By The Sea MHC'!V54+'Moss Landing'!V81+'Moss Landing (mo321)'!V73+'Oak Springs'!V85+'Oak Springs MHC (oa150)'!V61+'Orange Manor East'!V50+'Orange Manor East (or125)'!V53+'Pacific Manor'!V59+'Pacific Manor (pa602)'!V61+Parkhaven!V116+Ridgecrest!V66+Riverest!V60+'Riverview MHRV LLC'!V63+Rosehaven!V128+'Sanctuary RV Resort'!V240+'Shadow Mountain MHC'!V47+Springhaven!V47+'Star Valley Ranch'!V58+Sunhaven!V54+'Sunny Grove'!V53+Tarponaire!V57+'Val Vista RV Resort'!V86+'Webster RV Resort LLC'!V73+'Wekiva Falls RV Resort'!V97+'West Jupiter RV Resort'!V54+'Western Way RV Resort LLC'!V146</f>
      </c>
      <c r="W26" s="24">
        <f>'Agave Village (ag011)'!W79+'Agave Village LLC'!W68+'Brookhaven Estates (bo260)'!W61+'Brookhaven RV Resort'!W57+'Courtly Manor'!W50+'Courtly Manor Park (co669)'!W51+'Cross Creek RV'!W146+'Cross Creek RV Resort (cr994)'!W152+'El Rio De Oro (el289)'!W48+'El Rio del Oro'!W51+'Endless Summer RV Resort'!W69+'Endless Summer RV Resort (en079'!W61+Evergreen!W48+'Far Horizons'!W48+'Far Horizons (fa105)'!W48+'Floridian Sandalwood (fl356)'!W45+'Floridian Sandalwood MHC'!W49+Glenhaven!W53+'Glenhaven Estates (gl317)'!W53+'Harbor Lights (ha310)'!W54+'Harbor Lights MHC'!W52+'Harvest Gate'!W62+'Hunter Run RV Estates'!W103+'Hunters Run RV Estates (hu116)'!W216+'Jade Isle (ja068)'!W45+'Jade Isle MHC'!W47+'Kakusha Estates (ka045)'!W51+'Kakusha MHC'!W50+'Lakeside Village'!W56+'Lakeside Village (la482)'!W58+'Lakewood Village (la481)'!W117+'Lakewood Village MHC LLC'!W137+'Maple Corner'!W70+'Maple Corner (ma490)'!W60+'Marlboro Court (ma489)'!W48+'Marlboro Court MHC LLC'!W48+'May Manor'!W152+'May Manor (ma488)'!W84+'Mobiland by the Sea (mo320)'!W53+'Mobiland By The Sea MHC'!W54+'Moss Landing'!W81+'Moss Landing (mo321)'!W73+'Oak Springs'!W85+'Oak Springs MHC (oa150)'!W61+'Orange Manor East'!W50+'Orange Manor East (or125)'!W53+'Pacific Manor'!W59+'Pacific Manor (pa602)'!W61+Parkhaven!W116+Ridgecrest!W66+Riverest!W60+'Riverview MHRV LLC'!W63+Rosehaven!W128+'Sanctuary RV Resort'!W240+'Shadow Mountain MHC'!W47+Springhaven!W47+'Star Valley Ranch'!W58+Sunhaven!W54+'Sunny Grove'!W53+Tarponaire!W57+'Val Vista RV Resort'!W86+'Webster RV Resort LLC'!W73+'Wekiva Falls RV Resort'!W97+'West Jupiter RV Resort'!W54+'Western Way RV Resort LLC'!W146</f>
      </c>
      <c r="X26" s="24">
        <f>'Agave Village (ag011)'!X79+'Agave Village LLC'!X68+'Brookhaven Estates (bo260)'!X61+'Brookhaven RV Resort'!X57+'Courtly Manor'!X50+'Courtly Manor Park (co669)'!X51+'Cross Creek RV'!X146+'Cross Creek RV Resort (cr994)'!X152+'El Rio De Oro (el289)'!X48+'El Rio del Oro'!X51+'Endless Summer RV Resort'!X69+'Endless Summer RV Resort (en079'!X61+Evergreen!X48+'Far Horizons'!X48+'Far Horizons (fa105)'!X48+'Floridian Sandalwood (fl356)'!X45+'Floridian Sandalwood MHC'!X49+Glenhaven!X53+'Glenhaven Estates (gl317)'!X53+'Harbor Lights (ha310)'!X54+'Harbor Lights MHC'!X52+'Harvest Gate'!X62+'Hunter Run RV Estates'!X103+'Hunters Run RV Estates (hu116)'!X216+'Jade Isle (ja068)'!X45+'Jade Isle MHC'!X47+'Kakusha Estates (ka045)'!X51+'Kakusha MHC'!X50+'Lakeside Village'!X56+'Lakeside Village (la482)'!X58+'Lakewood Village (la481)'!X117+'Lakewood Village MHC LLC'!X137+'Maple Corner'!X70+'Maple Corner (ma490)'!X60+'Marlboro Court (ma489)'!X48+'Marlboro Court MHC LLC'!X48+'May Manor'!X152+'May Manor (ma488)'!X84+'Mobiland by the Sea (mo320)'!X53+'Mobiland By The Sea MHC'!X54+'Moss Landing'!X81+'Moss Landing (mo321)'!X73+'Oak Springs'!X85+'Oak Springs MHC (oa150)'!X61+'Orange Manor East'!X50+'Orange Manor East (or125)'!X53+'Pacific Manor'!X59+'Pacific Manor (pa602)'!X61+Parkhaven!X116+Ridgecrest!X66+Riverest!X60+'Riverview MHRV LLC'!X63+Rosehaven!X128+'Sanctuary RV Resort'!X240+'Shadow Mountain MHC'!X47+Springhaven!X47+'Star Valley Ranch'!X58+Sunhaven!X54+'Sunny Grove'!X53+Tarponaire!X57+'Val Vista RV Resort'!X86+'Webster RV Resort LLC'!X73+'Wekiva Falls RV Resort'!X97+'West Jupiter RV Resort'!X54+'Western Way RV Resort LLC'!X146</f>
      </c>
      <c r="Y26" s="24">
        <f>'Agave Village (ag011)'!Y79+'Agave Village LLC'!Y68+'Brookhaven Estates (bo260)'!Y61+'Brookhaven RV Resort'!Y57+'Courtly Manor'!Y50+'Courtly Manor Park (co669)'!Y51+'Cross Creek RV'!Y146+'Cross Creek RV Resort (cr994)'!Y152+'El Rio De Oro (el289)'!Y48+'El Rio del Oro'!Y51+'Endless Summer RV Resort'!Y69+'Endless Summer RV Resort (en079'!Y61+Evergreen!Y48+'Far Horizons'!Y48+'Far Horizons (fa105)'!Y48+'Floridian Sandalwood (fl356)'!Y45+'Floridian Sandalwood MHC'!Y49+Glenhaven!Y53+'Glenhaven Estates (gl317)'!Y53+'Harbor Lights (ha310)'!Y54+'Harbor Lights MHC'!Y52+'Harvest Gate'!Y62+'Hunter Run RV Estates'!Y103+'Hunters Run RV Estates (hu116)'!Y216+'Jade Isle (ja068)'!Y45+'Jade Isle MHC'!Y47+'Kakusha Estates (ka045)'!Y51+'Kakusha MHC'!Y50+'Lakeside Village'!Y56+'Lakeside Village (la482)'!Y58+'Lakewood Village (la481)'!Y117+'Lakewood Village MHC LLC'!Y137+'Maple Corner'!Y70+'Maple Corner (ma490)'!Y60+'Marlboro Court (ma489)'!Y48+'Marlboro Court MHC LLC'!Y48+'May Manor'!Y152+'May Manor (ma488)'!Y84+'Mobiland by the Sea (mo320)'!Y53+'Mobiland By The Sea MHC'!Y54+'Moss Landing'!Y81+'Moss Landing (mo321)'!Y73+'Oak Springs'!Y85+'Oak Springs MHC (oa150)'!Y61+'Orange Manor East'!Y50+'Orange Manor East (or125)'!Y53+'Pacific Manor'!Y59+'Pacific Manor (pa602)'!Y61+Parkhaven!Y116+Ridgecrest!Y66+Riverest!Y60+'Riverview MHRV LLC'!Y63+Rosehaven!Y128+'Sanctuary RV Resort'!Y240+'Shadow Mountain MHC'!Y47+Springhaven!Y47+'Star Valley Ranch'!Y58+Sunhaven!Y54+'Sunny Grove'!Y53+Tarponaire!Y57+'Val Vista RV Resort'!Y86+'Webster RV Resort LLC'!Y73+'Wekiva Falls RV Resort'!Y97+'West Jupiter RV Resort'!Y54+'Western Way RV Resort LLC'!Y146</f>
      </c>
      <c r="Z26" s="24">
        <f>'Agave Village (ag011)'!Z79+'Agave Village LLC'!Z68+'Brookhaven Estates (bo260)'!Z61+'Brookhaven RV Resort'!Z57+'Courtly Manor'!Z50+'Courtly Manor Park (co669)'!Z51+'Cross Creek RV'!Z146+'Cross Creek RV Resort (cr994)'!Z152+'El Rio De Oro (el289)'!Z48+'El Rio del Oro'!Z51+'Endless Summer RV Resort'!Z69+'Endless Summer RV Resort (en079'!Z61+Evergreen!Z48+'Far Horizons'!Z48+'Far Horizons (fa105)'!Z48+'Floridian Sandalwood (fl356)'!Z45+'Floridian Sandalwood MHC'!Z49+Glenhaven!Z53+'Glenhaven Estates (gl317)'!Z53+'Harbor Lights (ha310)'!Z54+'Harbor Lights MHC'!Z52+'Harvest Gate'!Z62+'Hunter Run RV Estates'!Z103+'Hunters Run RV Estates (hu116)'!Z216+'Jade Isle (ja068)'!Z45+'Jade Isle MHC'!Z47+'Kakusha Estates (ka045)'!Z51+'Kakusha MHC'!Z50+'Lakeside Village'!Z56+'Lakeside Village (la482)'!Z58+'Lakewood Village (la481)'!Z117+'Lakewood Village MHC LLC'!Z137+'Maple Corner'!Z70+'Maple Corner (ma490)'!Z60+'Marlboro Court (ma489)'!Z48+'Marlboro Court MHC LLC'!Z48+'May Manor'!Z152+'May Manor (ma488)'!Z84+'Mobiland by the Sea (mo320)'!Z53+'Mobiland By The Sea MHC'!Z54+'Moss Landing'!Z81+'Moss Landing (mo321)'!Z73+'Oak Springs'!Z85+'Oak Springs MHC (oa150)'!Z61+'Orange Manor East'!Z50+'Orange Manor East (or125)'!Z53+'Pacific Manor'!Z59+'Pacific Manor (pa602)'!Z61+Parkhaven!Z116+Ridgecrest!Z66+Riverest!Z60+'Riverview MHRV LLC'!Z63+Rosehaven!Z128+'Sanctuary RV Resort'!Z240+'Shadow Mountain MHC'!Z47+Springhaven!Z47+'Star Valley Ranch'!Z58+Sunhaven!Z54+'Sunny Grove'!Z53+Tarponaire!Z57+'Val Vista RV Resort'!Z86+'Webster RV Resort LLC'!Z73+'Wekiva Falls RV Resort'!Z97+'West Jupiter RV Resort'!Z54+'Western Way RV Resort LLC'!Z146</f>
      </c>
      <c r="AA26" s="24">
        <f>'Agave Village (ag011)'!AA79+'Agave Village LLC'!AA68+'Brookhaven Estates (bo260)'!AA61+'Brookhaven RV Resort'!AA57+'Courtly Manor'!AA50+'Courtly Manor Park (co669)'!AA51+'Cross Creek RV'!AA146+'Cross Creek RV Resort (cr994)'!AA152+'El Rio De Oro (el289)'!AA48+'El Rio del Oro'!AA51+'Endless Summer RV Resort'!AA69+'Endless Summer RV Resort (en079'!AA61+Evergreen!AA48+'Far Horizons'!AA48+'Far Horizons (fa105)'!AA48+'Floridian Sandalwood (fl356)'!AA45+'Floridian Sandalwood MHC'!AA49+Glenhaven!AA53+'Glenhaven Estates (gl317)'!AA53+'Harbor Lights (ha310)'!AA54+'Harbor Lights MHC'!AA52+'Harvest Gate'!AA62+'Hunter Run RV Estates'!AA103+'Hunters Run RV Estates (hu116)'!AA216+'Jade Isle (ja068)'!AA45+'Jade Isle MHC'!AA47+'Kakusha Estates (ka045)'!AA51+'Kakusha MHC'!AA50+'Lakeside Village'!AA56+'Lakeside Village (la482)'!AA58+'Lakewood Village (la481)'!AA117+'Lakewood Village MHC LLC'!AA137+'Maple Corner'!AA70+'Maple Corner (ma490)'!AA60+'Marlboro Court (ma489)'!AA48+'Marlboro Court MHC LLC'!AA48+'May Manor'!AA152+'May Manor (ma488)'!AA84+'Mobiland by the Sea (mo320)'!AA53+'Mobiland By The Sea MHC'!AA54+'Moss Landing'!AA81+'Moss Landing (mo321)'!AA73+'Oak Springs'!AA85+'Oak Springs MHC (oa150)'!AA61+'Orange Manor East'!AA50+'Orange Manor East (or125)'!AA53+'Pacific Manor'!AA59+'Pacific Manor (pa602)'!AA61+Parkhaven!AA116+Ridgecrest!AA66+Riverest!AA60+'Riverview MHRV LLC'!AA63+Rosehaven!AA128+'Sanctuary RV Resort'!AA240+'Shadow Mountain MHC'!AA47+Springhaven!AA47+'Star Valley Ranch'!AA58+Sunhaven!AA54+'Sunny Grove'!AA53+Tarponaire!AA57+'Val Vista RV Resort'!AA86+'Webster RV Resort LLC'!AA73+'Wekiva Falls RV Resort'!AA97+'West Jupiter RV Resort'!AA54+'Western Way RV Resort LLC'!AA146</f>
      </c>
      <c r="AB26" s="24">
        <f>'Agave Village (ag011)'!AB79+'Agave Village LLC'!AB68+'Brookhaven Estates (bo260)'!AB61+'Brookhaven RV Resort'!AB57+'Courtly Manor'!AB50+'Courtly Manor Park (co669)'!AB51+'Cross Creek RV'!AB146+'Cross Creek RV Resort (cr994)'!AB152+'El Rio De Oro (el289)'!AB48+'El Rio del Oro'!AB51+'Endless Summer RV Resort'!AB69+'Endless Summer RV Resort (en079'!AB61+Evergreen!AB48+'Far Horizons'!AB48+'Far Horizons (fa105)'!AB48+'Floridian Sandalwood (fl356)'!AB45+'Floridian Sandalwood MHC'!AB49+Glenhaven!AB53+'Glenhaven Estates (gl317)'!AB53+'Harbor Lights (ha310)'!AB54+'Harbor Lights MHC'!AB52+'Harvest Gate'!AB62+'Hunter Run RV Estates'!AB103+'Hunters Run RV Estates (hu116)'!AB216+'Jade Isle (ja068)'!AB45+'Jade Isle MHC'!AB47+'Kakusha Estates (ka045)'!AB51+'Kakusha MHC'!AB50+'Lakeside Village'!AB56+'Lakeside Village (la482)'!AB58+'Lakewood Village (la481)'!AB117+'Lakewood Village MHC LLC'!AB137+'Maple Corner'!AB70+'Maple Corner (ma490)'!AB60+'Marlboro Court (ma489)'!AB48+'Marlboro Court MHC LLC'!AB48+'May Manor'!AB152+'May Manor (ma488)'!AB84+'Mobiland by the Sea (mo320)'!AB53+'Mobiland By The Sea MHC'!AB54+'Moss Landing'!AB81+'Moss Landing (mo321)'!AB73+'Oak Springs'!AB85+'Oak Springs MHC (oa150)'!AB61+'Orange Manor East'!AB50+'Orange Manor East (or125)'!AB53+'Pacific Manor'!AB59+'Pacific Manor (pa602)'!AB61+Parkhaven!AB116+Ridgecrest!AB66+Riverest!AB60+'Riverview MHRV LLC'!AB63+Rosehaven!AB128+'Sanctuary RV Resort'!AB240+'Shadow Mountain MHC'!AB47+Springhaven!AB47+'Star Valley Ranch'!AB58+Sunhaven!AB54+'Sunny Grove'!AB53+Tarponaire!AB57+'Val Vista RV Resort'!AB86+'Webster RV Resort LLC'!AB73+'Wekiva Falls RV Resort'!AB97+'West Jupiter RV Resort'!AB54+'Western Way RV Resort LLC'!AB146</f>
      </c>
      <c r="AC26" s="24">
        <f>'Agave Village (ag011)'!AC79+'Agave Village LLC'!AC68+'Brookhaven Estates (bo260)'!AC61+'Brookhaven RV Resort'!AC57+'Courtly Manor'!AC50+'Courtly Manor Park (co669)'!AC51+'Cross Creek RV'!AC146+'Cross Creek RV Resort (cr994)'!AC152+'El Rio De Oro (el289)'!AC48+'El Rio del Oro'!AC51+'Endless Summer RV Resort'!AC69+'Endless Summer RV Resort (en079'!AC61+Evergreen!AC48+'Far Horizons'!AC48+'Far Horizons (fa105)'!AC48+'Floridian Sandalwood (fl356)'!AC45+'Floridian Sandalwood MHC'!AC49+Glenhaven!AC53+'Glenhaven Estates (gl317)'!AC53+'Harbor Lights (ha310)'!AC54+'Harbor Lights MHC'!AC52+'Harvest Gate'!AC62+'Hunter Run RV Estates'!AC103+'Hunters Run RV Estates (hu116)'!AC216+'Jade Isle (ja068)'!AC45+'Jade Isle MHC'!AC47+'Kakusha Estates (ka045)'!AC51+'Kakusha MHC'!AC50+'Lakeside Village'!AC56+'Lakeside Village (la482)'!AC58+'Lakewood Village (la481)'!AC117+'Lakewood Village MHC LLC'!AC137+'Maple Corner'!AC70+'Maple Corner (ma490)'!AC60+'Marlboro Court (ma489)'!AC48+'Marlboro Court MHC LLC'!AC48+'May Manor'!AC152+'May Manor (ma488)'!AC84+'Mobiland by the Sea (mo320)'!AC53+'Mobiland By The Sea MHC'!AC54+'Moss Landing'!AC81+'Moss Landing (mo321)'!AC73+'Oak Springs'!AC85+'Oak Springs MHC (oa150)'!AC61+'Orange Manor East'!AC50+'Orange Manor East (or125)'!AC53+'Pacific Manor'!AC59+'Pacific Manor (pa602)'!AC61+Parkhaven!AC116+Ridgecrest!AC66+Riverest!AC60+'Riverview MHRV LLC'!AC63+Rosehaven!AC128+'Sanctuary RV Resort'!AC240+'Shadow Mountain MHC'!AC47+Springhaven!AC47+'Star Valley Ranch'!AC58+Sunhaven!AC54+'Sunny Grove'!AC53+Tarponaire!AC57+'Val Vista RV Resort'!AC86+'Webster RV Resort LLC'!AC73+'Wekiva Falls RV Resort'!AC97+'West Jupiter RV Resort'!AC54+'Western Way RV Resort LLC'!AC146</f>
      </c>
      <c r="AD26" s="24">
        <f>'Agave Village (ag011)'!AD79+'Agave Village LLC'!AD68+'Brookhaven Estates (bo260)'!AD61+'Brookhaven RV Resort'!AD57+'Courtly Manor'!AD50+'Courtly Manor Park (co669)'!AD51+'Cross Creek RV'!AD146+'Cross Creek RV Resort (cr994)'!AD152+'El Rio De Oro (el289)'!AD48+'El Rio del Oro'!AD51+'Endless Summer RV Resort'!AD69+'Endless Summer RV Resort (en079'!AD61+Evergreen!AD48+'Far Horizons'!AD48+'Far Horizons (fa105)'!AD48+'Floridian Sandalwood (fl356)'!AD45+'Floridian Sandalwood MHC'!AD49+Glenhaven!AD53+'Glenhaven Estates (gl317)'!AD53+'Harbor Lights (ha310)'!AD54+'Harbor Lights MHC'!AD52+'Harvest Gate'!AD62+'Hunter Run RV Estates'!AD103+'Hunters Run RV Estates (hu116)'!AD216+'Jade Isle (ja068)'!AD45+'Jade Isle MHC'!AD47+'Kakusha Estates (ka045)'!AD51+'Kakusha MHC'!AD50+'Lakeside Village'!AD56+'Lakeside Village (la482)'!AD58+'Lakewood Village (la481)'!AD117+'Lakewood Village MHC LLC'!AD137+'Maple Corner'!AD70+'Maple Corner (ma490)'!AD60+'Marlboro Court (ma489)'!AD48+'Marlboro Court MHC LLC'!AD48+'May Manor'!AD152+'May Manor (ma488)'!AD84+'Mobiland by the Sea (mo320)'!AD53+'Mobiland By The Sea MHC'!AD54+'Moss Landing'!AD81+'Moss Landing (mo321)'!AD73+'Oak Springs'!AD85+'Oak Springs MHC (oa150)'!AD61+'Orange Manor East'!AD50+'Orange Manor East (or125)'!AD53+'Pacific Manor'!AD59+'Pacific Manor (pa602)'!AD61+Parkhaven!AD116+Ridgecrest!AD66+Riverest!AD60+'Riverview MHRV LLC'!AD63+Rosehaven!AD128+'Sanctuary RV Resort'!AD240+'Shadow Mountain MHC'!AD47+Springhaven!AD47+'Star Valley Ranch'!AD58+Sunhaven!AD54+'Sunny Grove'!AD53+Tarponaire!AD57+'Val Vista RV Resort'!AD86+'Webster RV Resort LLC'!AD73+'Wekiva Falls RV Resort'!AD97+'West Jupiter RV Resort'!AD54+'Western Way RV Resort LLC'!AD146</f>
      </c>
      <c r="AE26" s="24">
        <f>'Agave Village (ag011)'!AE79+'Agave Village LLC'!AE68+'Brookhaven Estates (bo260)'!AE61+'Brookhaven RV Resort'!AE57+'Courtly Manor'!AE50+'Courtly Manor Park (co669)'!AE51+'Cross Creek RV'!AE146+'Cross Creek RV Resort (cr994)'!AE152+'El Rio De Oro (el289)'!AE48+'El Rio del Oro'!AE51+'Endless Summer RV Resort'!AE69+'Endless Summer RV Resort (en079'!AE61+Evergreen!AE48+'Far Horizons'!AE48+'Far Horizons (fa105)'!AE48+'Floridian Sandalwood (fl356)'!AE45+'Floridian Sandalwood MHC'!AE49+Glenhaven!AE53+'Glenhaven Estates (gl317)'!AE53+'Harbor Lights (ha310)'!AE54+'Harbor Lights MHC'!AE52+'Harvest Gate'!AE62+'Hunter Run RV Estates'!AE103+'Hunters Run RV Estates (hu116)'!AE216+'Jade Isle (ja068)'!AE45+'Jade Isle MHC'!AE47+'Kakusha Estates (ka045)'!AE51+'Kakusha MHC'!AE50+'Lakeside Village'!AE56+'Lakeside Village (la482)'!AE58+'Lakewood Village (la481)'!AE117+'Lakewood Village MHC LLC'!AE137+'Maple Corner'!AE70+'Maple Corner (ma490)'!AE60+'Marlboro Court (ma489)'!AE48+'Marlboro Court MHC LLC'!AE48+'May Manor'!AE152+'May Manor (ma488)'!AE84+'Mobiland by the Sea (mo320)'!AE53+'Mobiland By The Sea MHC'!AE54+'Moss Landing'!AE81+'Moss Landing (mo321)'!AE73+'Oak Springs'!AE85+'Oak Springs MHC (oa150)'!AE61+'Orange Manor East'!AE50+'Orange Manor East (or125)'!AE53+'Pacific Manor'!AE59+'Pacific Manor (pa602)'!AE61+Parkhaven!AE116+Ridgecrest!AE66+Riverest!AE60+'Riverview MHRV LLC'!AE63+Rosehaven!AE128+'Sanctuary RV Resort'!AE240+'Shadow Mountain MHC'!AE47+Springhaven!AE47+'Star Valley Ranch'!AE58+Sunhaven!AE54+'Sunny Grove'!AE53+Tarponaire!AE57+'Val Vista RV Resort'!AE86+'Webster RV Resort LLC'!AE73+'Wekiva Falls RV Resort'!AE97+'West Jupiter RV Resort'!AE54+'Western Way RV Resort LLC'!AE146</f>
      </c>
      <c r="AF26" s="24">
        <f>'Agave Village (ag011)'!AF79+'Agave Village LLC'!AF68+'Brookhaven Estates (bo260)'!AF61+'Brookhaven RV Resort'!AF57+'Courtly Manor'!AF50+'Courtly Manor Park (co669)'!AF51+'Cross Creek RV'!AF146+'Cross Creek RV Resort (cr994)'!AF152+'El Rio De Oro (el289)'!AF48+'El Rio del Oro'!AF51+'Endless Summer RV Resort'!AF69+'Endless Summer RV Resort (en079'!AF61+Evergreen!AF48+'Far Horizons'!AF48+'Far Horizons (fa105)'!AF48+'Floridian Sandalwood (fl356)'!AF45+'Floridian Sandalwood MHC'!AF49+Glenhaven!AF53+'Glenhaven Estates (gl317)'!AF53+'Harbor Lights (ha310)'!AF54+'Harbor Lights MHC'!AF52+'Harvest Gate'!AF62+'Hunter Run RV Estates'!AF103+'Hunters Run RV Estates (hu116)'!AF216+'Jade Isle (ja068)'!AF45+'Jade Isle MHC'!AF47+'Kakusha Estates (ka045)'!AF51+'Kakusha MHC'!AF50+'Lakeside Village'!AF56+'Lakeside Village (la482)'!AF58+'Lakewood Village (la481)'!AF117+'Lakewood Village MHC LLC'!AF137+'Maple Corner'!AF70+'Maple Corner (ma490)'!AF60+'Marlboro Court (ma489)'!AF48+'Marlboro Court MHC LLC'!AF48+'May Manor'!AF152+'May Manor (ma488)'!AF84+'Mobiland by the Sea (mo320)'!AF53+'Mobiland By The Sea MHC'!AF54+'Moss Landing'!AF81+'Moss Landing (mo321)'!AF73+'Oak Springs'!AF85+'Oak Springs MHC (oa150)'!AF61+'Orange Manor East'!AF50+'Orange Manor East (or125)'!AF53+'Pacific Manor'!AF59+'Pacific Manor (pa602)'!AF61+Parkhaven!AF116+Ridgecrest!AF66+Riverest!AF60+'Riverview MHRV LLC'!AF63+Rosehaven!AF128+'Sanctuary RV Resort'!AF240+'Shadow Mountain MHC'!AF47+Springhaven!AF47+'Star Valley Ranch'!AF58+Sunhaven!AF54+'Sunny Grove'!AF53+Tarponaire!AF57+'Val Vista RV Resort'!AF86+'Webster RV Resort LLC'!AF73+'Wekiva Falls RV Resort'!AF97+'West Jupiter RV Resort'!AF54+'Western Way RV Resort LLC'!AF146</f>
      </c>
      <c r="AG26" s="24">
        <f>'Agave Village (ag011)'!AG79+'Agave Village LLC'!AG68+'Brookhaven Estates (bo260)'!AG61+'Brookhaven RV Resort'!AG57+'Courtly Manor'!AG50+'Courtly Manor Park (co669)'!AG51+'Cross Creek RV'!AG146+'Cross Creek RV Resort (cr994)'!AG152+'El Rio De Oro (el289)'!AG48+'El Rio del Oro'!AG51+'Endless Summer RV Resort'!AG69+'Endless Summer RV Resort (en079'!AG61+Evergreen!AG48+'Far Horizons'!AG48+'Far Horizons (fa105)'!AG48+'Floridian Sandalwood (fl356)'!AG45+'Floridian Sandalwood MHC'!AG49+Glenhaven!AG53+'Glenhaven Estates (gl317)'!AG53+'Harbor Lights (ha310)'!AG54+'Harbor Lights MHC'!AG52+'Harvest Gate'!AG62+'Hunter Run RV Estates'!AG103+'Hunters Run RV Estates (hu116)'!AG216+'Jade Isle (ja068)'!AG45+'Jade Isle MHC'!AG47+'Kakusha Estates (ka045)'!AG51+'Kakusha MHC'!AG50+'Lakeside Village'!AG56+'Lakeside Village (la482)'!AG58+'Lakewood Village (la481)'!AG117+'Lakewood Village MHC LLC'!AG137+'Maple Corner'!AG70+'Maple Corner (ma490)'!AG60+'Marlboro Court (ma489)'!AG48+'Marlboro Court MHC LLC'!AG48+'May Manor'!AG152+'May Manor (ma488)'!AG84+'Mobiland by the Sea (mo320)'!AG53+'Mobiland By The Sea MHC'!AG54+'Moss Landing'!AG81+'Moss Landing (mo321)'!AG73+'Oak Springs'!AG85+'Oak Springs MHC (oa150)'!AG61+'Orange Manor East'!AG50+'Orange Manor East (or125)'!AG53+'Pacific Manor'!AG59+'Pacific Manor (pa602)'!AG61+Parkhaven!AG116+Ridgecrest!AG66+Riverest!AG60+'Riverview MHRV LLC'!AG63+Rosehaven!AG128+'Sanctuary RV Resort'!AG240+'Shadow Mountain MHC'!AG47+Springhaven!AG47+'Star Valley Ranch'!AG58+Sunhaven!AG54+'Sunny Grove'!AG53+Tarponaire!AG57+'Val Vista RV Resort'!AG86+'Webster RV Resort LLC'!AG73+'Wekiva Falls RV Resort'!AG97+'West Jupiter RV Resort'!AG54+'Western Way RV Resort LLC'!AG146</f>
      </c>
      <c r="AH26" s="24">
        <f>'Agave Village (ag011)'!AH79+'Agave Village LLC'!AH68+'Brookhaven Estates (bo260)'!AH61+'Brookhaven RV Resort'!AH57+'Courtly Manor'!AH50+'Courtly Manor Park (co669)'!AH51+'Cross Creek RV'!AH146+'Cross Creek RV Resort (cr994)'!AH152+'El Rio De Oro (el289)'!AH48+'El Rio del Oro'!AH51+'Endless Summer RV Resort'!AH69+'Endless Summer RV Resort (en079'!AH61+Evergreen!AH48+'Far Horizons'!AH48+'Far Horizons (fa105)'!AH48+'Floridian Sandalwood (fl356)'!AH45+'Floridian Sandalwood MHC'!AH49+Glenhaven!AH53+'Glenhaven Estates (gl317)'!AH53+'Harbor Lights (ha310)'!AH54+'Harbor Lights MHC'!AH52+'Harvest Gate'!AH62+'Hunter Run RV Estates'!AH103+'Hunters Run RV Estates (hu116)'!AH216+'Jade Isle (ja068)'!AH45+'Jade Isle MHC'!AH47+'Kakusha Estates (ka045)'!AH51+'Kakusha MHC'!AH50+'Lakeside Village'!AH56+'Lakeside Village (la482)'!AH58+'Lakewood Village (la481)'!AH117+'Lakewood Village MHC LLC'!AH137+'Maple Corner'!AH70+'Maple Corner (ma490)'!AH60+'Marlboro Court (ma489)'!AH48+'Marlboro Court MHC LLC'!AH48+'May Manor'!AH152+'May Manor (ma488)'!AH84+'Mobiland by the Sea (mo320)'!AH53+'Mobiland By The Sea MHC'!AH54+'Moss Landing'!AH81+'Moss Landing (mo321)'!AH73+'Oak Springs'!AH85+'Oak Springs MHC (oa150)'!AH61+'Orange Manor East'!AH50+'Orange Manor East (or125)'!AH53+'Pacific Manor'!AH59+'Pacific Manor (pa602)'!AH61+Parkhaven!AH116+Ridgecrest!AH66+Riverest!AH60+'Riverview MHRV LLC'!AH63+Rosehaven!AH128+'Sanctuary RV Resort'!AH240+'Shadow Mountain MHC'!AH47+Springhaven!AH47+'Star Valley Ranch'!AH58+Sunhaven!AH54+'Sunny Grove'!AH53+Tarponaire!AH57+'Val Vista RV Resort'!AH86+'Webster RV Resort LLC'!AH73+'Wekiva Falls RV Resort'!AH97+'West Jupiter RV Resort'!AH54+'Western Way RV Resort LLC'!AH146</f>
      </c>
      <c r="AI26" s="24">
        <f>'Agave Village (ag011)'!AI79+'Agave Village LLC'!AI68+'Brookhaven Estates (bo260)'!AI61+'Brookhaven RV Resort'!AI57+'Courtly Manor'!AI50+'Courtly Manor Park (co669)'!AI51+'Cross Creek RV'!AI146+'Cross Creek RV Resort (cr994)'!AI152+'El Rio De Oro (el289)'!AI48+'El Rio del Oro'!AI51+'Endless Summer RV Resort'!AI69+'Endless Summer RV Resort (en079'!AI61+Evergreen!AI48+'Far Horizons'!AI48+'Far Horizons (fa105)'!AI48+'Floridian Sandalwood (fl356)'!AI45+'Floridian Sandalwood MHC'!AI49+Glenhaven!AI53+'Glenhaven Estates (gl317)'!AI53+'Harbor Lights (ha310)'!AI54+'Harbor Lights MHC'!AI52+'Harvest Gate'!AI62+'Hunter Run RV Estates'!AI103+'Hunters Run RV Estates (hu116)'!AI216+'Jade Isle (ja068)'!AI45+'Jade Isle MHC'!AI47+'Kakusha Estates (ka045)'!AI51+'Kakusha MHC'!AI50+'Lakeside Village'!AI56+'Lakeside Village (la482)'!AI58+'Lakewood Village (la481)'!AI117+'Lakewood Village MHC LLC'!AI137+'Maple Corner'!AI70+'Maple Corner (ma490)'!AI60+'Marlboro Court (ma489)'!AI48+'Marlboro Court MHC LLC'!AI48+'May Manor'!AI152+'May Manor (ma488)'!AI84+'Mobiland by the Sea (mo320)'!AI53+'Mobiland By The Sea MHC'!AI54+'Moss Landing'!AI81+'Moss Landing (mo321)'!AI73+'Oak Springs'!AI85+'Oak Springs MHC (oa150)'!AI61+'Orange Manor East'!AI50+'Orange Manor East (or125)'!AI53+'Pacific Manor'!AI59+'Pacific Manor (pa602)'!AI61+Parkhaven!AI116+Ridgecrest!AI66+Riverest!AI60+'Riverview MHRV LLC'!AI63+Rosehaven!AI128+'Sanctuary RV Resort'!AI240+'Shadow Mountain MHC'!AI47+Springhaven!AI47+'Star Valley Ranch'!AI58+Sunhaven!AI54+'Sunny Grove'!AI53+Tarponaire!AI57+'Val Vista RV Resort'!AI86+'Webster RV Resort LLC'!AI73+'Wekiva Falls RV Resort'!AI97+'West Jupiter RV Resort'!AI54+'Western Way RV Resort LLC'!AI146</f>
      </c>
      <c r="AJ26" s="24">
        <f>'Agave Village (ag011)'!AJ79+'Agave Village LLC'!AJ68+'Brookhaven Estates (bo260)'!AJ61+'Brookhaven RV Resort'!AJ57+'Courtly Manor'!AJ50+'Courtly Manor Park (co669)'!AJ51+'Cross Creek RV'!AJ146+'Cross Creek RV Resort (cr994)'!AJ152+'El Rio De Oro (el289)'!AJ48+'El Rio del Oro'!AJ51+'Endless Summer RV Resort'!AJ69+'Endless Summer RV Resort (en079'!AJ61+Evergreen!AJ48+'Far Horizons'!AJ48+'Far Horizons (fa105)'!AJ48+'Floridian Sandalwood (fl356)'!AJ45+'Floridian Sandalwood MHC'!AJ49+Glenhaven!AJ53+'Glenhaven Estates (gl317)'!AJ53+'Harbor Lights (ha310)'!AJ54+'Harbor Lights MHC'!AJ52+'Harvest Gate'!AJ62+'Hunter Run RV Estates'!AJ103+'Hunters Run RV Estates (hu116)'!AJ216+'Jade Isle (ja068)'!AJ45+'Jade Isle MHC'!AJ47+'Kakusha Estates (ka045)'!AJ51+'Kakusha MHC'!AJ50+'Lakeside Village'!AJ56+'Lakeside Village (la482)'!AJ58+'Lakewood Village (la481)'!AJ117+'Lakewood Village MHC LLC'!AJ137+'Maple Corner'!AJ70+'Maple Corner (ma490)'!AJ60+'Marlboro Court (ma489)'!AJ48+'Marlboro Court MHC LLC'!AJ48+'May Manor'!AJ152+'May Manor (ma488)'!AJ84+'Mobiland by the Sea (mo320)'!AJ53+'Mobiland By The Sea MHC'!AJ54+'Moss Landing'!AJ81+'Moss Landing (mo321)'!AJ73+'Oak Springs'!AJ85+'Oak Springs MHC (oa150)'!AJ61+'Orange Manor East'!AJ50+'Orange Manor East (or125)'!AJ53+'Pacific Manor'!AJ59+'Pacific Manor (pa602)'!AJ61+Parkhaven!AJ116+Ridgecrest!AJ66+Riverest!AJ60+'Riverview MHRV LLC'!AJ63+Rosehaven!AJ128+'Sanctuary RV Resort'!AJ240+'Shadow Mountain MHC'!AJ47+Springhaven!AJ47+'Star Valley Ranch'!AJ58+Sunhaven!AJ54+'Sunny Grove'!AJ53+Tarponaire!AJ57+'Val Vista RV Resort'!AJ86+'Webster RV Resort LLC'!AJ73+'Wekiva Falls RV Resort'!AJ97+'West Jupiter RV Resort'!AJ54+'Western Way RV Resort LLC'!AJ146</f>
      </c>
      <c r="AK26" s="19"/>
    </row>
    <row r="27" ht="12.75" customHeight="1" spans="2:37" x14ac:dyDescent="0.25">
      <c r="B27" s="20" t="s">
        <v>45</v>
      </c>
      <c r="C27" s="21"/>
      <c r="D27" s="21"/>
      <c r="E27" s="25">
        <f>'Agave Village (ag011)'!E80+'Agave Village LLC'!E69+'Brookhaven Estates (bo260)'!E62+'Brookhaven RV Resort'!E58+'Courtly Manor'!E51+'Courtly Manor Park (co669)'!E52+'Cross Creek RV'!E147+'Cross Creek RV Resort (cr994)'!E153+'El Rio De Oro (el289)'!E49+'El Rio del Oro'!E52+'Endless Summer RV Resort'!E70+'Endless Summer RV Resort (en079'!E62+Evergreen!E49+'Far Horizons'!E49+'Far Horizons (fa105)'!E49+'Floridian Sandalwood (fl356)'!E46+'Floridian Sandalwood MHC'!E50+Glenhaven!E54+'Glenhaven Estates (gl317)'!E54+'Harbor Lights (ha310)'!E55+'Harbor Lights MHC'!E53+'Harvest Gate'!E63+'Hunter Run RV Estates'!E104+'Hunters Run RV Estates (hu116)'!E217+'Jade Isle (ja068)'!E46+'Jade Isle MHC'!E48+'Kakusha Estates (ka045)'!E52+'Kakusha MHC'!E51+'Lakeside Village'!E57+'Lakeside Village (la482)'!E59+'Lakewood Village (la481)'!E118+'Lakewood Village MHC LLC'!E138+'Maple Corner'!E71+'Maple Corner (ma490)'!E61+'Marlboro Court (ma489)'!E49+'Marlboro Court MHC LLC'!E49+'May Manor'!E153+'May Manor (ma488)'!E85+'Mobiland by the Sea (mo320)'!E54+'Mobiland By The Sea MHC'!E55+'Moss Landing'!E82+'Moss Landing (mo321)'!E74+'Oak Springs'!E86+'Oak Springs MHC (oa150)'!E62+'Orange Manor East'!E51+'Orange Manor East (or125)'!E54+'Pacific Manor'!E60+'Pacific Manor (pa602)'!E62+Parkhaven!E117+Ridgecrest!E67+Riverest!E61+'Riverview MHRV LLC'!E64+Rosehaven!E129+'Sanctuary RV Resort'!E241+'Shadow Mountain MHC'!E48+Springhaven!E48+'Star Valley Ranch'!E59+Sunhaven!E55+'Sunny Grove'!E54+Tarponaire!E58+'Val Vista RV Resort'!E87+'Webster RV Resort LLC'!E74+'Wekiva Falls RV Resort'!E98+'West Jupiter RV Resort'!E55+'Western Way RV Resort LLC'!E147</f>
      </c>
      <c r="F27" s="25">
        <f>'Agave Village (ag011)'!F80+'Agave Village LLC'!F69+'Brookhaven Estates (bo260)'!F62+'Brookhaven RV Resort'!F58+'Courtly Manor'!F51+'Courtly Manor Park (co669)'!F52+'Cross Creek RV'!F147+'Cross Creek RV Resort (cr994)'!F153+'El Rio De Oro (el289)'!F49+'El Rio del Oro'!F52+'Endless Summer RV Resort'!F70+'Endless Summer RV Resort (en079'!F62+Evergreen!F49+'Far Horizons'!F49+'Far Horizons (fa105)'!F49+'Floridian Sandalwood (fl356)'!F46+'Floridian Sandalwood MHC'!F50+Glenhaven!F54+'Glenhaven Estates (gl317)'!F54+'Harbor Lights (ha310)'!F55+'Harbor Lights MHC'!F53+'Harvest Gate'!F63+'Hunter Run RV Estates'!F104+'Hunters Run RV Estates (hu116)'!F217+'Jade Isle (ja068)'!F46+'Jade Isle MHC'!F48+'Kakusha Estates (ka045)'!F52+'Kakusha MHC'!F51+'Lakeside Village'!F57+'Lakeside Village (la482)'!F59+'Lakewood Village (la481)'!F118+'Lakewood Village MHC LLC'!F138+'Maple Corner'!F71+'Maple Corner (ma490)'!F61+'Marlboro Court (ma489)'!F49+'Marlboro Court MHC LLC'!F49+'May Manor'!F153+'May Manor (ma488)'!F85+'Mobiland by the Sea (mo320)'!F54+'Mobiland By The Sea MHC'!F55+'Moss Landing'!F82+'Moss Landing (mo321)'!F74+'Oak Springs'!F86+'Oak Springs MHC (oa150)'!F62+'Orange Manor East'!F51+'Orange Manor East (or125)'!F54+'Pacific Manor'!F60+'Pacific Manor (pa602)'!F62+Parkhaven!F117+Ridgecrest!F67+Riverest!F61+'Riverview MHRV LLC'!F64+Rosehaven!F129+'Sanctuary RV Resort'!F241+'Shadow Mountain MHC'!F48+Springhaven!F48+'Star Valley Ranch'!F59+Sunhaven!F55+'Sunny Grove'!F54+Tarponaire!F58+'Val Vista RV Resort'!F87+'Webster RV Resort LLC'!F74+'Wekiva Falls RV Resort'!F98+'West Jupiter RV Resort'!F55+'Western Way RV Resort LLC'!F147</f>
      </c>
      <c r="G27" s="25">
        <f>'Agave Village (ag011)'!G80+'Agave Village LLC'!G69+'Brookhaven Estates (bo260)'!G62+'Brookhaven RV Resort'!G58+'Courtly Manor'!G51+'Courtly Manor Park (co669)'!G52+'Cross Creek RV'!G147+'Cross Creek RV Resort (cr994)'!G153+'El Rio De Oro (el289)'!G49+'El Rio del Oro'!G52+'Endless Summer RV Resort'!G70+'Endless Summer RV Resort (en079'!G62+Evergreen!G49+'Far Horizons'!G49+'Far Horizons (fa105)'!G49+'Floridian Sandalwood (fl356)'!G46+'Floridian Sandalwood MHC'!G50+Glenhaven!G54+'Glenhaven Estates (gl317)'!G54+'Harbor Lights (ha310)'!G55+'Harbor Lights MHC'!G53+'Harvest Gate'!G63+'Hunter Run RV Estates'!G104+'Hunters Run RV Estates (hu116)'!G217+'Jade Isle (ja068)'!G46+'Jade Isle MHC'!G48+'Kakusha Estates (ka045)'!G52+'Kakusha MHC'!G51+'Lakeside Village'!G57+'Lakeside Village (la482)'!G59+'Lakewood Village (la481)'!G118+'Lakewood Village MHC LLC'!G138+'Maple Corner'!G71+'Maple Corner (ma490)'!G61+'Marlboro Court (ma489)'!G49+'Marlboro Court MHC LLC'!G49+'May Manor'!G153+'May Manor (ma488)'!G85+'Mobiland by the Sea (mo320)'!G54+'Mobiland By The Sea MHC'!G55+'Moss Landing'!G82+'Moss Landing (mo321)'!G74+'Oak Springs'!G86+'Oak Springs MHC (oa150)'!G62+'Orange Manor East'!G51+'Orange Manor East (or125)'!G54+'Pacific Manor'!G60+'Pacific Manor (pa602)'!G62+Parkhaven!G117+Ridgecrest!G67+Riverest!G61+'Riverview MHRV LLC'!G64+Rosehaven!G129+'Sanctuary RV Resort'!G241+'Shadow Mountain MHC'!G48+Springhaven!G48+'Star Valley Ranch'!G59+Sunhaven!G55+'Sunny Grove'!G54+Tarponaire!G58+'Val Vista RV Resort'!G87+'Webster RV Resort LLC'!G74+'Wekiva Falls RV Resort'!G98+'West Jupiter RV Resort'!G55+'Western Way RV Resort LLC'!G147</f>
      </c>
      <c r="H27" s="25">
        <f>'Agave Village (ag011)'!H80+'Agave Village LLC'!H69+'Brookhaven Estates (bo260)'!H62+'Brookhaven RV Resort'!H58+'Courtly Manor'!H51+'Courtly Manor Park (co669)'!H52+'Cross Creek RV'!H147+'Cross Creek RV Resort (cr994)'!H153+'El Rio De Oro (el289)'!H49+'El Rio del Oro'!H52+'Endless Summer RV Resort'!H70+'Endless Summer RV Resort (en079'!H62+Evergreen!H49+'Far Horizons'!H49+'Far Horizons (fa105)'!H49+'Floridian Sandalwood (fl356)'!H46+'Floridian Sandalwood MHC'!H50+Glenhaven!H54+'Glenhaven Estates (gl317)'!H54+'Harbor Lights (ha310)'!H55+'Harbor Lights MHC'!H53+'Harvest Gate'!H63+'Hunter Run RV Estates'!H104+'Hunters Run RV Estates (hu116)'!H217+'Jade Isle (ja068)'!H46+'Jade Isle MHC'!H48+'Kakusha Estates (ka045)'!H52+'Kakusha MHC'!H51+'Lakeside Village'!H57+'Lakeside Village (la482)'!H59+'Lakewood Village (la481)'!H118+'Lakewood Village MHC LLC'!H138+'Maple Corner'!H71+'Maple Corner (ma490)'!H61+'Marlboro Court (ma489)'!H49+'Marlboro Court MHC LLC'!H49+'May Manor'!H153+'May Manor (ma488)'!H85+'Mobiland by the Sea (mo320)'!H54+'Mobiland By The Sea MHC'!H55+'Moss Landing'!H82+'Moss Landing (mo321)'!H74+'Oak Springs'!H86+'Oak Springs MHC (oa150)'!H62+'Orange Manor East'!H51+'Orange Manor East (or125)'!H54+'Pacific Manor'!H60+'Pacific Manor (pa602)'!H62+Parkhaven!H117+Ridgecrest!H67+Riverest!H61+'Riverview MHRV LLC'!H64+Rosehaven!H129+'Sanctuary RV Resort'!H241+'Shadow Mountain MHC'!H48+Springhaven!H48+'Star Valley Ranch'!H59+Sunhaven!H55+'Sunny Grove'!H54+Tarponaire!H58+'Val Vista RV Resort'!H87+'Webster RV Resort LLC'!H74+'Wekiva Falls RV Resort'!H98+'West Jupiter RV Resort'!H55+'Western Way RV Resort LLC'!H147</f>
      </c>
      <c r="I27" s="25">
        <f>'Agave Village (ag011)'!I80+'Agave Village LLC'!I69+'Brookhaven Estates (bo260)'!I62+'Brookhaven RV Resort'!I58+'Courtly Manor'!I51+'Courtly Manor Park (co669)'!I52+'Cross Creek RV'!I147+'Cross Creek RV Resort (cr994)'!I153+'El Rio De Oro (el289)'!I49+'El Rio del Oro'!I52+'Endless Summer RV Resort'!I70+'Endless Summer RV Resort (en079'!I62+Evergreen!I49+'Far Horizons'!I49+'Far Horizons (fa105)'!I49+'Floridian Sandalwood (fl356)'!I46+'Floridian Sandalwood MHC'!I50+Glenhaven!I54+'Glenhaven Estates (gl317)'!I54+'Harbor Lights (ha310)'!I55+'Harbor Lights MHC'!I53+'Harvest Gate'!I63+'Hunter Run RV Estates'!I104+'Hunters Run RV Estates (hu116)'!I217+'Jade Isle (ja068)'!I46+'Jade Isle MHC'!I48+'Kakusha Estates (ka045)'!I52+'Kakusha MHC'!I51+'Lakeside Village'!I57+'Lakeside Village (la482)'!I59+'Lakewood Village (la481)'!I118+'Lakewood Village MHC LLC'!I138+'Maple Corner'!I71+'Maple Corner (ma490)'!I61+'Marlboro Court (ma489)'!I49+'Marlboro Court MHC LLC'!I49+'May Manor'!I153+'May Manor (ma488)'!I85+'Mobiland by the Sea (mo320)'!I54+'Mobiland By The Sea MHC'!I55+'Moss Landing'!I82+'Moss Landing (mo321)'!I74+'Oak Springs'!I86+'Oak Springs MHC (oa150)'!I62+'Orange Manor East'!I51+'Orange Manor East (or125)'!I54+'Pacific Manor'!I60+'Pacific Manor (pa602)'!I62+Parkhaven!I117+Ridgecrest!I67+Riverest!I61+'Riverview MHRV LLC'!I64+Rosehaven!I129+'Sanctuary RV Resort'!I241+'Shadow Mountain MHC'!I48+Springhaven!I48+'Star Valley Ranch'!I59+Sunhaven!I55+'Sunny Grove'!I54+Tarponaire!I58+'Val Vista RV Resort'!I87+'Webster RV Resort LLC'!I74+'Wekiva Falls RV Resort'!I98+'West Jupiter RV Resort'!I55+'Western Way RV Resort LLC'!I147</f>
      </c>
      <c r="J27" s="25">
        <f>'Agave Village (ag011)'!J80+'Agave Village LLC'!J69+'Brookhaven Estates (bo260)'!J62+'Brookhaven RV Resort'!J58+'Courtly Manor'!J51+'Courtly Manor Park (co669)'!J52+'Cross Creek RV'!J147+'Cross Creek RV Resort (cr994)'!J153+'El Rio De Oro (el289)'!J49+'El Rio del Oro'!J52+'Endless Summer RV Resort'!J70+'Endless Summer RV Resort (en079'!J62+Evergreen!J49+'Far Horizons'!J49+'Far Horizons (fa105)'!J49+'Floridian Sandalwood (fl356)'!J46+'Floridian Sandalwood MHC'!J50+Glenhaven!J54+'Glenhaven Estates (gl317)'!J54+'Harbor Lights (ha310)'!J55+'Harbor Lights MHC'!J53+'Harvest Gate'!J63+'Hunter Run RV Estates'!J104+'Hunters Run RV Estates (hu116)'!J217+'Jade Isle (ja068)'!J46+'Jade Isle MHC'!J48+'Kakusha Estates (ka045)'!J52+'Kakusha MHC'!J51+'Lakeside Village'!J57+'Lakeside Village (la482)'!J59+'Lakewood Village (la481)'!J118+'Lakewood Village MHC LLC'!J138+'Maple Corner'!J71+'Maple Corner (ma490)'!J61+'Marlboro Court (ma489)'!J49+'Marlboro Court MHC LLC'!J49+'May Manor'!J153+'May Manor (ma488)'!J85+'Mobiland by the Sea (mo320)'!J54+'Mobiland By The Sea MHC'!J55+'Moss Landing'!J82+'Moss Landing (mo321)'!J74+'Oak Springs'!J86+'Oak Springs MHC (oa150)'!J62+'Orange Manor East'!J51+'Orange Manor East (or125)'!J54+'Pacific Manor'!J60+'Pacific Manor (pa602)'!J62+Parkhaven!J117+Ridgecrest!J67+Riverest!J61+'Riverview MHRV LLC'!J64+Rosehaven!J129+'Sanctuary RV Resort'!J241+'Shadow Mountain MHC'!J48+Springhaven!J48+'Star Valley Ranch'!J59+Sunhaven!J55+'Sunny Grove'!J54+Tarponaire!J58+'Val Vista RV Resort'!J87+'Webster RV Resort LLC'!J74+'Wekiva Falls RV Resort'!J98+'West Jupiter RV Resort'!J55+'Western Way RV Resort LLC'!J147</f>
      </c>
      <c r="K27" s="25">
        <f>'Agave Village (ag011)'!K80+'Agave Village LLC'!K69+'Brookhaven Estates (bo260)'!K62+'Brookhaven RV Resort'!K58+'Courtly Manor'!K51+'Courtly Manor Park (co669)'!K52+'Cross Creek RV'!K147+'Cross Creek RV Resort (cr994)'!K153+'El Rio De Oro (el289)'!K49+'El Rio del Oro'!K52+'Endless Summer RV Resort'!K70+'Endless Summer RV Resort (en079'!K62+Evergreen!K49+'Far Horizons'!K49+'Far Horizons (fa105)'!K49+'Floridian Sandalwood (fl356)'!K46+'Floridian Sandalwood MHC'!K50+Glenhaven!K54+'Glenhaven Estates (gl317)'!K54+'Harbor Lights (ha310)'!K55+'Harbor Lights MHC'!K53+'Harvest Gate'!K63+'Hunter Run RV Estates'!K104+'Hunters Run RV Estates (hu116)'!K217+'Jade Isle (ja068)'!K46+'Jade Isle MHC'!K48+'Kakusha Estates (ka045)'!K52+'Kakusha MHC'!K51+'Lakeside Village'!K57+'Lakeside Village (la482)'!K59+'Lakewood Village (la481)'!K118+'Lakewood Village MHC LLC'!K138+'Maple Corner'!K71+'Maple Corner (ma490)'!K61+'Marlboro Court (ma489)'!K49+'Marlboro Court MHC LLC'!K49+'May Manor'!K153+'May Manor (ma488)'!K85+'Mobiland by the Sea (mo320)'!K54+'Mobiland By The Sea MHC'!K55+'Moss Landing'!K82+'Moss Landing (mo321)'!K74+'Oak Springs'!K86+'Oak Springs MHC (oa150)'!K62+'Orange Manor East'!K51+'Orange Manor East (or125)'!K54+'Pacific Manor'!K60+'Pacific Manor (pa602)'!K62+Parkhaven!K117+Ridgecrest!K67+Riverest!K61+'Riverview MHRV LLC'!K64+Rosehaven!K129+'Sanctuary RV Resort'!K241+'Shadow Mountain MHC'!K48+Springhaven!K48+'Star Valley Ranch'!K59+Sunhaven!K55+'Sunny Grove'!K54+Tarponaire!K58+'Val Vista RV Resort'!K87+'Webster RV Resort LLC'!K74+'Wekiva Falls RV Resort'!K98+'West Jupiter RV Resort'!K55+'Western Way RV Resort LLC'!K147</f>
      </c>
      <c r="L27" s="25">
        <f>'Agave Village (ag011)'!L80+'Agave Village LLC'!L69+'Brookhaven Estates (bo260)'!L62+'Brookhaven RV Resort'!L58+'Courtly Manor'!L51+'Courtly Manor Park (co669)'!L52+'Cross Creek RV'!L147+'Cross Creek RV Resort (cr994)'!L153+'El Rio De Oro (el289)'!L49+'El Rio del Oro'!L52+'Endless Summer RV Resort'!L70+'Endless Summer RV Resort (en079'!L62+Evergreen!L49+'Far Horizons'!L49+'Far Horizons (fa105)'!L49+'Floridian Sandalwood (fl356)'!L46+'Floridian Sandalwood MHC'!L50+Glenhaven!L54+'Glenhaven Estates (gl317)'!L54+'Harbor Lights (ha310)'!L55+'Harbor Lights MHC'!L53+'Harvest Gate'!L63+'Hunter Run RV Estates'!L104+'Hunters Run RV Estates (hu116)'!L217+'Jade Isle (ja068)'!L46+'Jade Isle MHC'!L48+'Kakusha Estates (ka045)'!L52+'Kakusha MHC'!L51+'Lakeside Village'!L57+'Lakeside Village (la482)'!L59+'Lakewood Village (la481)'!L118+'Lakewood Village MHC LLC'!L138+'Maple Corner'!L71+'Maple Corner (ma490)'!L61+'Marlboro Court (ma489)'!L49+'Marlboro Court MHC LLC'!L49+'May Manor'!L153+'May Manor (ma488)'!L85+'Mobiland by the Sea (mo320)'!L54+'Mobiland By The Sea MHC'!L55+'Moss Landing'!L82+'Moss Landing (mo321)'!L74+'Oak Springs'!L86+'Oak Springs MHC (oa150)'!L62+'Orange Manor East'!L51+'Orange Manor East (or125)'!L54+'Pacific Manor'!L60+'Pacific Manor (pa602)'!L62+Parkhaven!L117+Ridgecrest!L67+Riverest!L61+'Riverview MHRV LLC'!L64+Rosehaven!L129+'Sanctuary RV Resort'!L241+'Shadow Mountain MHC'!L48+Springhaven!L48+'Star Valley Ranch'!L59+Sunhaven!L55+'Sunny Grove'!L54+Tarponaire!L58+'Val Vista RV Resort'!L87+'Webster RV Resort LLC'!L74+'Wekiva Falls RV Resort'!L98+'West Jupiter RV Resort'!L55+'Western Way RV Resort LLC'!L147</f>
      </c>
      <c r="M27" s="25">
        <f>'Agave Village (ag011)'!M80+'Agave Village LLC'!M69+'Brookhaven Estates (bo260)'!M62+'Brookhaven RV Resort'!M58+'Courtly Manor'!M51+'Courtly Manor Park (co669)'!M52+'Cross Creek RV'!M147+'Cross Creek RV Resort (cr994)'!M153+'El Rio De Oro (el289)'!M49+'El Rio del Oro'!M52+'Endless Summer RV Resort'!M70+'Endless Summer RV Resort (en079'!M62+Evergreen!M49+'Far Horizons'!M49+'Far Horizons (fa105)'!M49+'Floridian Sandalwood (fl356)'!M46+'Floridian Sandalwood MHC'!M50+Glenhaven!M54+'Glenhaven Estates (gl317)'!M54+'Harbor Lights (ha310)'!M55+'Harbor Lights MHC'!M53+'Harvest Gate'!M63+'Hunter Run RV Estates'!M104+'Hunters Run RV Estates (hu116)'!M217+'Jade Isle (ja068)'!M46+'Jade Isle MHC'!M48+'Kakusha Estates (ka045)'!M52+'Kakusha MHC'!M51+'Lakeside Village'!M57+'Lakeside Village (la482)'!M59+'Lakewood Village (la481)'!M118+'Lakewood Village MHC LLC'!M138+'Maple Corner'!M71+'Maple Corner (ma490)'!M61+'Marlboro Court (ma489)'!M49+'Marlboro Court MHC LLC'!M49+'May Manor'!M153+'May Manor (ma488)'!M85+'Mobiland by the Sea (mo320)'!M54+'Mobiland By The Sea MHC'!M55+'Moss Landing'!M82+'Moss Landing (mo321)'!M74+'Oak Springs'!M86+'Oak Springs MHC (oa150)'!M62+'Orange Manor East'!M51+'Orange Manor East (or125)'!M54+'Pacific Manor'!M60+'Pacific Manor (pa602)'!M62+Parkhaven!M117+Ridgecrest!M67+Riverest!M61+'Riverview MHRV LLC'!M64+Rosehaven!M129+'Sanctuary RV Resort'!M241+'Shadow Mountain MHC'!M48+Springhaven!M48+'Star Valley Ranch'!M59+Sunhaven!M55+'Sunny Grove'!M54+Tarponaire!M58+'Val Vista RV Resort'!M87+'Webster RV Resort LLC'!M74+'Wekiva Falls RV Resort'!M98+'West Jupiter RV Resort'!M55+'Western Way RV Resort LLC'!M147</f>
      </c>
      <c r="N27" s="25">
        <f>'Agave Village (ag011)'!N80+'Agave Village LLC'!N69+'Brookhaven Estates (bo260)'!N62+'Brookhaven RV Resort'!N58+'Courtly Manor'!N51+'Courtly Manor Park (co669)'!N52+'Cross Creek RV'!N147+'Cross Creek RV Resort (cr994)'!N153+'El Rio De Oro (el289)'!N49+'El Rio del Oro'!N52+'Endless Summer RV Resort'!N70+'Endless Summer RV Resort (en079'!N62+Evergreen!N49+'Far Horizons'!N49+'Far Horizons (fa105)'!N49+'Floridian Sandalwood (fl356)'!N46+'Floridian Sandalwood MHC'!N50+Glenhaven!N54+'Glenhaven Estates (gl317)'!N54+'Harbor Lights (ha310)'!N55+'Harbor Lights MHC'!N53+'Harvest Gate'!N63+'Hunter Run RV Estates'!N104+'Hunters Run RV Estates (hu116)'!N217+'Jade Isle (ja068)'!N46+'Jade Isle MHC'!N48+'Kakusha Estates (ka045)'!N52+'Kakusha MHC'!N51+'Lakeside Village'!N57+'Lakeside Village (la482)'!N59+'Lakewood Village (la481)'!N118+'Lakewood Village MHC LLC'!N138+'Maple Corner'!N71+'Maple Corner (ma490)'!N61+'Marlboro Court (ma489)'!N49+'Marlboro Court MHC LLC'!N49+'May Manor'!N153+'May Manor (ma488)'!N85+'Mobiland by the Sea (mo320)'!N54+'Mobiland By The Sea MHC'!N55+'Moss Landing'!N82+'Moss Landing (mo321)'!N74+'Oak Springs'!N86+'Oak Springs MHC (oa150)'!N62+'Orange Manor East'!N51+'Orange Manor East (or125)'!N54+'Pacific Manor'!N60+'Pacific Manor (pa602)'!N62+Parkhaven!N117+Ridgecrest!N67+Riverest!N61+'Riverview MHRV LLC'!N64+Rosehaven!N129+'Sanctuary RV Resort'!N241+'Shadow Mountain MHC'!N48+Springhaven!N48+'Star Valley Ranch'!N59+Sunhaven!N55+'Sunny Grove'!N54+Tarponaire!N58+'Val Vista RV Resort'!N87+'Webster RV Resort LLC'!N74+'Wekiva Falls RV Resort'!N98+'West Jupiter RV Resort'!N55+'Western Way RV Resort LLC'!N147</f>
      </c>
      <c r="O27" s="25">
        <f>'Agave Village (ag011)'!O80+'Agave Village LLC'!O69+'Brookhaven Estates (bo260)'!O62+'Brookhaven RV Resort'!O58+'Courtly Manor'!O51+'Courtly Manor Park (co669)'!O52+'Cross Creek RV'!O147+'Cross Creek RV Resort (cr994)'!O153+'El Rio De Oro (el289)'!O49+'El Rio del Oro'!O52+'Endless Summer RV Resort'!O70+'Endless Summer RV Resort (en079'!O62+Evergreen!O49+'Far Horizons'!O49+'Far Horizons (fa105)'!O49+'Floridian Sandalwood (fl356)'!O46+'Floridian Sandalwood MHC'!O50+Glenhaven!O54+'Glenhaven Estates (gl317)'!O54+'Harbor Lights (ha310)'!O55+'Harbor Lights MHC'!O53+'Harvest Gate'!O63+'Hunter Run RV Estates'!O104+'Hunters Run RV Estates (hu116)'!O217+'Jade Isle (ja068)'!O46+'Jade Isle MHC'!O48+'Kakusha Estates (ka045)'!O52+'Kakusha MHC'!O51+'Lakeside Village'!O57+'Lakeside Village (la482)'!O59+'Lakewood Village (la481)'!O118+'Lakewood Village MHC LLC'!O138+'Maple Corner'!O71+'Maple Corner (ma490)'!O61+'Marlboro Court (ma489)'!O49+'Marlboro Court MHC LLC'!O49+'May Manor'!O153+'May Manor (ma488)'!O85+'Mobiland by the Sea (mo320)'!O54+'Mobiland By The Sea MHC'!O55+'Moss Landing'!O82+'Moss Landing (mo321)'!O74+'Oak Springs'!O86+'Oak Springs MHC (oa150)'!O62+'Orange Manor East'!O51+'Orange Manor East (or125)'!O54+'Pacific Manor'!O60+'Pacific Manor (pa602)'!O62+Parkhaven!O117+Ridgecrest!O67+Riverest!O61+'Riverview MHRV LLC'!O64+Rosehaven!O129+'Sanctuary RV Resort'!O241+'Shadow Mountain MHC'!O48+Springhaven!O48+'Star Valley Ranch'!O59+Sunhaven!O55+'Sunny Grove'!O54+Tarponaire!O58+'Val Vista RV Resort'!O87+'Webster RV Resort LLC'!O74+'Wekiva Falls RV Resort'!O98+'West Jupiter RV Resort'!O55+'Western Way RV Resort LLC'!O147</f>
      </c>
      <c r="P27" s="25">
        <f>'Agave Village (ag011)'!P80+'Agave Village LLC'!P69+'Brookhaven Estates (bo260)'!P62+'Brookhaven RV Resort'!P58+'Courtly Manor'!P51+'Courtly Manor Park (co669)'!P52+'Cross Creek RV'!P147+'Cross Creek RV Resort (cr994)'!P153+'El Rio De Oro (el289)'!P49+'El Rio del Oro'!P52+'Endless Summer RV Resort'!P70+'Endless Summer RV Resort (en079'!P62+Evergreen!P49+'Far Horizons'!P49+'Far Horizons (fa105)'!P49+'Floridian Sandalwood (fl356)'!P46+'Floridian Sandalwood MHC'!P50+Glenhaven!P54+'Glenhaven Estates (gl317)'!P54+'Harbor Lights (ha310)'!P55+'Harbor Lights MHC'!P53+'Harvest Gate'!P63+'Hunter Run RV Estates'!P104+'Hunters Run RV Estates (hu116)'!P217+'Jade Isle (ja068)'!P46+'Jade Isle MHC'!P48+'Kakusha Estates (ka045)'!P52+'Kakusha MHC'!P51+'Lakeside Village'!P57+'Lakeside Village (la482)'!P59+'Lakewood Village (la481)'!P118+'Lakewood Village MHC LLC'!P138+'Maple Corner'!P71+'Maple Corner (ma490)'!P61+'Marlboro Court (ma489)'!P49+'Marlboro Court MHC LLC'!P49+'May Manor'!P153+'May Manor (ma488)'!P85+'Mobiland by the Sea (mo320)'!P54+'Mobiland By The Sea MHC'!P55+'Moss Landing'!P82+'Moss Landing (mo321)'!P74+'Oak Springs'!P86+'Oak Springs MHC (oa150)'!P62+'Orange Manor East'!P51+'Orange Manor East (or125)'!P54+'Pacific Manor'!P60+'Pacific Manor (pa602)'!P62+Parkhaven!P117+Ridgecrest!P67+Riverest!P61+'Riverview MHRV LLC'!P64+Rosehaven!P129+'Sanctuary RV Resort'!P241+'Shadow Mountain MHC'!P48+Springhaven!P48+'Star Valley Ranch'!P59+Sunhaven!P55+'Sunny Grove'!P54+Tarponaire!P58+'Val Vista RV Resort'!P87+'Webster RV Resort LLC'!P74+'Wekiva Falls RV Resort'!P98+'West Jupiter RV Resort'!P55+'Western Way RV Resort LLC'!P147</f>
      </c>
      <c r="Q27" s="25">
        <f>'Agave Village (ag011)'!Q80+'Agave Village LLC'!Q69+'Brookhaven Estates (bo260)'!Q62+'Brookhaven RV Resort'!Q58+'Courtly Manor'!Q51+'Courtly Manor Park (co669)'!Q52+'Cross Creek RV'!Q147+'Cross Creek RV Resort (cr994)'!Q153+'El Rio De Oro (el289)'!Q49+'El Rio del Oro'!Q52+'Endless Summer RV Resort'!Q70+'Endless Summer RV Resort (en079'!Q62+Evergreen!Q49+'Far Horizons'!Q49+'Far Horizons (fa105)'!Q49+'Floridian Sandalwood (fl356)'!Q46+'Floridian Sandalwood MHC'!Q50+Glenhaven!Q54+'Glenhaven Estates (gl317)'!Q54+'Harbor Lights (ha310)'!Q55+'Harbor Lights MHC'!Q53+'Harvest Gate'!Q63+'Hunter Run RV Estates'!Q104+'Hunters Run RV Estates (hu116)'!Q217+'Jade Isle (ja068)'!Q46+'Jade Isle MHC'!Q48+'Kakusha Estates (ka045)'!Q52+'Kakusha MHC'!Q51+'Lakeside Village'!Q57+'Lakeside Village (la482)'!Q59+'Lakewood Village (la481)'!Q118+'Lakewood Village MHC LLC'!Q138+'Maple Corner'!Q71+'Maple Corner (ma490)'!Q61+'Marlboro Court (ma489)'!Q49+'Marlboro Court MHC LLC'!Q49+'May Manor'!Q153+'May Manor (ma488)'!Q85+'Mobiland by the Sea (mo320)'!Q54+'Mobiland By The Sea MHC'!Q55+'Moss Landing'!Q82+'Moss Landing (mo321)'!Q74+'Oak Springs'!Q86+'Oak Springs MHC (oa150)'!Q62+'Orange Manor East'!Q51+'Orange Manor East (or125)'!Q54+'Pacific Manor'!Q60+'Pacific Manor (pa602)'!Q62+Parkhaven!Q117+Ridgecrest!Q67+Riverest!Q61+'Riverview MHRV LLC'!Q64+Rosehaven!Q129+'Sanctuary RV Resort'!Q241+'Shadow Mountain MHC'!Q48+Springhaven!Q48+'Star Valley Ranch'!Q59+Sunhaven!Q55+'Sunny Grove'!Q54+Tarponaire!Q58+'Val Vista RV Resort'!Q87+'Webster RV Resort LLC'!Q74+'Wekiva Falls RV Resort'!Q98+'West Jupiter RV Resort'!Q55+'Western Way RV Resort LLC'!Q147</f>
      </c>
      <c r="R27" s="25">
        <f>'Agave Village (ag011)'!R80+'Agave Village LLC'!R69+'Brookhaven Estates (bo260)'!R62+'Brookhaven RV Resort'!R58+'Courtly Manor'!R51+'Courtly Manor Park (co669)'!R52+'Cross Creek RV'!R147+'Cross Creek RV Resort (cr994)'!R153+'El Rio De Oro (el289)'!R49+'El Rio del Oro'!R52+'Endless Summer RV Resort'!R70+'Endless Summer RV Resort (en079'!R62+Evergreen!R49+'Far Horizons'!R49+'Far Horizons (fa105)'!R49+'Floridian Sandalwood (fl356)'!R46+'Floridian Sandalwood MHC'!R50+Glenhaven!R54+'Glenhaven Estates (gl317)'!R54+'Harbor Lights (ha310)'!R55+'Harbor Lights MHC'!R53+'Harvest Gate'!R63+'Hunter Run RV Estates'!R104+'Hunters Run RV Estates (hu116)'!R217+'Jade Isle (ja068)'!R46+'Jade Isle MHC'!R48+'Kakusha Estates (ka045)'!R52+'Kakusha MHC'!R51+'Lakeside Village'!R57+'Lakeside Village (la482)'!R59+'Lakewood Village (la481)'!R118+'Lakewood Village MHC LLC'!R138+'Maple Corner'!R71+'Maple Corner (ma490)'!R61+'Marlboro Court (ma489)'!R49+'Marlboro Court MHC LLC'!R49+'May Manor'!R153+'May Manor (ma488)'!R85+'Mobiland by the Sea (mo320)'!R54+'Mobiland By The Sea MHC'!R55+'Moss Landing'!R82+'Moss Landing (mo321)'!R74+'Oak Springs'!R86+'Oak Springs MHC (oa150)'!R62+'Orange Manor East'!R51+'Orange Manor East (or125)'!R54+'Pacific Manor'!R60+'Pacific Manor (pa602)'!R62+Parkhaven!R117+Ridgecrest!R67+Riverest!R61+'Riverview MHRV LLC'!R64+Rosehaven!R129+'Sanctuary RV Resort'!R241+'Shadow Mountain MHC'!R48+Springhaven!R48+'Star Valley Ranch'!R59+Sunhaven!R55+'Sunny Grove'!R54+Tarponaire!R58+'Val Vista RV Resort'!R87+'Webster RV Resort LLC'!R74+'Wekiva Falls RV Resort'!R98+'West Jupiter RV Resort'!R55+'Western Way RV Resort LLC'!R147</f>
      </c>
      <c r="S27" s="25">
        <f>'Agave Village (ag011)'!S80+'Agave Village LLC'!S69+'Brookhaven Estates (bo260)'!S62+'Brookhaven RV Resort'!S58+'Courtly Manor'!S51+'Courtly Manor Park (co669)'!S52+'Cross Creek RV'!S147+'Cross Creek RV Resort (cr994)'!S153+'El Rio De Oro (el289)'!S49+'El Rio del Oro'!S52+'Endless Summer RV Resort'!S70+'Endless Summer RV Resort (en079'!S62+Evergreen!S49+'Far Horizons'!S49+'Far Horizons (fa105)'!S49+'Floridian Sandalwood (fl356)'!S46+'Floridian Sandalwood MHC'!S50+Glenhaven!S54+'Glenhaven Estates (gl317)'!S54+'Harbor Lights (ha310)'!S55+'Harbor Lights MHC'!S53+'Harvest Gate'!S63+'Hunter Run RV Estates'!S104+'Hunters Run RV Estates (hu116)'!S217+'Jade Isle (ja068)'!S46+'Jade Isle MHC'!S48+'Kakusha Estates (ka045)'!S52+'Kakusha MHC'!S51+'Lakeside Village'!S57+'Lakeside Village (la482)'!S59+'Lakewood Village (la481)'!S118+'Lakewood Village MHC LLC'!S138+'Maple Corner'!S71+'Maple Corner (ma490)'!S61+'Marlboro Court (ma489)'!S49+'Marlboro Court MHC LLC'!S49+'May Manor'!S153+'May Manor (ma488)'!S85+'Mobiland by the Sea (mo320)'!S54+'Mobiland By The Sea MHC'!S55+'Moss Landing'!S82+'Moss Landing (mo321)'!S74+'Oak Springs'!S86+'Oak Springs MHC (oa150)'!S62+'Orange Manor East'!S51+'Orange Manor East (or125)'!S54+'Pacific Manor'!S60+'Pacific Manor (pa602)'!S62+Parkhaven!S117+Ridgecrest!S67+Riverest!S61+'Riverview MHRV LLC'!S64+Rosehaven!S129+'Sanctuary RV Resort'!S241+'Shadow Mountain MHC'!S48+Springhaven!S48+'Star Valley Ranch'!S59+Sunhaven!S55+'Sunny Grove'!S54+Tarponaire!S58+'Val Vista RV Resort'!S87+'Webster RV Resort LLC'!S74+'Wekiva Falls RV Resort'!S98+'West Jupiter RV Resort'!S55+'Western Way RV Resort LLC'!S147</f>
      </c>
      <c r="T27" s="25">
        <f>'Agave Village (ag011)'!T80+'Agave Village LLC'!T69+'Brookhaven Estates (bo260)'!T62+'Brookhaven RV Resort'!T58+'Courtly Manor'!T51+'Courtly Manor Park (co669)'!T52+'Cross Creek RV'!T147+'Cross Creek RV Resort (cr994)'!T153+'El Rio De Oro (el289)'!T49+'El Rio del Oro'!T52+'Endless Summer RV Resort'!T70+'Endless Summer RV Resort (en079'!T62+Evergreen!T49+'Far Horizons'!T49+'Far Horizons (fa105)'!T49+'Floridian Sandalwood (fl356)'!T46+'Floridian Sandalwood MHC'!T50+Glenhaven!T54+'Glenhaven Estates (gl317)'!T54+'Harbor Lights (ha310)'!T55+'Harbor Lights MHC'!T53+'Harvest Gate'!T63+'Hunter Run RV Estates'!T104+'Hunters Run RV Estates (hu116)'!T217+'Jade Isle (ja068)'!T46+'Jade Isle MHC'!T48+'Kakusha Estates (ka045)'!T52+'Kakusha MHC'!T51+'Lakeside Village'!T57+'Lakeside Village (la482)'!T59+'Lakewood Village (la481)'!T118+'Lakewood Village MHC LLC'!T138+'Maple Corner'!T71+'Maple Corner (ma490)'!T61+'Marlboro Court (ma489)'!T49+'Marlboro Court MHC LLC'!T49+'May Manor'!T153+'May Manor (ma488)'!T85+'Mobiland by the Sea (mo320)'!T54+'Mobiland By The Sea MHC'!T55+'Moss Landing'!T82+'Moss Landing (mo321)'!T74+'Oak Springs'!T86+'Oak Springs MHC (oa150)'!T62+'Orange Manor East'!T51+'Orange Manor East (or125)'!T54+'Pacific Manor'!T60+'Pacific Manor (pa602)'!T62+Parkhaven!T117+Ridgecrest!T67+Riverest!T61+'Riverview MHRV LLC'!T64+Rosehaven!T129+'Sanctuary RV Resort'!T241+'Shadow Mountain MHC'!T48+Springhaven!T48+'Star Valley Ranch'!T59+Sunhaven!T55+'Sunny Grove'!T54+Tarponaire!T58+'Val Vista RV Resort'!T87+'Webster RV Resort LLC'!T74+'Wekiva Falls RV Resort'!T98+'West Jupiter RV Resort'!T55+'Western Way RV Resort LLC'!T147</f>
      </c>
      <c r="U27" s="25">
        <f>'Agave Village (ag011)'!U80+'Agave Village LLC'!U69+'Brookhaven Estates (bo260)'!U62+'Brookhaven RV Resort'!U58+'Courtly Manor'!U51+'Courtly Manor Park (co669)'!U52+'Cross Creek RV'!U147+'Cross Creek RV Resort (cr994)'!U153+'El Rio De Oro (el289)'!U49+'El Rio del Oro'!U52+'Endless Summer RV Resort'!U70+'Endless Summer RV Resort (en079'!U62+Evergreen!U49+'Far Horizons'!U49+'Far Horizons (fa105)'!U49+'Floridian Sandalwood (fl356)'!U46+'Floridian Sandalwood MHC'!U50+Glenhaven!U54+'Glenhaven Estates (gl317)'!U54+'Harbor Lights (ha310)'!U55+'Harbor Lights MHC'!U53+'Harvest Gate'!U63+'Hunter Run RV Estates'!U104+'Hunters Run RV Estates (hu116)'!U217+'Jade Isle (ja068)'!U46+'Jade Isle MHC'!U48+'Kakusha Estates (ka045)'!U52+'Kakusha MHC'!U51+'Lakeside Village'!U57+'Lakeside Village (la482)'!U59+'Lakewood Village (la481)'!U118+'Lakewood Village MHC LLC'!U138+'Maple Corner'!U71+'Maple Corner (ma490)'!U61+'Marlboro Court (ma489)'!U49+'Marlboro Court MHC LLC'!U49+'May Manor'!U153+'May Manor (ma488)'!U85+'Mobiland by the Sea (mo320)'!U54+'Mobiland By The Sea MHC'!U55+'Moss Landing'!U82+'Moss Landing (mo321)'!U74+'Oak Springs'!U86+'Oak Springs MHC (oa150)'!U62+'Orange Manor East'!U51+'Orange Manor East (or125)'!U54+'Pacific Manor'!U60+'Pacific Manor (pa602)'!U62+Parkhaven!U117+Ridgecrest!U67+Riverest!U61+'Riverview MHRV LLC'!U64+Rosehaven!U129+'Sanctuary RV Resort'!U241+'Shadow Mountain MHC'!U48+Springhaven!U48+'Star Valley Ranch'!U59+Sunhaven!U55+'Sunny Grove'!U54+Tarponaire!U58+'Val Vista RV Resort'!U87+'Webster RV Resort LLC'!U74+'Wekiva Falls RV Resort'!U98+'West Jupiter RV Resort'!U55+'Western Way RV Resort LLC'!U147</f>
      </c>
      <c r="V27" s="25">
        <f>'Agave Village (ag011)'!V80+'Agave Village LLC'!V69+'Brookhaven Estates (bo260)'!V62+'Brookhaven RV Resort'!V58+'Courtly Manor'!V51+'Courtly Manor Park (co669)'!V52+'Cross Creek RV'!V147+'Cross Creek RV Resort (cr994)'!V153+'El Rio De Oro (el289)'!V49+'El Rio del Oro'!V52+'Endless Summer RV Resort'!V70+'Endless Summer RV Resort (en079'!V62+Evergreen!V49+'Far Horizons'!V49+'Far Horizons (fa105)'!V49+'Floridian Sandalwood (fl356)'!V46+'Floridian Sandalwood MHC'!V50+Glenhaven!V54+'Glenhaven Estates (gl317)'!V54+'Harbor Lights (ha310)'!V55+'Harbor Lights MHC'!V53+'Harvest Gate'!V63+'Hunter Run RV Estates'!V104+'Hunters Run RV Estates (hu116)'!V217+'Jade Isle (ja068)'!V46+'Jade Isle MHC'!V48+'Kakusha Estates (ka045)'!V52+'Kakusha MHC'!V51+'Lakeside Village'!V57+'Lakeside Village (la482)'!V59+'Lakewood Village (la481)'!V118+'Lakewood Village MHC LLC'!V138+'Maple Corner'!V71+'Maple Corner (ma490)'!V61+'Marlboro Court (ma489)'!V49+'Marlboro Court MHC LLC'!V49+'May Manor'!V153+'May Manor (ma488)'!V85+'Mobiland by the Sea (mo320)'!V54+'Mobiland By The Sea MHC'!V55+'Moss Landing'!V82+'Moss Landing (mo321)'!V74+'Oak Springs'!V86+'Oak Springs MHC (oa150)'!V62+'Orange Manor East'!V51+'Orange Manor East (or125)'!V54+'Pacific Manor'!V60+'Pacific Manor (pa602)'!V62+Parkhaven!V117+Ridgecrest!V67+Riverest!V61+'Riverview MHRV LLC'!V64+Rosehaven!V129+'Sanctuary RV Resort'!V241+'Shadow Mountain MHC'!V48+Springhaven!V48+'Star Valley Ranch'!V59+Sunhaven!V55+'Sunny Grove'!V54+Tarponaire!V58+'Val Vista RV Resort'!V87+'Webster RV Resort LLC'!V74+'Wekiva Falls RV Resort'!V98+'West Jupiter RV Resort'!V55+'Western Way RV Resort LLC'!V147</f>
      </c>
      <c r="W27" s="25">
        <f>'Agave Village (ag011)'!W80+'Agave Village LLC'!W69+'Brookhaven Estates (bo260)'!W62+'Brookhaven RV Resort'!W58+'Courtly Manor'!W51+'Courtly Manor Park (co669)'!W52+'Cross Creek RV'!W147+'Cross Creek RV Resort (cr994)'!W153+'El Rio De Oro (el289)'!W49+'El Rio del Oro'!W52+'Endless Summer RV Resort'!W70+'Endless Summer RV Resort (en079'!W62+Evergreen!W49+'Far Horizons'!W49+'Far Horizons (fa105)'!W49+'Floridian Sandalwood (fl356)'!W46+'Floridian Sandalwood MHC'!W50+Glenhaven!W54+'Glenhaven Estates (gl317)'!W54+'Harbor Lights (ha310)'!W55+'Harbor Lights MHC'!W53+'Harvest Gate'!W63+'Hunter Run RV Estates'!W104+'Hunters Run RV Estates (hu116)'!W217+'Jade Isle (ja068)'!W46+'Jade Isle MHC'!W48+'Kakusha Estates (ka045)'!W52+'Kakusha MHC'!W51+'Lakeside Village'!W57+'Lakeside Village (la482)'!W59+'Lakewood Village (la481)'!W118+'Lakewood Village MHC LLC'!W138+'Maple Corner'!W71+'Maple Corner (ma490)'!W61+'Marlboro Court (ma489)'!W49+'Marlboro Court MHC LLC'!W49+'May Manor'!W153+'May Manor (ma488)'!W85+'Mobiland by the Sea (mo320)'!W54+'Mobiland By The Sea MHC'!W55+'Moss Landing'!W82+'Moss Landing (mo321)'!W74+'Oak Springs'!W86+'Oak Springs MHC (oa150)'!W62+'Orange Manor East'!W51+'Orange Manor East (or125)'!W54+'Pacific Manor'!W60+'Pacific Manor (pa602)'!W62+Parkhaven!W117+Ridgecrest!W67+Riverest!W61+'Riverview MHRV LLC'!W64+Rosehaven!W129+'Sanctuary RV Resort'!W241+'Shadow Mountain MHC'!W48+Springhaven!W48+'Star Valley Ranch'!W59+Sunhaven!W55+'Sunny Grove'!W54+Tarponaire!W58+'Val Vista RV Resort'!W87+'Webster RV Resort LLC'!W74+'Wekiva Falls RV Resort'!W98+'West Jupiter RV Resort'!W55+'Western Way RV Resort LLC'!W147</f>
      </c>
      <c r="X27" s="25">
        <f>'Agave Village (ag011)'!X80+'Agave Village LLC'!X69+'Brookhaven Estates (bo260)'!X62+'Brookhaven RV Resort'!X58+'Courtly Manor'!X51+'Courtly Manor Park (co669)'!X52+'Cross Creek RV'!X147+'Cross Creek RV Resort (cr994)'!X153+'El Rio De Oro (el289)'!X49+'El Rio del Oro'!X52+'Endless Summer RV Resort'!X70+'Endless Summer RV Resort (en079'!X62+Evergreen!X49+'Far Horizons'!X49+'Far Horizons (fa105)'!X49+'Floridian Sandalwood (fl356)'!X46+'Floridian Sandalwood MHC'!X50+Glenhaven!X54+'Glenhaven Estates (gl317)'!X54+'Harbor Lights (ha310)'!X55+'Harbor Lights MHC'!X53+'Harvest Gate'!X63+'Hunter Run RV Estates'!X104+'Hunters Run RV Estates (hu116)'!X217+'Jade Isle (ja068)'!X46+'Jade Isle MHC'!X48+'Kakusha Estates (ka045)'!X52+'Kakusha MHC'!X51+'Lakeside Village'!X57+'Lakeside Village (la482)'!X59+'Lakewood Village (la481)'!X118+'Lakewood Village MHC LLC'!X138+'Maple Corner'!X71+'Maple Corner (ma490)'!X61+'Marlboro Court (ma489)'!X49+'Marlboro Court MHC LLC'!X49+'May Manor'!X153+'May Manor (ma488)'!X85+'Mobiland by the Sea (mo320)'!X54+'Mobiland By The Sea MHC'!X55+'Moss Landing'!X82+'Moss Landing (mo321)'!X74+'Oak Springs'!X86+'Oak Springs MHC (oa150)'!X62+'Orange Manor East'!X51+'Orange Manor East (or125)'!X54+'Pacific Manor'!X60+'Pacific Manor (pa602)'!X62+Parkhaven!X117+Ridgecrest!X67+Riverest!X61+'Riverview MHRV LLC'!X64+Rosehaven!X129+'Sanctuary RV Resort'!X241+'Shadow Mountain MHC'!X48+Springhaven!X48+'Star Valley Ranch'!X59+Sunhaven!X55+'Sunny Grove'!X54+Tarponaire!X58+'Val Vista RV Resort'!X87+'Webster RV Resort LLC'!X74+'Wekiva Falls RV Resort'!X98+'West Jupiter RV Resort'!X55+'Western Way RV Resort LLC'!X147</f>
      </c>
      <c r="Y27" s="25">
        <f>'Agave Village (ag011)'!Y80+'Agave Village LLC'!Y69+'Brookhaven Estates (bo260)'!Y62+'Brookhaven RV Resort'!Y58+'Courtly Manor'!Y51+'Courtly Manor Park (co669)'!Y52+'Cross Creek RV'!Y147+'Cross Creek RV Resort (cr994)'!Y153+'El Rio De Oro (el289)'!Y49+'El Rio del Oro'!Y52+'Endless Summer RV Resort'!Y70+'Endless Summer RV Resort (en079'!Y62+Evergreen!Y49+'Far Horizons'!Y49+'Far Horizons (fa105)'!Y49+'Floridian Sandalwood (fl356)'!Y46+'Floridian Sandalwood MHC'!Y50+Glenhaven!Y54+'Glenhaven Estates (gl317)'!Y54+'Harbor Lights (ha310)'!Y55+'Harbor Lights MHC'!Y53+'Harvest Gate'!Y63+'Hunter Run RV Estates'!Y104+'Hunters Run RV Estates (hu116)'!Y217+'Jade Isle (ja068)'!Y46+'Jade Isle MHC'!Y48+'Kakusha Estates (ka045)'!Y52+'Kakusha MHC'!Y51+'Lakeside Village'!Y57+'Lakeside Village (la482)'!Y59+'Lakewood Village (la481)'!Y118+'Lakewood Village MHC LLC'!Y138+'Maple Corner'!Y71+'Maple Corner (ma490)'!Y61+'Marlboro Court (ma489)'!Y49+'Marlboro Court MHC LLC'!Y49+'May Manor'!Y153+'May Manor (ma488)'!Y85+'Mobiland by the Sea (mo320)'!Y54+'Mobiland By The Sea MHC'!Y55+'Moss Landing'!Y82+'Moss Landing (mo321)'!Y74+'Oak Springs'!Y86+'Oak Springs MHC (oa150)'!Y62+'Orange Manor East'!Y51+'Orange Manor East (or125)'!Y54+'Pacific Manor'!Y60+'Pacific Manor (pa602)'!Y62+Parkhaven!Y117+Ridgecrest!Y67+Riverest!Y61+'Riverview MHRV LLC'!Y64+Rosehaven!Y129+'Sanctuary RV Resort'!Y241+'Shadow Mountain MHC'!Y48+Springhaven!Y48+'Star Valley Ranch'!Y59+Sunhaven!Y55+'Sunny Grove'!Y54+Tarponaire!Y58+'Val Vista RV Resort'!Y87+'Webster RV Resort LLC'!Y74+'Wekiva Falls RV Resort'!Y98+'West Jupiter RV Resort'!Y55+'Western Way RV Resort LLC'!Y147</f>
      </c>
      <c r="Z27" s="25">
        <f>'Agave Village (ag011)'!Z80+'Agave Village LLC'!Z69+'Brookhaven Estates (bo260)'!Z62+'Brookhaven RV Resort'!Z58+'Courtly Manor'!Z51+'Courtly Manor Park (co669)'!Z52+'Cross Creek RV'!Z147+'Cross Creek RV Resort (cr994)'!Z153+'El Rio De Oro (el289)'!Z49+'El Rio del Oro'!Z52+'Endless Summer RV Resort'!Z70+'Endless Summer RV Resort (en079'!Z62+Evergreen!Z49+'Far Horizons'!Z49+'Far Horizons (fa105)'!Z49+'Floridian Sandalwood (fl356)'!Z46+'Floridian Sandalwood MHC'!Z50+Glenhaven!Z54+'Glenhaven Estates (gl317)'!Z54+'Harbor Lights (ha310)'!Z55+'Harbor Lights MHC'!Z53+'Harvest Gate'!Z63+'Hunter Run RV Estates'!Z104+'Hunters Run RV Estates (hu116)'!Z217+'Jade Isle (ja068)'!Z46+'Jade Isle MHC'!Z48+'Kakusha Estates (ka045)'!Z52+'Kakusha MHC'!Z51+'Lakeside Village'!Z57+'Lakeside Village (la482)'!Z59+'Lakewood Village (la481)'!Z118+'Lakewood Village MHC LLC'!Z138+'Maple Corner'!Z71+'Maple Corner (ma490)'!Z61+'Marlboro Court (ma489)'!Z49+'Marlboro Court MHC LLC'!Z49+'May Manor'!Z153+'May Manor (ma488)'!Z85+'Mobiland by the Sea (mo320)'!Z54+'Mobiland By The Sea MHC'!Z55+'Moss Landing'!Z82+'Moss Landing (mo321)'!Z74+'Oak Springs'!Z86+'Oak Springs MHC (oa150)'!Z62+'Orange Manor East'!Z51+'Orange Manor East (or125)'!Z54+'Pacific Manor'!Z60+'Pacific Manor (pa602)'!Z62+Parkhaven!Z117+Ridgecrest!Z67+Riverest!Z61+'Riverview MHRV LLC'!Z64+Rosehaven!Z129+'Sanctuary RV Resort'!Z241+'Shadow Mountain MHC'!Z48+Springhaven!Z48+'Star Valley Ranch'!Z59+Sunhaven!Z55+'Sunny Grove'!Z54+Tarponaire!Z58+'Val Vista RV Resort'!Z87+'Webster RV Resort LLC'!Z74+'Wekiva Falls RV Resort'!Z98+'West Jupiter RV Resort'!Z55+'Western Way RV Resort LLC'!Z147</f>
      </c>
      <c r="AA27" s="25">
        <f>'Agave Village (ag011)'!AA80+'Agave Village LLC'!AA69+'Brookhaven Estates (bo260)'!AA62+'Brookhaven RV Resort'!AA58+'Courtly Manor'!AA51+'Courtly Manor Park (co669)'!AA52+'Cross Creek RV'!AA147+'Cross Creek RV Resort (cr994)'!AA153+'El Rio De Oro (el289)'!AA49+'El Rio del Oro'!AA52+'Endless Summer RV Resort'!AA70+'Endless Summer RV Resort (en079'!AA62+Evergreen!AA49+'Far Horizons'!AA49+'Far Horizons (fa105)'!AA49+'Floridian Sandalwood (fl356)'!AA46+'Floridian Sandalwood MHC'!AA50+Glenhaven!AA54+'Glenhaven Estates (gl317)'!AA54+'Harbor Lights (ha310)'!AA55+'Harbor Lights MHC'!AA53+'Harvest Gate'!AA63+'Hunter Run RV Estates'!AA104+'Hunters Run RV Estates (hu116)'!AA217+'Jade Isle (ja068)'!AA46+'Jade Isle MHC'!AA48+'Kakusha Estates (ka045)'!AA52+'Kakusha MHC'!AA51+'Lakeside Village'!AA57+'Lakeside Village (la482)'!AA59+'Lakewood Village (la481)'!AA118+'Lakewood Village MHC LLC'!AA138+'Maple Corner'!AA71+'Maple Corner (ma490)'!AA61+'Marlboro Court (ma489)'!AA49+'Marlboro Court MHC LLC'!AA49+'May Manor'!AA153+'May Manor (ma488)'!AA85+'Mobiland by the Sea (mo320)'!AA54+'Mobiland By The Sea MHC'!AA55+'Moss Landing'!AA82+'Moss Landing (mo321)'!AA74+'Oak Springs'!AA86+'Oak Springs MHC (oa150)'!AA62+'Orange Manor East'!AA51+'Orange Manor East (or125)'!AA54+'Pacific Manor'!AA60+'Pacific Manor (pa602)'!AA62+Parkhaven!AA117+Ridgecrest!AA67+Riverest!AA61+'Riverview MHRV LLC'!AA64+Rosehaven!AA129+'Sanctuary RV Resort'!AA241+'Shadow Mountain MHC'!AA48+Springhaven!AA48+'Star Valley Ranch'!AA59+Sunhaven!AA55+'Sunny Grove'!AA54+Tarponaire!AA58+'Val Vista RV Resort'!AA87+'Webster RV Resort LLC'!AA74+'Wekiva Falls RV Resort'!AA98+'West Jupiter RV Resort'!AA55+'Western Way RV Resort LLC'!AA147</f>
      </c>
      <c r="AB27" s="25">
        <f>'Agave Village (ag011)'!AB80+'Agave Village LLC'!AB69+'Brookhaven Estates (bo260)'!AB62+'Brookhaven RV Resort'!AB58+'Courtly Manor'!AB51+'Courtly Manor Park (co669)'!AB52+'Cross Creek RV'!AB147+'Cross Creek RV Resort (cr994)'!AB153+'El Rio De Oro (el289)'!AB49+'El Rio del Oro'!AB52+'Endless Summer RV Resort'!AB70+'Endless Summer RV Resort (en079'!AB62+Evergreen!AB49+'Far Horizons'!AB49+'Far Horizons (fa105)'!AB49+'Floridian Sandalwood (fl356)'!AB46+'Floridian Sandalwood MHC'!AB50+Glenhaven!AB54+'Glenhaven Estates (gl317)'!AB54+'Harbor Lights (ha310)'!AB55+'Harbor Lights MHC'!AB53+'Harvest Gate'!AB63+'Hunter Run RV Estates'!AB104+'Hunters Run RV Estates (hu116)'!AB217+'Jade Isle (ja068)'!AB46+'Jade Isle MHC'!AB48+'Kakusha Estates (ka045)'!AB52+'Kakusha MHC'!AB51+'Lakeside Village'!AB57+'Lakeside Village (la482)'!AB59+'Lakewood Village (la481)'!AB118+'Lakewood Village MHC LLC'!AB138+'Maple Corner'!AB71+'Maple Corner (ma490)'!AB61+'Marlboro Court (ma489)'!AB49+'Marlboro Court MHC LLC'!AB49+'May Manor'!AB153+'May Manor (ma488)'!AB85+'Mobiland by the Sea (mo320)'!AB54+'Mobiland By The Sea MHC'!AB55+'Moss Landing'!AB82+'Moss Landing (mo321)'!AB74+'Oak Springs'!AB86+'Oak Springs MHC (oa150)'!AB62+'Orange Manor East'!AB51+'Orange Manor East (or125)'!AB54+'Pacific Manor'!AB60+'Pacific Manor (pa602)'!AB62+Parkhaven!AB117+Ridgecrest!AB67+Riverest!AB61+'Riverview MHRV LLC'!AB64+Rosehaven!AB129+'Sanctuary RV Resort'!AB241+'Shadow Mountain MHC'!AB48+Springhaven!AB48+'Star Valley Ranch'!AB59+Sunhaven!AB55+'Sunny Grove'!AB54+Tarponaire!AB58+'Val Vista RV Resort'!AB87+'Webster RV Resort LLC'!AB74+'Wekiva Falls RV Resort'!AB98+'West Jupiter RV Resort'!AB55+'Western Way RV Resort LLC'!AB147</f>
      </c>
      <c r="AC27" s="25">
        <f>'Agave Village (ag011)'!AC80+'Agave Village LLC'!AC69+'Brookhaven Estates (bo260)'!AC62+'Brookhaven RV Resort'!AC58+'Courtly Manor'!AC51+'Courtly Manor Park (co669)'!AC52+'Cross Creek RV'!AC147+'Cross Creek RV Resort (cr994)'!AC153+'El Rio De Oro (el289)'!AC49+'El Rio del Oro'!AC52+'Endless Summer RV Resort'!AC70+'Endless Summer RV Resort (en079'!AC62+Evergreen!AC49+'Far Horizons'!AC49+'Far Horizons (fa105)'!AC49+'Floridian Sandalwood (fl356)'!AC46+'Floridian Sandalwood MHC'!AC50+Glenhaven!AC54+'Glenhaven Estates (gl317)'!AC54+'Harbor Lights (ha310)'!AC55+'Harbor Lights MHC'!AC53+'Harvest Gate'!AC63+'Hunter Run RV Estates'!AC104+'Hunters Run RV Estates (hu116)'!AC217+'Jade Isle (ja068)'!AC46+'Jade Isle MHC'!AC48+'Kakusha Estates (ka045)'!AC52+'Kakusha MHC'!AC51+'Lakeside Village'!AC57+'Lakeside Village (la482)'!AC59+'Lakewood Village (la481)'!AC118+'Lakewood Village MHC LLC'!AC138+'Maple Corner'!AC71+'Maple Corner (ma490)'!AC61+'Marlboro Court (ma489)'!AC49+'Marlboro Court MHC LLC'!AC49+'May Manor'!AC153+'May Manor (ma488)'!AC85+'Mobiland by the Sea (mo320)'!AC54+'Mobiland By The Sea MHC'!AC55+'Moss Landing'!AC82+'Moss Landing (mo321)'!AC74+'Oak Springs'!AC86+'Oak Springs MHC (oa150)'!AC62+'Orange Manor East'!AC51+'Orange Manor East (or125)'!AC54+'Pacific Manor'!AC60+'Pacific Manor (pa602)'!AC62+Parkhaven!AC117+Ridgecrest!AC67+Riverest!AC61+'Riverview MHRV LLC'!AC64+Rosehaven!AC129+'Sanctuary RV Resort'!AC241+'Shadow Mountain MHC'!AC48+Springhaven!AC48+'Star Valley Ranch'!AC59+Sunhaven!AC55+'Sunny Grove'!AC54+Tarponaire!AC58+'Val Vista RV Resort'!AC87+'Webster RV Resort LLC'!AC74+'Wekiva Falls RV Resort'!AC98+'West Jupiter RV Resort'!AC55+'Western Way RV Resort LLC'!AC147</f>
      </c>
      <c r="AD27" s="25">
        <f>'Agave Village (ag011)'!AD80+'Agave Village LLC'!AD69+'Brookhaven Estates (bo260)'!AD62+'Brookhaven RV Resort'!AD58+'Courtly Manor'!AD51+'Courtly Manor Park (co669)'!AD52+'Cross Creek RV'!AD147+'Cross Creek RV Resort (cr994)'!AD153+'El Rio De Oro (el289)'!AD49+'El Rio del Oro'!AD52+'Endless Summer RV Resort'!AD70+'Endless Summer RV Resort (en079'!AD62+Evergreen!AD49+'Far Horizons'!AD49+'Far Horizons (fa105)'!AD49+'Floridian Sandalwood (fl356)'!AD46+'Floridian Sandalwood MHC'!AD50+Glenhaven!AD54+'Glenhaven Estates (gl317)'!AD54+'Harbor Lights (ha310)'!AD55+'Harbor Lights MHC'!AD53+'Harvest Gate'!AD63+'Hunter Run RV Estates'!AD104+'Hunters Run RV Estates (hu116)'!AD217+'Jade Isle (ja068)'!AD46+'Jade Isle MHC'!AD48+'Kakusha Estates (ka045)'!AD52+'Kakusha MHC'!AD51+'Lakeside Village'!AD57+'Lakeside Village (la482)'!AD59+'Lakewood Village (la481)'!AD118+'Lakewood Village MHC LLC'!AD138+'Maple Corner'!AD71+'Maple Corner (ma490)'!AD61+'Marlboro Court (ma489)'!AD49+'Marlboro Court MHC LLC'!AD49+'May Manor'!AD153+'May Manor (ma488)'!AD85+'Mobiland by the Sea (mo320)'!AD54+'Mobiland By The Sea MHC'!AD55+'Moss Landing'!AD82+'Moss Landing (mo321)'!AD74+'Oak Springs'!AD86+'Oak Springs MHC (oa150)'!AD62+'Orange Manor East'!AD51+'Orange Manor East (or125)'!AD54+'Pacific Manor'!AD60+'Pacific Manor (pa602)'!AD62+Parkhaven!AD117+Ridgecrest!AD67+Riverest!AD61+'Riverview MHRV LLC'!AD64+Rosehaven!AD129+'Sanctuary RV Resort'!AD241+'Shadow Mountain MHC'!AD48+Springhaven!AD48+'Star Valley Ranch'!AD59+Sunhaven!AD55+'Sunny Grove'!AD54+Tarponaire!AD58+'Val Vista RV Resort'!AD87+'Webster RV Resort LLC'!AD74+'Wekiva Falls RV Resort'!AD98+'West Jupiter RV Resort'!AD55+'Western Way RV Resort LLC'!AD147</f>
      </c>
      <c r="AE27" s="25">
        <f>'Agave Village (ag011)'!AE80+'Agave Village LLC'!AE69+'Brookhaven Estates (bo260)'!AE62+'Brookhaven RV Resort'!AE58+'Courtly Manor'!AE51+'Courtly Manor Park (co669)'!AE52+'Cross Creek RV'!AE147+'Cross Creek RV Resort (cr994)'!AE153+'El Rio De Oro (el289)'!AE49+'El Rio del Oro'!AE52+'Endless Summer RV Resort'!AE70+'Endless Summer RV Resort (en079'!AE62+Evergreen!AE49+'Far Horizons'!AE49+'Far Horizons (fa105)'!AE49+'Floridian Sandalwood (fl356)'!AE46+'Floridian Sandalwood MHC'!AE50+Glenhaven!AE54+'Glenhaven Estates (gl317)'!AE54+'Harbor Lights (ha310)'!AE55+'Harbor Lights MHC'!AE53+'Harvest Gate'!AE63+'Hunter Run RV Estates'!AE104+'Hunters Run RV Estates (hu116)'!AE217+'Jade Isle (ja068)'!AE46+'Jade Isle MHC'!AE48+'Kakusha Estates (ka045)'!AE52+'Kakusha MHC'!AE51+'Lakeside Village'!AE57+'Lakeside Village (la482)'!AE59+'Lakewood Village (la481)'!AE118+'Lakewood Village MHC LLC'!AE138+'Maple Corner'!AE71+'Maple Corner (ma490)'!AE61+'Marlboro Court (ma489)'!AE49+'Marlboro Court MHC LLC'!AE49+'May Manor'!AE153+'May Manor (ma488)'!AE85+'Mobiland by the Sea (mo320)'!AE54+'Mobiland By The Sea MHC'!AE55+'Moss Landing'!AE82+'Moss Landing (mo321)'!AE74+'Oak Springs'!AE86+'Oak Springs MHC (oa150)'!AE62+'Orange Manor East'!AE51+'Orange Manor East (or125)'!AE54+'Pacific Manor'!AE60+'Pacific Manor (pa602)'!AE62+Parkhaven!AE117+Ridgecrest!AE67+Riverest!AE61+'Riverview MHRV LLC'!AE64+Rosehaven!AE129+'Sanctuary RV Resort'!AE241+'Shadow Mountain MHC'!AE48+Springhaven!AE48+'Star Valley Ranch'!AE59+Sunhaven!AE55+'Sunny Grove'!AE54+Tarponaire!AE58+'Val Vista RV Resort'!AE87+'Webster RV Resort LLC'!AE74+'Wekiva Falls RV Resort'!AE98+'West Jupiter RV Resort'!AE55+'Western Way RV Resort LLC'!AE147</f>
      </c>
      <c r="AF27" s="25">
        <f>'Agave Village (ag011)'!AF80+'Agave Village LLC'!AF69+'Brookhaven Estates (bo260)'!AF62+'Brookhaven RV Resort'!AF58+'Courtly Manor'!AF51+'Courtly Manor Park (co669)'!AF52+'Cross Creek RV'!AF147+'Cross Creek RV Resort (cr994)'!AF153+'El Rio De Oro (el289)'!AF49+'El Rio del Oro'!AF52+'Endless Summer RV Resort'!AF70+'Endless Summer RV Resort (en079'!AF62+Evergreen!AF49+'Far Horizons'!AF49+'Far Horizons (fa105)'!AF49+'Floridian Sandalwood (fl356)'!AF46+'Floridian Sandalwood MHC'!AF50+Glenhaven!AF54+'Glenhaven Estates (gl317)'!AF54+'Harbor Lights (ha310)'!AF55+'Harbor Lights MHC'!AF53+'Harvest Gate'!AF63+'Hunter Run RV Estates'!AF104+'Hunters Run RV Estates (hu116)'!AF217+'Jade Isle (ja068)'!AF46+'Jade Isle MHC'!AF48+'Kakusha Estates (ka045)'!AF52+'Kakusha MHC'!AF51+'Lakeside Village'!AF57+'Lakeside Village (la482)'!AF59+'Lakewood Village (la481)'!AF118+'Lakewood Village MHC LLC'!AF138+'Maple Corner'!AF71+'Maple Corner (ma490)'!AF61+'Marlboro Court (ma489)'!AF49+'Marlboro Court MHC LLC'!AF49+'May Manor'!AF153+'May Manor (ma488)'!AF85+'Mobiland by the Sea (mo320)'!AF54+'Mobiland By The Sea MHC'!AF55+'Moss Landing'!AF82+'Moss Landing (mo321)'!AF74+'Oak Springs'!AF86+'Oak Springs MHC (oa150)'!AF62+'Orange Manor East'!AF51+'Orange Manor East (or125)'!AF54+'Pacific Manor'!AF60+'Pacific Manor (pa602)'!AF62+Parkhaven!AF117+Ridgecrest!AF67+Riverest!AF61+'Riverview MHRV LLC'!AF64+Rosehaven!AF129+'Sanctuary RV Resort'!AF241+'Shadow Mountain MHC'!AF48+Springhaven!AF48+'Star Valley Ranch'!AF59+Sunhaven!AF55+'Sunny Grove'!AF54+Tarponaire!AF58+'Val Vista RV Resort'!AF87+'Webster RV Resort LLC'!AF74+'Wekiva Falls RV Resort'!AF98+'West Jupiter RV Resort'!AF55+'Western Way RV Resort LLC'!AF147</f>
      </c>
      <c r="AG27" s="25">
        <f>'Agave Village (ag011)'!AG80+'Agave Village LLC'!AG69+'Brookhaven Estates (bo260)'!AG62+'Brookhaven RV Resort'!AG58+'Courtly Manor'!AG51+'Courtly Manor Park (co669)'!AG52+'Cross Creek RV'!AG147+'Cross Creek RV Resort (cr994)'!AG153+'El Rio De Oro (el289)'!AG49+'El Rio del Oro'!AG52+'Endless Summer RV Resort'!AG70+'Endless Summer RV Resort (en079'!AG62+Evergreen!AG49+'Far Horizons'!AG49+'Far Horizons (fa105)'!AG49+'Floridian Sandalwood (fl356)'!AG46+'Floridian Sandalwood MHC'!AG50+Glenhaven!AG54+'Glenhaven Estates (gl317)'!AG54+'Harbor Lights (ha310)'!AG55+'Harbor Lights MHC'!AG53+'Harvest Gate'!AG63+'Hunter Run RV Estates'!AG104+'Hunters Run RV Estates (hu116)'!AG217+'Jade Isle (ja068)'!AG46+'Jade Isle MHC'!AG48+'Kakusha Estates (ka045)'!AG52+'Kakusha MHC'!AG51+'Lakeside Village'!AG57+'Lakeside Village (la482)'!AG59+'Lakewood Village (la481)'!AG118+'Lakewood Village MHC LLC'!AG138+'Maple Corner'!AG71+'Maple Corner (ma490)'!AG61+'Marlboro Court (ma489)'!AG49+'Marlboro Court MHC LLC'!AG49+'May Manor'!AG153+'May Manor (ma488)'!AG85+'Mobiland by the Sea (mo320)'!AG54+'Mobiland By The Sea MHC'!AG55+'Moss Landing'!AG82+'Moss Landing (mo321)'!AG74+'Oak Springs'!AG86+'Oak Springs MHC (oa150)'!AG62+'Orange Manor East'!AG51+'Orange Manor East (or125)'!AG54+'Pacific Manor'!AG60+'Pacific Manor (pa602)'!AG62+Parkhaven!AG117+Ridgecrest!AG67+Riverest!AG61+'Riverview MHRV LLC'!AG64+Rosehaven!AG129+'Sanctuary RV Resort'!AG241+'Shadow Mountain MHC'!AG48+Springhaven!AG48+'Star Valley Ranch'!AG59+Sunhaven!AG55+'Sunny Grove'!AG54+Tarponaire!AG58+'Val Vista RV Resort'!AG87+'Webster RV Resort LLC'!AG74+'Wekiva Falls RV Resort'!AG98+'West Jupiter RV Resort'!AG55+'Western Way RV Resort LLC'!AG147</f>
      </c>
      <c r="AH27" s="25">
        <f>'Agave Village (ag011)'!AH80+'Agave Village LLC'!AH69+'Brookhaven Estates (bo260)'!AH62+'Brookhaven RV Resort'!AH58+'Courtly Manor'!AH51+'Courtly Manor Park (co669)'!AH52+'Cross Creek RV'!AH147+'Cross Creek RV Resort (cr994)'!AH153+'El Rio De Oro (el289)'!AH49+'El Rio del Oro'!AH52+'Endless Summer RV Resort'!AH70+'Endless Summer RV Resort (en079'!AH62+Evergreen!AH49+'Far Horizons'!AH49+'Far Horizons (fa105)'!AH49+'Floridian Sandalwood (fl356)'!AH46+'Floridian Sandalwood MHC'!AH50+Glenhaven!AH54+'Glenhaven Estates (gl317)'!AH54+'Harbor Lights (ha310)'!AH55+'Harbor Lights MHC'!AH53+'Harvest Gate'!AH63+'Hunter Run RV Estates'!AH104+'Hunters Run RV Estates (hu116)'!AH217+'Jade Isle (ja068)'!AH46+'Jade Isle MHC'!AH48+'Kakusha Estates (ka045)'!AH52+'Kakusha MHC'!AH51+'Lakeside Village'!AH57+'Lakeside Village (la482)'!AH59+'Lakewood Village (la481)'!AH118+'Lakewood Village MHC LLC'!AH138+'Maple Corner'!AH71+'Maple Corner (ma490)'!AH61+'Marlboro Court (ma489)'!AH49+'Marlboro Court MHC LLC'!AH49+'May Manor'!AH153+'May Manor (ma488)'!AH85+'Mobiland by the Sea (mo320)'!AH54+'Mobiland By The Sea MHC'!AH55+'Moss Landing'!AH82+'Moss Landing (mo321)'!AH74+'Oak Springs'!AH86+'Oak Springs MHC (oa150)'!AH62+'Orange Manor East'!AH51+'Orange Manor East (or125)'!AH54+'Pacific Manor'!AH60+'Pacific Manor (pa602)'!AH62+Parkhaven!AH117+Ridgecrest!AH67+Riverest!AH61+'Riverview MHRV LLC'!AH64+Rosehaven!AH129+'Sanctuary RV Resort'!AH241+'Shadow Mountain MHC'!AH48+Springhaven!AH48+'Star Valley Ranch'!AH59+Sunhaven!AH55+'Sunny Grove'!AH54+Tarponaire!AH58+'Val Vista RV Resort'!AH87+'Webster RV Resort LLC'!AH74+'Wekiva Falls RV Resort'!AH98+'West Jupiter RV Resort'!AH55+'Western Way RV Resort LLC'!AH147</f>
      </c>
      <c r="AI27" s="25">
        <f>'Agave Village (ag011)'!AI80+'Agave Village LLC'!AI69+'Brookhaven Estates (bo260)'!AI62+'Brookhaven RV Resort'!AI58+'Courtly Manor'!AI51+'Courtly Manor Park (co669)'!AI52+'Cross Creek RV'!AI147+'Cross Creek RV Resort (cr994)'!AI153+'El Rio De Oro (el289)'!AI49+'El Rio del Oro'!AI52+'Endless Summer RV Resort'!AI70+'Endless Summer RV Resort (en079'!AI62+Evergreen!AI49+'Far Horizons'!AI49+'Far Horizons (fa105)'!AI49+'Floridian Sandalwood (fl356)'!AI46+'Floridian Sandalwood MHC'!AI50+Glenhaven!AI54+'Glenhaven Estates (gl317)'!AI54+'Harbor Lights (ha310)'!AI55+'Harbor Lights MHC'!AI53+'Harvest Gate'!AI63+'Hunter Run RV Estates'!AI104+'Hunters Run RV Estates (hu116)'!AI217+'Jade Isle (ja068)'!AI46+'Jade Isle MHC'!AI48+'Kakusha Estates (ka045)'!AI52+'Kakusha MHC'!AI51+'Lakeside Village'!AI57+'Lakeside Village (la482)'!AI59+'Lakewood Village (la481)'!AI118+'Lakewood Village MHC LLC'!AI138+'Maple Corner'!AI71+'Maple Corner (ma490)'!AI61+'Marlboro Court (ma489)'!AI49+'Marlboro Court MHC LLC'!AI49+'May Manor'!AI153+'May Manor (ma488)'!AI85+'Mobiland by the Sea (mo320)'!AI54+'Mobiland By The Sea MHC'!AI55+'Moss Landing'!AI82+'Moss Landing (mo321)'!AI74+'Oak Springs'!AI86+'Oak Springs MHC (oa150)'!AI62+'Orange Manor East'!AI51+'Orange Manor East (or125)'!AI54+'Pacific Manor'!AI60+'Pacific Manor (pa602)'!AI62+Parkhaven!AI117+Ridgecrest!AI67+Riverest!AI61+'Riverview MHRV LLC'!AI64+Rosehaven!AI129+'Sanctuary RV Resort'!AI241+'Shadow Mountain MHC'!AI48+Springhaven!AI48+'Star Valley Ranch'!AI59+Sunhaven!AI55+'Sunny Grove'!AI54+Tarponaire!AI58+'Val Vista RV Resort'!AI87+'Webster RV Resort LLC'!AI74+'Wekiva Falls RV Resort'!AI98+'West Jupiter RV Resort'!AI55+'Western Way RV Resort LLC'!AI147</f>
      </c>
      <c r="AJ27" s="25">
        <f>'Agave Village (ag011)'!AJ80+'Agave Village LLC'!AJ69+'Brookhaven Estates (bo260)'!AJ62+'Brookhaven RV Resort'!AJ58+'Courtly Manor'!AJ51+'Courtly Manor Park (co669)'!AJ52+'Cross Creek RV'!AJ147+'Cross Creek RV Resort (cr994)'!AJ153+'El Rio De Oro (el289)'!AJ49+'El Rio del Oro'!AJ52+'Endless Summer RV Resort'!AJ70+'Endless Summer RV Resort (en079'!AJ62+Evergreen!AJ49+'Far Horizons'!AJ49+'Far Horizons (fa105)'!AJ49+'Floridian Sandalwood (fl356)'!AJ46+'Floridian Sandalwood MHC'!AJ50+Glenhaven!AJ54+'Glenhaven Estates (gl317)'!AJ54+'Harbor Lights (ha310)'!AJ55+'Harbor Lights MHC'!AJ53+'Harvest Gate'!AJ63+'Hunter Run RV Estates'!AJ104+'Hunters Run RV Estates (hu116)'!AJ217+'Jade Isle (ja068)'!AJ46+'Jade Isle MHC'!AJ48+'Kakusha Estates (ka045)'!AJ52+'Kakusha MHC'!AJ51+'Lakeside Village'!AJ57+'Lakeside Village (la482)'!AJ59+'Lakewood Village (la481)'!AJ118+'Lakewood Village MHC LLC'!AJ138+'Maple Corner'!AJ71+'Maple Corner (ma490)'!AJ61+'Marlboro Court (ma489)'!AJ49+'Marlboro Court MHC LLC'!AJ49+'May Manor'!AJ153+'May Manor (ma488)'!AJ85+'Mobiland by the Sea (mo320)'!AJ54+'Mobiland By The Sea MHC'!AJ55+'Moss Landing'!AJ82+'Moss Landing (mo321)'!AJ74+'Oak Springs'!AJ86+'Oak Springs MHC (oa150)'!AJ62+'Orange Manor East'!AJ51+'Orange Manor East (or125)'!AJ54+'Pacific Manor'!AJ60+'Pacific Manor (pa602)'!AJ62+Parkhaven!AJ117+Ridgecrest!AJ67+Riverest!AJ61+'Riverview MHRV LLC'!AJ64+Rosehaven!AJ129+'Sanctuary RV Resort'!AJ241+'Shadow Mountain MHC'!AJ48+Springhaven!AJ48+'Star Valley Ranch'!AJ59+Sunhaven!AJ55+'Sunny Grove'!AJ54+Tarponaire!AJ58+'Val Vista RV Resort'!AJ87+'Webster RV Resort LLC'!AJ74+'Wekiva Falls RV Resort'!AJ98+'West Jupiter RV Resort'!AJ55+'Western Way RV Resort LLC'!AJ147</f>
      </c>
      <c r="AK27" s="23"/>
    </row>
  </sheetData>
  <autoFilter ref="B6:AK6"/>
  <mergeCells count="2">
    <mergeCell ref="B5:C5"/>
    <mergeCell ref="E5:A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FormatPr defaultRowHeight="15" outlineLevelRow="0" outlineLevelCol="0" x14ac:dyDescent="55"/>
  <cols>
    <col min="1" max="1" width="5" customWidth="1"/>
    <col min="2" max="2" width="30" customWidth="1"/>
    <col min="3" max="14" width="22" customWidth="1"/>
  </cols>
  <sheetData>
    <row r="1" spans="1:14" x14ac:dyDescent="0.25">
      <c r="A1" s="53" t="s">
        <v>2971</v>
      </c>
      <c r="B1" s="53" t="s">
        <v>92</v>
      </c>
      <c r="C1" s="53" t="s">
        <v>2972</v>
      </c>
      <c r="D1" s="53" t="s">
        <v>2973</v>
      </c>
      <c r="E1" s="53" t="s">
        <v>2974</v>
      </c>
      <c r="F1" s="53" t="s">
        <v>2975</v>
      </c>
      <c r="G1" s="53" t="s">
        <v>2976</v>
      </c>
      <c r="H1" s="53" t="s">
        <v>2977</v>
      </c>
      <c r="I1" s="53" t="s">
        <v>2978</v>
      </c>
      <c r="J1" s="53" t="s">
        <v>2979</v>
      </c>
      <c r="K1" s="53" t="s">
        <v>2980</v>
      </c>
      <c r="L1" s="53" t="s">
        <v>2981</v>
      </c>
      <c r="M1" s="53" t="s">
        <v>2982</v>
      </c>
      <c r="N1" s="53" t="s">
        <v>2983</v>
      </c>
    </row>
    <row r="2" spans="1:14" x14ac:dyDescent="0.25">
      <c r="A2" s="54">
        <v>1</v>
      </c>
      <c r="B2" s="54" t="s">
        <v>48</v>
      </c>
      <c r="C2" s="54" t="s">
        <v>2984</v>
      </c>
      <c r="D2" s="54" t="s">
        <v>109</v>
      </c>
      <c r="E2" s="54" t="s">
        <v>42</v>
      </c>
      <c r="F2" s="54" t="s">
        <v>48</v>
      </c>
      <c r="G2" s="54" t="s">
        <v>65</v>
      </c>
      <c r="H2" s="54" t="s">
        <v>78</v>
      </c>
      <c r="I2" s="54" t="s">
        <v>109</v>
      </c>
      <c r="J2" s="54" t="s">
        <v>2985</v>
      </c>
      <c r="K2" s="54" t="s">
        <v>2984</v>
      </c>
      <c r="L2" s="54" t="s">
        <v>2986</v>
      </c>
      <c r="M2" s="54" t="s">
        <v>2987</v>
      </c>
      <c r="N2" s="54" t="s">
        <v>2988</v>
      </c>
    </row>
    <row r="3" spans="1:14" x14ac:dyDescent="0.25">
      <c r="A3" s="54">
        <v>2</v>
      </c>
      <c r="B3" s="54" t="s">
        <v>110</v>
      </c>
      <c r="C3" s="54" t="s">
        <v>2989</v>
      </c>
      <c r="D3" s="54" t="s">
        <v>2990</v>
      </c>
      <c r="E3" s="54" t="s">
        <v>42</v>
      </c>
      <c r="F3" s="54" t="s">
        <v>110</v>
      </c>
      <c r="G3" s="54" t="s">
        <v>3</v>
      </c>
      <c r="H3" s="54" t="s">
        <v>127</v>
      </c>
      <c r="I3" s="54" t="s">
        <v>2990</v>
      </c>
      <c r="J3" s="54" t="s">
        <v>2991</v>
      </c>
      <c r="K3" s="54" t="s">
        <v>2989</v>
      </c>
      <c r="L3" s="54" t="s">
        <v>2992</v>
      </c>
      <c r="M3" s="54" t="s">
        <v>2993</v>
      </c>
      <c r="N3" s="54" t="s">
        <v>2994</v>
      </c>
    </row>
    <row r="4" spans="1:14" x14ac:dyDescent="0.25">
      <c r="A4" s="54">
        <v>3</v>
      </c>
      <c r="B4" s="54" t="s">
        <v>143</v>
      </c>
      <c r="C4" s="54" t="s">
        <v>2995</v>
      </c>
      <c r="D4" s="54" t="s">
        <v>178</v>
      </c>
      <c r="E4" s="54" t="s">
        <v>42</v>
      </c>
      <c r="F4" s="54" t="s">
        <v>143</v>
      </c>
      <c r="G4" s="54" t="s">
        <v>65</v>
      </c>
      <c r="H4" s="54" t="s">
        <v>145</v>
      </c>
      <c r="I4" s="54" t="s">
        <v>178</v>
      </c>
      <c r="J4" s="54" t="s">
        <v>2996</v>
      </c>
      <c r="K4" s="54" t="s">
        <v>2995</v>
      </c>
      <c r="L4" s="54" t="s">
        <v>2997</v>
      </c>
      <c r="M4" s="54" t="s">
        <v>3</v>
      </c>
      <c r="N4" s="54" t="s">
        <v>3</v>
      </c>
    </row>
    <row r="5" spans="1:14" x14ac:dyDescent="0.25">
      <c r="A5" s="54">
        <v>4</v>
      </c>
      <c r="B5" s="54" t="s">
        <v>179</v>
      </c>
      <c r="C5" s="54" t="s">
        <v>2998</v>
      </c>
      <c r="D5" s="54" t="s">
        <v>194</v>
      </c>
      <c r="E5" s="54" t="s">
        <v>42</v>
      </c>
      <c r="F5" s="54" t="s">
        <v>179</v>
      </c>
      <c r="G5" s="54" t="s">
        <v>3</v>
      </c>
      <c r="H5" s="54" t="s">
        <v>189</v>
      </c>
      <c r="I5" s="54" t="s">
        <v>194</v>
      </c>
      <c r="J5" s="54" t="s">
        <v>2999</v>
      </c>
      <c r="K5" s="54" t="s">
        <v>2998</v>
      </c>
      <c r="L5" s="54" t="s">
        <v>3000</v>
      </c>
      <c r="M5" s="54" t="s">
        <v>3</v>
      </c>
      <c r="N5" s="54" t="s">
        <v>3</v>
      </c>
    </row>
    <row r="6" spans="1:14" x14ac:dyDescent="0.25">
      <c r="A6" s="54">
        <v>5</v>
      </c>
      <c r="B6" s="54" t="s">
        <v>207</v>
      </c>
      <c r="C6" s="54" t="s">
        <v>3001</v>
      </c>
      <c r="D6" s="54" t="s">
        <v>214</v>
      </c>
      <c r="E6" s="54" t="s">
        <v>43</v>
      </c>
      <c r="F6" s="54" t="s">
        <v>207</v>
      </c>
      <c r="G6" s="54" t="s">
        <v>3</v>
      </c>
      <c r="H6" s="54" t="s">
        <v>213</v>
      </c>
      <c r="I6" s="54" t="s">
        <v>214</v>
      </c>
      <c r="J6" s="54" t="s">
        <v>3002</v>
      </c>
      <c r="K6" s="54" t="s">
        <v>3003</v>
      </c>
      <c r="L6" s="54" t="s">
        <v>3001</v>
      </c>
      <c r="M6" s="54" t="s">
        <v>3004</v>
      </c>
      <c r="N6" s="54" t="s">
        <v>3</v>
      </c>
    </row>
    <row r="7" spans="1:14" x14ac:dyDescent="0.25">
      <c r="A7" s="54">
        <v>6</v>
      </c>
      <c r="B7" s="54" t="s">
        <v>226</v>
      </c>
      <c r="C7" s="54" t="s">
        <v>3005</v>
      </c>
      <c r="D7" s="54" t="s">
        <v>3006</v>
      </c>
      <c r="E7" s="54" t="s">
        <v>43</v>
      </c>
      <c r="F7" s="54" t="s">
        <v>226</v>
      </c>
      <c r="G7" s="54" t="s">
        <v>232</v>
      </c>
      <c r="H7" s="54" t="s">
        <v>233</v>
      </c>
      <c r="I7" s="54" t="s">
        <v>3006</v>
      </c>
      <c r="J7" s="54" t="s">
        <v>3007</v>
      </c>
      <c r="K7" s="54" t="s">
        <v>3008</v>
      </c>
      <c r="L7" s="54" t="s">
        <v>3005</v>
      </c>
      <c r="M7" s="54" t="s">
        <v>3009</v>
      </c>
      <c r="N7" s="54" t="s">
        <v>3</v>
      </c>
    </row>
    <row r="8" spans="1:14" x14ac:dyDescent="0.25">
      <c r="A8" s="54">
        <v>7</v>
      </c>
      <c r="B8" s="54" t="s">
        <v>251</v>
      </c>
      <c r="C8" s="54" t="s">
        <v>3010</v>
      </c>
      <c r="D8" s="54" t="s">
        <v>3011</v>
      </c>
      <c r="E8" s="54" t="s">
        <v>42</v>
      </c>
      <c r="F8" s="54" t="s">
        <v>251</v>
      </c>
      <c r="G8" s="54" t="s">
        <v>3</v>
      </c>
      <c r="H8" s="54" t="s">
        <v>315</v>
      </c>
      <c r="I8" s="54" t="s">
        <v>3011</v>
      </c>
      <c r="J8" s="54" t="s">
        <v>3012</v>
      </c>
      <c r="K8" s="54" t="s">
        <v>3010</v>
      </c>
      <c r="L8" s="54" t="s">
        <v>3</v>
      </c>
      <c r="M8" s="54" t="s">
        <v>3</v>
      </c>
      <c r="N8" s="54" t="s">
        <v>3</v>
      </c>
    </row>
    <row r="9" spans="1:14" x14ac:dyDescent="0.25">
      <c r="A9" s="54">
        <v>8</v>
      </c>
      <c r="B9" s="54" t="s">
        <v>369</v>
      </c>
      <c r="C9" s="54" t="s">
        <v>3013</v>
      </c>
      <c r="D9" s="54" t="s">
        <v>3014</v>
      </c>
      <c r="E9" s="54" t="s">
        <v>3015</v>
      </c>
      <c r="F9" s="54" t="s">
        <v>369</v>
      </c>
      <c r="G9" s="54" t="s">
        <v>3016</v>
      </c>
      <c r="H9" s="54" t="s">
        <v>3017</v>
      </c>
      <c r="I9" s="54" t="s">
        <v>3014</v>
      </c>
      <c r="J9" s="54" t="s">
        <v>3018</v>
      </c>
      <c r="K9" s="54" t="s">
        <v>3019</v>
      </c>
      <c r="L9" s="54" t="s">
        <v>3</v>
      </c>
      <c r="M9" s="54" t="s">
        <v>3</v>
      </c>
      <c r="N9" s="54" t="s">
        <v>3</v>
      </c>
    </row>
    <row r="10" spans="1:14" x14ac:dyDescent="0.25">
      <c r="A10" s="54">
        <v>9</v>
      </c>
      <c r="B10" s="54" t="s">
        <v>494</v>
      </c>
      <c r="C10" s="54" t="s">
        <v>3020</v>
      </c>
      <c r="D10" s="54" t="s">
        <v>109</v>
      </c>
      <c r="E10" s="54" t="s">
        <v>42</v>
      </c>
      <c r="F10" s="54" t="s">
        <v>494</v>
      </c>
      <c r="G10" s="54" t="s">
        <v>497</v>
      </c>
      <c r="H10" s="54" t="s">
        <v>498</v>
      </c>
      <c r="I10" s="54" t="s">
        <v>109</v>
      </c>
      <c r="J10" s="54" t="s">
        <v>2985</v>
      </c>
      <c r="K10" s="54" t="s">
        <v>3020</v>
      </c>
      <c r="L10" s="54" t="s">
        <v>3021</v>
      </c>
      <c r="M10" s="54" t="s">
        <v>3022</v>
      </c>
      <c r="N10" s="54" t="s">
        <v>3023</v>
      </c>
    </row>
    <row r="11" spans="1:14" x14ac:dyDescent="0.25">
      <c r="A11" s="54">
        <v>10</v>
      </c>
      <c r="B11" s="54" t="s">
        <v>519</v>
      </c>
      <c r="C11" s="54" t="s">
        <v>3024</v>
      </c>
      <c r="D11" s="54" t="s">
        <v>3025</v>
      </c>
      <c r="E11" s="54" t="s">
        <v>42</v>
      </c>
      <c r="F11" s="54" t="s">
        <v>519</v>
      </c>
      <c r="G11" s="54" t="s">
        <v>3</v>
      </c>
      <c r="H11" s="54" t="s">
        <v>525</v>
      </c>
      <c r="I11" s="54" t="s">
        <v>3025</v>
      </c>
      <c r="J11" s="54" t="s">
        <v>3026</v>
      </c>
      <c r="K11" s="54" t="s">
        <v>3024</v>
      </c>
      <c r="L11" s="54" t="s">
        <v>3027</v>
      </c>
      <c r="M11" s="54" t="s">
        <v>3</v>
      </c>
      <c r="N11" s="54" t="s">
        <v>3028</v>
      </c>
    </row>
    <row r="12" spans="1:14" x14ac:dyDescent="0.25">
      <c r="A12" s="54">
        <v>11</v>
      </c>
      <c r="B12" s="54" t="s">
        <v>538</v>
      </c>
      <c r="C12" s="54" t="s">
        <v>3029</v>
      </c>
      <c r="D12" s="54" t="s">
        <v>2990</v>
      </c>
      <c r="E12" s="54" t="s">
        <v>42</v>
      </c>
      <c r="F12" s="54" t="s">
        <v>538</v>
      </c>
      <c r="G12" s="54" t="s">
        <v>3</v>
      </c>
      <c r="H12" s="54" t="s">
        <v>558</v>
      </c>
      <c r="I12" s="54" t="s">
        <v>2990</v>
      </c>
      <c r="J12" s="54" t="s">
        <v>2991</v>
      </c>
      <c r="K12" s="54" t="s">
        <v>3029</v>
      </c>
      <c r="L12" s="54" t="s">
        <v>3030</v>
      </c>
      <c r="M12" s="54" t="s">
        <v>3</v>
      </c>
      <c r="N12" s="54" t="s">
        <v>3</v>
      </c>
    </row>
    <row r="13" spans="1:14" x14ac:dyDescent="0.25">
      <c r="A13" s="54">
        <v>12</v>
      </c>
      <c r="B13" s="54" t="s">
        <v>578</v>
      </c>
      <c r="C13" s="54" t="s">
        <v>3031</v>
      </c>
      <c r="D13" s="54" t="s">
        <v>3014</v>
      </c>
      <c r="E13" s="54" t="s">
        <v>3015</v>
      </c>
      <c r="F13" s="54" t="s">
        <v>578</v>
      </c>
      <c r="G13" s="54" t="s">
        <v>3016</v>
      </c>
      <c r="H13" s="54" t="s">
        <v>3032</v>
      </c>
      <c r="I13" s="54" t="s">
        <v>3014</v>
      </c>
      <c r="J13" s="54" t="s">
        <v>3018</v>
      </c>
      <c r="K13" s="54" t="s">
        <v>3033</v>
      </c>
      <c r="L13" s="54" t="s">
        <v>3034</v>
      </c>
      <c r="M13" s="54" t="s">
        <v>3</v>
      </c>
      <c r="N13" s="54" t="s">
        <v>3</v>
      </c>
    </row>
    <row r="14" spans="1:14" x14ac:dyDescent="0.25">
      <c r="A14" s="54">
        <v>13</v>
      </c>
      <c r="B14" s="54" t="s">
        <v>612</v>
      </c>
      <c r="C14" s="54" t="s">
        <v>3035</v>
      </c>
      <c r="D14" s="54" t="s">
        <v>194</v>
      </c>
      <c r="E14" s="54" t="s">
        <v>42</v>
      </c>
      <c r="F14" s="54" t="s">
        <v>612</v>
      </c>
      <c r="G14" s="54" t="s">
        <v>3</v>
      </c>
      <c r="H14" s="54" t="s">
        <v>615</v>
      </c>
      <c r="I14" s="54" t="s">
        <v>194</v>
      </c>
      <c r="J14" s="54" t="s">
        <v>2999</v>
      </c>
      <c r="K14" s="54" t="s">
        <v>3035</v>
      </c>
      <c r="L14" s="54" t="s">
        <v>3036</v>
      </c>
      <c r="M14" s="54" t="s">
        <v>3</v>
      </c>
      <c r="N14" s="54" t="s">
        <v>3037</v>
      </c>
    </row>
    <row r="15" spans="1:14" x14ac:dyDescent="0.25">
      <c r="A15" s="54">
        <v>14</v>
      </c>
      <c r="B15" s="54" t="s">
        <v>630</v>
      </c>
      <c r="C15" s="54" t="s">
        <v>3038</v>
      </c>
      <c r="D15" s="54" t="s">
        <v>2596</v>
      </c>
      <c r="E15" s="54" t="s">
        <v>42</v>
      </c>
      <c r="F15" s="54" t="s">
        <v>630</v>
      </c>
      <c r="G15" s="54" t="s">
        <v>3</v>
      </c>
      <c r="H15" s="54" t="s">
        <v>632</v>
      </c>
      <c r="I15" s="54" t="s">
        <v>2596</v>
      </c>
      <c r="J15" s="54" t="s">
        <v>3039</v>
      </c>
      <c r="K15" s="54" t="s">
        <v>3038</v>
      </c>
      <c r="L15" s="54" t="s">
        <v>3040</v>
      </c>
      <c r="M15" s="54" t="s">
        <v>3041</v>
      </c>
      <c r="N15" s="54" t="s">
        <v>3042</v>
      </c>
    </row>
    <row r="16" spans="1:14" x14ac:dyDescent="0.25">
      <c r="A16" s="54">
        <v>15</v>
      </c>
      <c r="B16" s="54" t="s">
        <v>647</v>
      </c>
      <c r="C16" s="54" t="s">
        <v>3043</v>
      </c>
      <c r="D16" s="54" t="s">
        <v>250</v>
      </c>
      <c r="E16" s="54" t="s">
        <v>41</v>
      </c>
      <c r="F16" s="54" t="s">
        <v>647</v>
      </c>
      <c r="G16" s="54" t="s">
        <v>648</v>
      </c>
      <c r="H16" s="54" t="s">
        <v>631</v>
      </c>
      <c r="I16" s="54" t="s">
        <v>250</v>
      </c>
      <c r="J16" s="54" t="s">
        <v>3044</v>
      </c>
      <c r="K16" s="54" t="s">
        <v>3045</v>
      </c>
      <c r="L16" s="54" t="s">
        <v>3046</v>
      </c>
      <c r="M16" s="54" t="s">
        <v>3047</v>
      </c>
      <c r="N16" s="54" t="s">
        <v>3043</v>
      </c>
    </row>
    <row r="17" spans="1:14" x14ac:dyDescent="0.25">
      <c r="A17" s="54">
        <v>16</v>
      </c>
      <c r="B17" s="54" t="s">
        <v>665</v>
      </c>
      <c r="C17" s="54" t="s">
        <v>3048</v>
      </c>
      <c r="D17" s="54" t="s">
        <v>3014</v>
      </c>
      <c r="E17" s="54" t="s">
        <v>3015</v>
      </c>
      <c r="F17" s="54" t="s">
        <v>665</v>
      </c>
      <c r="G17" s="54" t="s">
        <v>3016</v>
      </c>
      <c r="H17" s="54" t="s">
        <v>3049</v>
      </c>
      <c r="I17" s="54" t="s">
        <v>3014</v>
      </c>
      <c r="J17" s="54" t="s">
        <v>3018</v>
      </c>
      <c r="K17" s="54" t="s">
        <v>3050</v>
      </c>
      <c r="L17" s="54" t="s">
        <v>3051</v>
      </c>
      <c r="M17" s="54" t="s">
        <v>3</v>
      </c>
      <c r="N17" s="54" t="s">
        <v>3</v>
      </c>
    </row>
    <row r="18" spans="1:14" x14ac:dyDescent="0.25">
      <c r="A18" s="54">
        <v>17</v>
      </c>
      <c r="B18" s="54" t="s">
        <v>685</v>
      </c>
      <c r="C18" s="54" t="s">
        <v>3052</v>
      </c>
      <c r="D18" s="54" t="s">
        <v>692</v>
      </c>
      <c r="E18" s="54" t="s">
        <v>43</v>
      </c>
      <c r="F18" s="54" t="s">
        <v>685</v>
      </c>
      <c r="G18" s="54" t="s">
        <v>3</v>
      </c>
      <c r="H18" s="54" t="s">
        <v>691</v>
      </c>
      <c r="I18" s="54" t="s">
        <v>692</v>
      </c>
      <c r="J18" s="54" t="s">
        <v>3053</v>
      </c>
      <c r="K18" s="54" t="s">
        <v>3054</v>
      </c>
      <c r="L18" s="54" t="s">
        <v>3052</v>
      </c>
      <c r="M18" s="54" t="s">
        <v>3</v>
      </c>
      <c r="N18" s="54" t="s">
        <v>3</v>
      </c>
    </row>
    <row r="19" spans="1:14" x14ac:dyDescent="0.25">
      <c r="A19" s="54">
        <v>18</v>
      </c>
      <c r="B19" s="54" t="s">
        <v>704</v>
      </c>
      <c r="C19" s="54" t="s">
        <v>3055</v>
      </c>
      <c r="D19" s="54" t="s">
        <v>3056</v>
      </c>
      <c r="E19" s="54" t="s">
        <v>42</v>
      </c>
      <c r="F19" s="54" t="s">
        <v>704</v>
      </c>
      <c r="G19" s="54" t="s">
        <v>3</v>
      </c>
      <c r="H19" s="54" t="s">
        <v>708</v>
      </c>
      <c r="I19" s="54" t="s">
        <v>3056</v>
      </c>
      <c r="J19" s="54" t="s">
        <v>3057</v>
      </c>
      <c r="K19" s="54" t="s">
        <v>3055</v>
      </c>
      <c r="L19" s="54" t="s">
        <v>3058</v>
      </c>
      <c r="M19" s="54" t="s">
        <v>3059</v>
      </c>
      <c r="N19" s="54" t="s">
        <v>3060</v>
      </c>
    </row>
    <row r="20" spans="1:14" x14ac:dyDescent="0.25">
      <c r="A20" s="54">
        <v>19</v>
      </c>
      <c r="B20" s="54" t="s">
        <v>725</v>
      </c>
      <c r="C20" s="54" t="s">
        <v>3061</v>
      </c>
      <c r="D20" s="54" t="s">
        <v>3014</v>
      </c>
      <c r="E20" s="54" t="s">
        <v>3015</v>
      </c>
      <c r="F20" s="54" t="s">
        <v>725</v>
      </c>
      <c r="G20" s="54" t="s">
        <v>3016</v>
      </c>
      <c r="H20" s="54" t="s">
        <v>3062</v>
      </c>
      <c r="I20" s="54" t="s">
        <v>3014</v>
      </c>
      <c r="J20" s="54" t="s">
        <v>3018</v>
      </c>
      <c r="K20" s="54" t="s">
        <v>3063</v>
      </c>
      <c r="L20" s="54" t="s">
        <v>3064</v>
      </c>
      <c r="M20" s="54" t="s">
        <v>3065</v>
      </c>
      <c r="N20" s="54" t="s">
        <v>3066</v>
      </c>
    </row>
    <row r="21" spans="1:14" x14ac:dyDescent="0.25">
      <c r="A21" s="54">
        <v>20</v>
      </c>
      <c r="B21" s="54" t="s">
        <v>749</v>
      </c>
      <c r="C21" s="54" t="s">
        <v>3067</v>
      </c>
      <c r="D21" s="54" t="s">
        <v>250</v>
      </c>
      <c r="E21" s="54" t="s">
        <v>41</v>
      </c>
      <c r="F21" s="54" t="s">
        <v>749</v>
      </c>
      <c r="G21" s="54" t="s">
        <v>750</v>
      </c>
      <c r="H21" s="54" t="s">
        <v>751</v>
      </c>
      <c r="I21" s="54" t="s">
        <v>250</v>
      </c>
      <c r="J21" s="54" t="s">
        <v>1048</v>
      </c>
      <c r="K21" s="54" t="s">
        <v>3068</v>
      </c>
      <c r="L21" s="54" t="s">
        <v>3069</v>
      </c>
      <c r="M21" s="54" t="s">
        <v>3</v>
      </c>
      <c r="N21" s="54" t="s">
        <v>3067</v>
      </c>
    </row>
    <row r="22" spans="1:14" x14ac:dyDescent="0.25">
      <c r="A22" s="54">
        <v>21</v>
      </c>
      <c r="B22" s="54" t="s">
        <v>778</v>
      </c>
      <c r="C22" s="54" t="s">
        <v>3070</v>
      </c>
      <c r="D22" s="54" t="s">
        <v>3071</v>
      </c>
      <c r="E22" s="54" t="s">
        <v>43</v>
      </c>
      <c r="F22" s="54" t="s">
        <v>778</v>
      </c>
      <c r="G22" s="54" t="s">
        <v>3</v>
      </c>
      <c r="H22" s="54" t="s">
        <v>780</v>
      </c>
      <c r="I22" s="54" t="s">
        <v>3071</v>
      </c>
      <c r="J22" s="54" t="s">
        <v>3053</v>
      </c>
      <c r="K22" s="54" t="s">
        <v>3072</v>
      </c>
      <c r="L22" s="54" t="s">
        <v>3070</v>
      </c>
      <c r="M22" s="54" t="s">
        <v>3</v>
      </c>
      <c r="N22" s="54" t="s">
        <v>3073</v>
      </c>
    </row>
    <row r="23" spans="1:14" x14ac:dyDescent="0.25">
      <c r="A23" s="54">
        <v>22</v>
      </c>
      <c r="B23" s="54" t="s">
        <v>793</v>
      </c>
      <c r="C23" s="54" t="s">
        <v>3074</v>
      </c>
      <c r="D23" s="54" t="s">
        <v>3075</v>
      </c>
      <c r="E23" s="54" t="s">
        <v>43</v>
      </c>
      <c r="F23" s="54" t="s">
        <v>793</v>
      </c>
      <c r="G23" s="54" t="s">
        <v>3</v>
      </c>
      <c r="H23" s="54" t="s">
        <v>802</v>
      </c>
      <c r="I23" s="54" t="s">
        <v>3075</v>
      </c>
      <c r="J23" s="54" t="s">
        <v>3076</v>
      </c>
      <c r="K23" s="54" t="s">
        <v>3077</v>
      </c>
      <c r="L23" s="54" t="s">
        <v>3074</v>
      </c>
      <c r="M23" s="54" t="s">
        <v>3</v>
      </c>
      <c r="N23" s="54" t="s">
        <v>3078</v>
      </c>
    </row>
    <row r="24" spans="1:14" x14ac:dyDescent="0.25">
      <c r="A24" s="54">
        <v>23</v>
      </c>
      <c r="B24" s="54" t="s">
        <v>825</v>
      </c>
      <c r="C24" s="54" t="s">
        <v>3079</v>
      </c>
      <c r="D24" s="54" t="s">
        <v>194</v>
      </c>
      <c r="E24" s="54" t="s">
        <v>42</v>
      </c>
      <c r="F24" s="54" t="s">
        <v>825</v>
      </c>
      <c r="G24" s="54" t="s">
        <v>3</v>
      </c>
      <c r="H24" s="54" t="s">
        <v>846</v>
      </c>
      <c r="I24" s="54" t="s">
        <v>194</v>
      </c>
      <c r="J24" s="54" t="s">
        <v>3080</v>
      </c>
      <c r="K24" s="54" t="s">
        <v>3079</v>
      </c>
      <c r="L24" s="54" t="s">
        <v>3081</v>
      </c>
      <c r="M24" s="54" t="s">
        <v>3</v>
      </c>
      <c r="N24" s="54" t="s">
        <v>3</v>
      </c>
    </row>
    <row r="25" spans="1:14" x14ac:dyDescent="0.25">
      <c r="A25" s="54">
        <v>24</v>
      </c>
      <c r="B25" s="54" t="s">
        <v>898</v>
      </c>
      <c r="C25" s="54" t="s">
        <v>3082</v>
      </c>
      <c r="D25" s="54" t="s">
        <v>1780</v>
      </c>
      <c r="E25" s="54" t="s">
        <v>42</v>
      </c>
      <c r="F25" s="54" t="s">
        <v>898</v>
      </c>
      <c r="G25" s="54" t="s">
        <v>649</v>
      </c>
      <c r="H25" s="54" t="s">
        <v>916</v>
      </c>
      <c r="I25" s="54" t="s">
        <v>1780</v>
      </c>
      <c r="J25" s="54" t="s">
        <v>3083</v>
      </c>
      <c r="K25" s="54" t="s">
        <v>3082</v>
      </c>
      <c r="L25" s="54" t="s">
        <v>3015</v>
      </c>
      <c r="M25" s="54" t="s">
        <v>3</v>
      </c>
      <c r="N25" s="54" t="s">
        <v>3</v>
      </c>
    </row>
    <row r="26" spans="1:14" x14ac:dyDescent="0.25">
      <c r="A26" s="54">
        <v>25</v>
      </c>
      <c r="B26" s="54" t="s">
        <v>1038</v>
      </c>
      <c r="C26" s="54" t="s">
        <v>3084</v>
      </c>
      <c r="D26" s="54" t="s">
        <v>3014</v>
      </c>
      <c r="E26" s="54" t="s">
        <v>3015</v>
      </c>
      <c r="F26" s="54" t="s">
        <v>1038</v>
      </c>
      <c r="G26" s="54" t="s">
        <v>3016</v>
      </c>
      <c r="H26" s="54" t="s">
        <v>3085</v>
      </c>
      <c r="I26" s="54" t="s">
        <v>3014</v>
      </c>
      <c r="J26" s="54" t="s">
        <v>3018</v>
      </c>
      <c r="K26" s="54" t="s">
        <v>3086</v>
      </c>
      <c r="L26" s="54" t="s">
        <v>3087</v>
      </c>
      <c r="M26" s="54" t="s">
        <v>3</v>
      </c>
      <c r="N26" s="54" t="s">
        <v>3</v>
      </c>
    </row>
    <row r="27" spans="1:14" x14ac:dyDescent="0.25">
      <c r="A27" s="54">
        <v>26</v>
      </c>
      <c r="B27" s="54" t="s">
        <v>1049</v>
      </c>
      <c r="C27" s="54" t="s">
        <v>3088</v>
      </c>
      <c r="D27" s="54" t="s">
        <v>3089</v>
      </c>
      <c r="E27" s="54" t="s">
        <v>42</v>
      </c>
      <c r="F27" s="54" t="s">
        <v>1049</v>
      </c>
      <c r="G27" s="54" t="s">
        <v>3</v>
      </c>
      <c r="H27" s="54" t="s">
        <v>1052</v>
      </c>
      <c r="I27" s="54" t="s">
        <v>3089</v>
      </c>
      <c r="J27" s="54" t="s">
        <v>3090</v>
      </c>
      <c r="K27" s="54" t="s">
        <v>3088</v>
      </c>
      <c r="L27" s="54" t="s">
        <v>3091</v>
      </c>
      <c r="M27" s="54" t="s">
        <v>3</v>
      </c>
      <c r="N27" s="54" t="s">
        <v>3</v>
      </c>
    </row>
    <row r="28" spans="1:14" x14ac:dyDescent="0.25">
      <c r="A28" s="54">
        <v>27</v>
      </c>
      <c r="B28" s="54" t="s">
        <v>1071</v>
      </c>
      <c r="C28" s="54" t="s">
        <v>3092</v>
      </c>
      <c r="D28" s="54" t="s">
        <v>1087</v>
      </c>
      <c r="E28" s="54" t="s">
        <v>42</v>
      </c>
      <c r="F28" s="54" t="s">
        <v>1071</v>
      </c>
      <c r="G28" s="54" t="s">
        <v>649</v>
      </c>
      <c r="H28" s="54" t="s">
        <v>1075</v>
      </c>
      <c r="I28" s="54" t="s">
        <v>1087</v>
      </c>
      <c r="J28" s="54" t="s">
        <v>3093</v>
      </c>
      <c r="K28" s="54" t="s">
        <v>3092</v>
      </c>
      <c r="L28" s="54" t="s">
        <v>3094</v>
      </c>
      <c r="M28" s="54" t="s">
        <v>3095</v>
      </c>
      <c r="N28" s="54" t="s">
        <v>3</v>
      </c>
    </row>
    <row r="29" spans="1:14" x14ac:dyDescent="0.25">
      <c r="A29" s="54">
        <v>28</v>
      </c>
      <c r="B29" s="54" t="s">
        <v>1088</v>
      </c>
      <c r="C29" s="54" t="s">
        <v>3096</v>
      </c>
      <c r="D29" s="54" t="s">
        <v>3097</v>
      </c>
      <c r="E29" s="54" t="s">
        <v>42</v>
      </c>
      <c r="F29" s="54" t="s">
        <v>1088</v>
      </c>
      <c r="G29" s="54" t="s">
        <v>3</v>
      </c>
      <c r="H29" s="54" t="s">
        <v>1089</v>
      </c>
      <c r="I29" s="54" t="s">
        <v>3097</v>
      </c>
      <c r="J29" s="54" t="s">
        <v>3098</v>
      </c>
      <c r="K29" s="54" t="s">
        <v>3096</v>
      </c>
      <c r="L29" s="54" t="s">
        <v>3099</v>
      </c>
      <c r="M29" s="54" t="s">
        <v>3100</v>
      </c>
      <c r="N29" s="54" t="s">
        <v>3</v>
      </c>
    </row>
    <row r="30" spans="1:14" x14ac:dyDescent="0.25">
      <c r="A30" s="54">
        <v>29</v>
      </c>
      <c r="B30" s="54" t="s">
        <v>1107</v>
      </c>
      <c r="C30" s="54" t="s">
        <v>3101</v>
      </c>
      <c r="D30" s="54" t="s">
        <v>3056</v>
      </c>
      <c r="E30" s="54" t="s">
        <v>42</v>
      </c>
      <c r="F30" s="54" t="s">
        <v>1107</v>
      </c>
      <c r="G30" s="54" t="s">
        <v>3</v>
      </c>
      <c r="H30" s="54" t="s">
        <v>1110</v>
      </c>
      <c r="I30" s="54" t="s">
        <v>3056</v>
      </c>
      <c r="J30" s="54" t="s">
        <v>3057</v>
      </c>
      <c r="K30" s="54" t="s">
        <v>3101</v>
      </c>
      <c r="L30" s="54" t="s">
        <v>3</v>
      </c>
      <c r="M30" s="54" t="s">
        <v>3</v>
      </c>
      <c r="N30" s="54" t="s">
        <v>3</v>
      </c>
    </row>
    <row r="31" spans="1:14" x14ac:dyDescent="0.25">
      <c r="A31" s="54">
        <v>30</v>
      </c>
      <c r="B31" s="54" t="s">
        <v>1139</v>
      </c>
      <c r="C31" s="54" t="s">
        <v>3102</v>
      </c>
      <c r="D31" s="54" t="s">
        <v>3014</v>
      </c>
      <c r="E31" s="54" t="s">
        <v>3015</v>
      </c>
      <c r="F31" s="54" t="s">
        <v>1139</v>
      </c>
      <c r="G31" s="54" t="s">
        <v>3016</v>
      </c>
      <c r="H31" s="54" t="s">
        <v>3103</v>
      </c>
      <c r="I31" s="54" t="s">
        <v>3014</v>
      </c>
      <c r="J31" s="54" t="s">
        <v>3018</v>
      </c>
      <c r="K31" s="54" t="s">
        <v>3104</v>
      </c>
      <c r="L31" s="54" t="s">
        <v>3</v>
      </c>
      <c r="M31" s="54" t="s">
        <v>3</v>
      </c>
      <c r="N31" s="54" t="s">
        <v>3</v>
      </c>
    </row>
    <row r="32" spans="1:14" x14ac:dyDescent="0.25">
      <c r="A32" s="54">
        <v>31</v>
      </c>
      <c r="B32" s="54" t="s">
        <v>1162</v>
      </c>
      <c r="C32" s="54" t="s">
        <v>3105</v>
      </c>
      <c r="D32" s="54" t="s">
        <v>3014</v>
      </c>
      <c r="E32" s="54" t="s">
        <v>3015</v>
      </c>
      <c r="F32" s="54" t="s">
        <v>1162</v>
      </c>
      <c r="G32" s="54" t="s">
        <v>3016</v>
      </c>
      <c r="H32" s="54" t="s">
        <v>3106</v>
      </c>
      <c r="I32" s="54" t="s">
        <v>3014</v>
      </c>
      <c r="J32" s="54" t="s">
        <v>3018</v>
      </c>
      <c r="K32" s="54" t="s">
        <v>3107</v>
      </c>
      <c r="L32" s="54" t="s">
        <v>3108</v>
      </c>
      <c r="M32" s="54" t="s">
        <v>3</v>
      </c>
      <c r="N32" s="54" t="s">
        <v>3</v>
      </c>
    </row>
    <row r="33" spans="1:14" x14ac:dyDescent="0.25">
      <c r="A33" s="54">
        <v>32</v>
      </c>
      <c r="B33" s="54" t="s">
        <v>1251</v>
      </c>
      <c r="C33" s="54" t="s">
        <v>3109</v>
      </c>
      <c r="D33" s="54" t="s">
        <v>1090</v>
      </c>
      <c r="E33" s="54" t="s">
        <v>42</v>
      </c>
      <c r="F33" s="54" t="s">
        <v>1251</v>
      </c>
      <c r="G33" s="54" t="s">
        <v>3</v>
      </c>
      <c r="H33" s="54" t="s">
        <v>1306</v>
      </c>
      <c r="I33" s="54" t="s">
        <v>1090</v>
      </c>
      <c r="J33" s="54" t="s">
        <v>3110</v>
      </c>
      <c r="K33" s="54" t="s">
        <v>3109</v>
      </c>
      <c r="L33" s="54" t="s">
        <v>3111</v>
      </c>
      <c r="M33" s="54" t="s">
        <v>3</v>
      </c>
      <c r="N33" s="54" t="s">
        <v>3</v>
      </c>
    </row>
    <row r="34" spans="1:14" x14ac:dyDescent="0.25">
      <c r="A34" s="54">
        <v>33</v>
      </c>
      <c r="B34" s="54" t="s">
        <v>1364</v>
      </c>
      <c r="C34" s="54" t="s">
        <v>3112</v>
      </c>
      <c r="D34" s="54" t="s">
        <v>3113</v>
      </c>
      <c r="E34" s="54" t="s">
        <v>42</v>
      </c>
      <c r="F34" s="54" t="s">
        <v>1364</v>
      </c>
      <c r="G34" s="54" t="s">
        <v>3</v>
      </c>
      <c r="H34" s="54" t="s">
        <v>1376</v>
      </c>
      <c r="I34" s="54" t="s">
        <v>3113</v>
      </c>
      <c r="J34" s="54" t="s">
        <v>3098</v>
      </c>
      <c r="K34" s="54" t="s">
        <v>3112</v>
      </c>
      <c r="L34" s="54" t="s">
        <v>3</v>
      </c>
      <c r="M34" s="54" t="s">
        <v>3</v>
      </c>
      <c r="N34" s="54" t="s">
        <v>3</v>
      </c>
    </row>
    <row r="35" spans="1:14" x14ac:dyDescent="0.25">
      <c r="A35" s="54">
        <v>34</v>
      </c>
      <c r="B35" s="54" t="s">
        <v>1409</v>
      </c>
      <c r="C35" s="54" t="s">
        <v>3114</v>
      </c>
      <c r="D35" s="54" t="s">
        <v>250</v>
      </c>
      <c r="E35" s="54" t="s">
        <v>42</v>
      </c>
      <c r="F35" s="54" t="s">
        <v>1409</v>
      </c>
      <c r="G35" s="54" t="s">
        <v>227</v>
      </c>
      <c r="H35" s="54" t="s">
        <v>1410</v>
      </c>
      <c r="I35" s="54" t="s">
        <v>250</v>
      </c>
      <c r="J35" s="54" t="s">
        <v>3083</v>
      </c>
      <c r="K35" s="54" t="s">
        <v>3114</v>
      </c>
      <c r="L35" s="54" t="s">
        <v>3</v>
      </c>
      <c r="M35" s="54" t="s">
        <v>3</v>
      </c>
      <c r="N35" s="54" t="s">
        <v>3</v>
      </c>
    </row>
    <row r="36" spans="1:14" x14ac:dyDescent="0.25">
      <c r="A36" s="54">
        <v>35</v>
      </c>
      <c r="B36" s="54" t="s">
        <v>1435</v>
      </c>
      <c r="C36" s="54" t="s">
        <v>3115</v>
      </c>
      <c r="D36" s="54" t="s">
        <v>2034</v>
      </c>
      <c r="E36" s="54" t="s">
        <v>43</v>
      </c>
      <c r="F36" s="54" t="s">
        <v>1435</v>
      </c>
      <c r="G36" s="54" t="s">
        <v>1439</v>
      </c>
      <c r="H36" s="54" t="s">
        <v>1440</v>
      </c>
      <c r="I36" s="54" t="s">
        <v>2034</v>
      </c>
      <c r="J36" s="54" t="s">
        <v>3116</v>
      </c>
      <c r="K36" s="54" t="s">
        <v>3117</v>
      </c>
      <c r="L36" s="54" t="s">
        <v>3115</v>
      </c>
      <c r="M36" s="54" t="s">
        <v>3118</v>
      </c>
      <c r="N36" s="54" t="s">
        <v>3</v>
      </c>
    </row>
    <row r="37" spans="1:14" x14ac:dyDescent="0.25">
      <c r="A37" s="54">
        <v>36</v>
      </c>
      <c r="B37" s="54" t="s">
        <v>1451</v>
      </c>
      <c r="C37" s="54" t="s">
        <v>3119</v>
      </c>
      <c r="D37" s="54" t="s">
        <v>1455</v>
      </c>
      <c r="E37" s="54" t="s">
        <v>42</v>
      </c>
      <c r="F37" s="54" t="s">
        <v>1451</v>
      </c>
      <c r="G37" s="54" t="s">
        <v>3</v>
      </c>
      <c r="H37" s="54" t="s">
        <v>1452</v>
      </c>
      <c r="I37" s="54" t="s">
        <v>1455</v>
      </c>
      <c r="J37" s="54" t="s">
        <v>3120</v>
      </c>
      <c r="K37" s="54" t="s">
        <v>3119</v>
      </c>
      <c r="L37" s="54" t="s">
        <v>3121</v>
      </c>
      <c r="M37" s="54" t="s">
        <v>3122</v>
      </c>
      <c r="N37" s="54" t="s">
        <v>3</v>
      </c>
    </row>
    <row r="38" spans="1:14" x14ac:dyDescent="0.25">
      <c r="A38" s="54">
        <v>37</v>
      </c>
      <c r="B38" s="54" t="s">
        <v>1472</v>
      </c>
      <c r="C38" s="54" t="s">
        <v>3123</v>
      </c>
      <c r="D38" s="54" t="s">
        <v>3113</v>
      </c>
      <c r="E38" s="54" t="s">
        <v>42</v>
      </c>
      <c r="F38" s="54" t="s">
        <v>1472</v>
      </c>
      <c r="G38" s="54" t="s">
        <v>3</v>
      </c>
      <c r="H38" s="54" t="s">
        <v>1474</v>
      </c>
      <c r="I38" s="54" t="s">
        <v>3113</v>
      </c>
      <c r="J38" s="54" t="s">
        <v>3124</v>
      </c>
      <c r="K38" s="54" t="s">
        <v>3123</v>
      </c>
      <c r="L38" s="54" t="s">
        <v>3125</v>
      </c>
      <c r="M38" s="54" t="s">
        <v>3126</v>
      </c>
      <c r="N38" s="54" t="s">
        <v>3</v>
      </c>
    </row>
    <row r="39" spans="1:14" x14ac:dyDescent="0.25">
      <c r="A39" s="54">
        <v>38</v>
      </c>
      <c r="B39" s="54" t="s">
        <v>1534</v>
      </c>
      <c r="C39" s="54" t="s">
        <v>3127</v>
      </c>
      <c r="D39" s="54" t="s">
        <v>250</v>
      </c>
      <c r="E39" s="54" t="s">
        <v>42</v>
      </c>
      <c r="F39" s="54" t="s">
        <v>1534</v>
      </c>
      <c r="G39" s="54" t="s">
        <v>1535</v>
      </c>
      <c r="H39" s="54" t="s">
        <v>1483</v>
      </c>
      <c r="I39" s="54" t="s">
        <v>250</v>
      </c>
      <c r="J39" s="54" t="s">
        <v>1048</v>
      </c>
      <c r="K39" s="54" t="s">
        <v>3127</v>
      </c>
      <c r="L39" s="54" t="s">
        <v>3128</v>
      </c>
      <c r="M39" s="54" t="s">
        <v>3129</v>
      </c>
      <c r="N39" s="54" t="s">
        <v>3</v>
      </c>
    </row>
    <row r="40" spans="1:14" x14ac:dyDescent="0.25">
      <c r="A40" s="54">
        <v>39</v>
      </c>
      <c r="B40" s="54" t="s">
        <v>1560</v>
      </c>
      <c r="C40" s="54" t="s">
        <v>3130</v>
      </c>
      <c r="D40" s="54" t="s">
        <v>3014</v>
      </c>
      <c r="E40" s="54" t="s">
        <v>3015</v>
      </c>
      <c r="F40" s="54" t="s">
        <v>1560</v>
      </c>
      <c r="G40" s="54" t="s">
        <v>3016</v>
      </c>
      <c r="H40" s="54" t="s">
        <v>3131</v>
      </c>
      <c r="I40" s="54" t="s">
        <v>3014</v>
      </c>
      <c r="J40" s="54" t="s">
        <v>3018</v>
      </c>
      <c r="K40" s="54" t="s">
        <v>3132</v>
      </c>
      <c r="L40" s="54" t="s">
        <v>3133</v>
      </c>
      <c r="M40" s="54" t="s">
        <v>3</v>
      </c>
      <c r="N40" s="54" t="s">
        <v>3</v>
      </c>
    </row>
    <row r="41" spans="1:14" x14ac:dyDescent="0.25">
      <c r="A41" s="54">
        <v>40</v>
      </c>
      <c r="B41" s="54" t="s">
        <v>1582</v>
      </c>
      <c r="C41" s="54" t="s">
        <v>3134</v>
      </c>
      <c r="D41" s="54" t="s">
        <v>3090</v>
      </c>
      <c r="E41" s="54" t="s">
        <v>43</v>
      </c>
      <c r="F41" s="54" t="s">
        <v>1582</v>
      </c>
      <c r="G41" s="54" t="s">
        <v>3</v>
      </c>
      <c r="H41" s="54" t="s">
        <v>1593</v>
      </c>
      <c r="I41" s="54" t="s">
        <v>3090</v>
      </c>
      <c r="J41" s="54" t="s">
        <v>3135</v>
      </c>
      <c r="K41" s="54" t="s">
        <v>3136</v>
      </c>
      <c r="L41" s="54" t="s">
        <v>3134</v>
      </c>
      <c r="M41" s="54" t="s">
        <v>3</v>
      </c>
      <c r="N41" s="54" t="s">
        <v>3137</v>
      </c>
    </row>
    <row r="42" spans="1:14" x14ac:dyDescent="0.25">
      <c r="A42" s="54">
        <v>41</v>
      </c>
      <c r="B42" s="54" t="s">
        <v>1611</v>
      </c>
      <c r="C42" s="54" t="s">
        <v>3138</v>
      </c>
      <c r="D42" s="54" t="s">
        <v>2990</v>
      </c>
      <c r="E42" s="54" t="s">
        <v>43</v>
      </c>
      <c r="F42" s="54" t="s">
        <v>1611</v>
      </c>
      <c r="G42" s="54" t="s">
        <v>3</v>
      </c>
      <c r="H42" s="54" t="s">
        <v>1641</v>
      </c>
      <c r="I42" s="54" t="s">
        <v>2990</v>
      </c>
      <c r="J42" s="54" t="s">
        <v>2991</v>
      </c>
      <c r="K42" s="54" t="s">
        <v>3139</v>
      </c>
      <c r="L42" s="54" t="s">
        <v>3138</v>
      </c>
      <c r="M42" s="54" t="s">
        <v>3140</v>
      </c>
      <c r="N42" s="54" t="s">
        <v>3</v>
      </c>
    </row>
    <row r="43" spans="1:14" x14ac:dyDescent="0.25">
      <c r="A43" s="54">
        <v>42</v>
      </c>
      <c r="B43" s="54" t="s">
        <v>1664</v>
      </c>
      <c r="C43" s="54" t="s">
        <v>3141</v>
      </c>
      <c r="D43" s="54" t="s">
        <v>250</v>
      </c>
      <c r="E43" s="54" t="s">
        <v>42</v>
      </c>
      <c r="F43" s="54" t="s">
        <v>1664</v>
      </c>
      <c r="G43" s="54" t="s">
        <v>227</v>
      </c>
      <c r="H43" s="54" t="s">
        <v>1682</v>
      </c>
      <c r="I43" s="54" t="s">
        <v>250</v>
      </c>
      <c r="J43" s="54" t="s">
        <v>3083</v>
      </c>
      <c r="K43" s="54" t="s">
        <v>3141</v>
      </c>
      <c r="L43" s="54" t="s">
        <v>3142</v>
      </c>
      <c r="M43" s="54" t="s">
        <v>3143</v>
      </c>
      <c r="N43" s="54" t="s">
        <v>3</v>
      </c>
    </row>
    <row r="44" spans="1:14" x14ac:dyDescent="0.25">
      <c r="A44" s="54">
        <v>43</v>
      </c>
      <c r="B44" s="54" t="s">
        <v>1706</v>
      </c>
      <c r="C44" s="54" t="s">
        <v>3079</v>
      </c>
      <c r="D44" s="54" t="s">
        <v>2990</v>
      </c>
      <c r="E44" s="54" t="s">
        <v>42</v>
      </c>
      <c r="F44" s="54" t="s">
        <v>1706</v>
      </c>
      <c r="G44" s="54" t="s">
        <v>3</v>
      </c>
      <c r="H44" s="54" t="s">
        <v>1723</v>
      </c>
      <c r="I44" s="54" t="s">
        <v>2990</v>
      </c>
      <c r="J44" s="54" t="s">
        <v>3076</v>
      </c>
      <c r="K44" s="54" t="s">
        <v>3079</v>
      </c>
      <c r="L44" s="54" t="s">
        <v>3</v>
      </c>
      <c r="M44" s="54" t="s">
        <v>3</v>
      </c>
      <c r="N44" s="54" t="s">
        <v>3</v>
      </c>
    </row>
    <row r="45" spans="1:14" x14ac:dyDescent="0.25">
      <c r="A45" s="54">
        <v>44</v>
      </c>
      <c r="B45" s="54" t="s">
        <v>1768</v>
      </c>
      <c r="C45" s="54" t="s">
        <v>3144</v>
      </c>
      <c r="D45" s="54" t="s">
        <v>1780</v>
      </c>
      <c r="E45" s="54" t="s">
        <v>42</v>
      </c>
      <c r="F45" s="54" t="s">
        <v>1768</v>
      </c>
      <c r="G45" s="54" t="s">
        <v>649</v>
      </c>
      <c r="H45" s="54" t="s">
        <v>1712</v>
      </c>
      <c r="I45" s="54" t="s">
        <v>1780</v>
      </c>
      <c r="J45" s="54" t="s">
        <v>3083</v>
      </c>
      <c r="K45" s="54" t="s">
        <v>3144</v>
      </c>
      <c r="L45" s="54" t="s">
        <v>3</v>
      </c>
      <c r="M45" s="54" t="s">
        <v>3</v>
      </c>
      <c r="N45" s="54" t="s">
        <v>3</v>
      </c>
    </row>
    <row r="46" spans="1:14" x14ac:dyDescent="0.25">
      <c r="A46" s="54">
        <v>45</v>
      </c>
      <c r="B46" s="54" t="s">
        <v>1781</v>
      </c>
      <c r="C46" s="54" t="s">
        <v>3145</v>
      </c>
      <c r="D46" s="54" t="s">
        <v>2596</v>
      </c>
      <c r="E46" s="54" t="s">
        <v>43</v>
      </c>
      <c r="F46" s="54" t="s">
        <v>1781</v>
      </c>
      <c r="G46" s="54" t="s">
        <v>3</v>
      </c>
      <c r="H46" s="54" t="s">
        <v>1788</v>
      </c>
      <c r="I46" s="54" t="s">
        <v>2596</v>
      </c>
      <c r="J46" s="54" t="s">
        <v>3146</v>
      </c>
      <c r="K46" s="54" t="s">
        <v>3147</v>
      </c>
      <c r="L46" s="54" t="s">
        <v>3145</v>
      </c>
      <c r="M46" s="54" t="s">
        <v>3</v>
      </c>
      <c r="N46" s="54" t="s">
        <v>3</v>
      </c>
    </row>
    <row r="47" spans="1:14" x14ac:dyDescent="0.25">
      <c r="A47" s="54">
        <v>46</v>
      </c>
      <c r="B47" s="54" t="s">
        <v>1807</v>
      </c>
      <c r="C47" s="54" t="s">
        <v>3148</v>
      </c>
      <c r="D47" s="54" t="s">
        <v>3014</v>
      </c>
      <c r="E47" s="54" t="s">
        <v>3015</v>
      </c>
      <c r="F47" s="54" t="s">
        <v>1807</v>
      </c>
      <c r="G47" s="54" t="s">
        <v>3016</v>
      </c>
      <c r="H47" s="54" t="s">
        <v>3149</v>
      </c>
      <c r="I47" s="54" t="s">
        <v>3014</v>
      </c>
      <c r="J47" s="54" t="s">
        <v>3018</v>
      </c>
      <c r="K47" s="54" t="s">
        <v>3150</v>
      </c>
      <c r="L47" s="54" t="s">
        <v>3151</v>
      </c>
      <c r="M47" s="54" t="s">
        <v>3</v>
      </c>
      <c r="N47" s="54" t="s">
        <v>3</v>
      </c>
    </row>
    <row r="48" spans="1:14" x14ac:dyDescent="0.25">
      <c r="A48" s="54">
        <v>47</v>
      </c>
      <c r="B48" s="54" t="s">
        <v>1823</v>
      </c>
      <c r="C48" s="54" t="s">
        <v>3152</v>
      </c>
      <c r="D48" s="54" t="s">
        <v>194</v>
      </c>
      <c r="E48" s="54" t="s">
        <v>42</v>
      </c>
      <c r="F48" s="54" t="s">
        <v>1823</v>
      </c>
      <c r="G48" s="54" t="s">
        <v>3</v>
      </c>
      <c r="H48" s="54" t="s">
        <v>1836</v>
      </c>
      <c r="I48" s="54" t="s">
        <v>194</v>
      </c>
      <c r="J48" s="54" t="s">
        <v>2999</v>
      </c>
      <c r="K48" s="54" t="s">
        <v>3152</v>
      </c>
      <c r="L48" s="54" t="s">
        <v>3153</v>
      </c>
      <c r="M48" s="54" t="s">
        <v>3</v>
      </c>
      <c r="N48" s="54" t="s">
        <v>3154</v>
      </c>
    </row>
    <row r="49" spans="1:14" x14ac:dyDescent="0.25">
      <c r="A49" s="54">
        <v>48</v>
      </c>
      <c r="B49" s="54" t="s">
        <v>1858</v>
      </c>
      <c r="C49" s="54" t="s">
        <v>3155</v>
      </c>
      <c r="D49" s="54" t="s">
        <v>3156</v>
      </c>
      <c r="E49" s="54" t="s">
        <v>43</v>
      </c>
      <c r="F49" s="54" t="s">
        <v>1858</v>
      </c>
      <c r="G49" s="54" t="s">
        <v>86</v>
      </c>
      <c r="H49" s="54" t="s">
        <v>1874</v>
      </c>
      <c r="I49" s="54" t="s">
        <v>3156</v>
      </c>
      <c r="J49" s="54" t="s">
        <v>3157</v>
      </c>
      <c r="K49" s="54" t="s">
        <v>3158</v>
      </c>
      <c r="L49" s="54" t="s">
        <v>3155</v>
      </c>
      <c r="M49" s="54" t="s">
        <v>3</v>
      </c>
      <c r="N49" s="54" t="s">
        <v>3159</v>
      </c>
    </row>
    <row r="50" spans="1:14" x14ac:dyDescent="0.25">
      <c r="A50" s="54">
        <v>49</v>
      </c>
      <c r="B50" s="54" t="s">
        <v>1885</v>
      </c>
      <c r="C50" s="54" t="s">
        <v>3160</v>
      </c>
      <c r="D50" s="54" t="s">
        <v>2990</v>
      </c>
      <c r="E50" s="54" t="s">
        <v>42</v>
      </c>
      <c r="F50" s="54" t="s">
        <v>1885</v>
      </c>
      <c r="G50" s="54" t="s">
        <v>3</v>
      </c>
      <c r="H50" s="54" t="s">
        <v>1920</v>
      </c>
      <c r="I50" s="54" t="s">
        <v>2990</v>
      </c>
      <c r="J50" s="54" t="s">
        <v>2991</v>
      </c>
      <c r="K50" s="54" t="s">
        <v>3160</v>
      </c>
      <c r="L50" s="54" t="s">
        <v>3161</v>
      </c>
      <c r="M50" s="54" t="s">
        <v>3162</v>
      </c>
      <c r="N50" s="54" t="s">
        <v>3163</v>
      </c>
    </row>
    <row r="51" spans="1:14" x14ac:dyDescent="0.25">
      <c r="A51" s="54">
        <v>50</v>
      </c>
      <c r="B51" s="54" t="s">
        <v>1984</v>
      </c>
      <c r="C51" s="54" t="s">
        <v>3164</v>
      </c>
      <c r="D51" s="54" t="s">
        <v>2008</v>
      </c>
      <c r="E51" s="54" t="s">
        <v>42</v>
      </c>
      <c r="F51" s="54" t="s">
        <v>1984</v>
      </c>
      <c r="G51" s="54" t="s">
        <v>3</v>
      </c>
      <c r="H51" s="54" t="s">
        <v>2001</v>
      </c>
      <c r="I51" s="54" t="s">
        <v>2008</v>
      </c>
      <c r="J51" s="54" t="s">
        <v>3012</v>
      </c>
      <c r="K51" s="54" t="s">
        <v>3164</v>
      </c>
      <c r="L51" s="54" t="s">
        <v>3</v>
      </c>
      <c r="M51" s="54" t="s">
        <v>3</v>
      </c>
      <c r="N51" s="54" t="s">
        <v>3</v>
      </c>
    </row>
    <row r="52" spans="1:14" x14ac:dyDescent="0.25">
      <c r="A52" s="54">
        <v>51</v>
      </c>
      <c r="B52" s="54" t="s">
        <v>2035</v>
      </c>
      <c r="C52" s="54" t="s">
        <v>3165</v>
      </c>
      <c r="D52" s="54" t="s">
        <v>3011</v>
      </c>
      <c r="E52" s="54" t="s">
        <v>42</v>
      </c>
      <c r="F52" s="54" t="s">
        <v>2035</v>
      </c>
      <c r="G52" s="54" t="s">
        <v>3</v>
      </c>
      <c r="H52" s="54" t="s">
        <v>2037</v>
      </c>
      <c r="I52" s="54" t="s">
        <v>3011</v>
      </c>
      <c r="J52" s="54" t="s">
        <v>3012</v>
      </c>
      <c r="K52" s="54" t="s">
        <v>3165</v>
      </c>
      <c r="L52" s="54" t="s">
        <v>3166</v>
      </c>
      <c r="M52" s="54" t="s">
        <v>3167</v>
      </c>
      <c r="N52" s="54" t="s">
        <v>3</v>
      </c>
    </row>
    <row r="53" spans="1:14" x14ac:dyDescent="0.25">
      <c r="A53" s="54">
        <v>52</v>
      </c>
      <c r="B53" s="54" t="s">
        <v>2076</v>
      </c>
      <c r="C53" s="54" t="s">
        <v>3168</v>
      </c>
      <c r="D53" s="54" t="s">
        <v>3090</v>
      </c>
      <c r="E53" s="54" t="s">
        <v>43</v>
      </c>
      <c r="F53" s="54" t="s">
        <v>2076</v>
      </c>
      <c r="G53" s="54" t="s">
        <v>3</v>
      </c>
      <c r="H53" s="54" t="s">
        <v>2086</v>
      </c>
      <c r="I53" s="54" t="s">
        <v>3090</v>
      </c>
      <c r="J53" s="54" t="s">
        <v>3135</v>
      </c>
      <c r="K53" s="54" t="s">
        <v>3169</v>
      </c>
      <c r="L53" s="54" t="s">
        <v>3168</v>
      </c>
      <c r="M53" s="54" t="s">
        <v>3</v>
      </c>
      <c r="N53" s="54" t="s">
        <v>3170</v>
      </c>
    </row>
    <row r="54" spans="1:14" x14ac:dyDescent="0.25">
      <c r="A54" s="54">
        <v>53</v>
      </c>
      <c r="B54" s="54" t="s">
        <v>2110</v>
      </c>
      <c r="C54" s="54" t="s">
        <v>3171</v>
      </c>
      <c r="D54" s="54" t="s">
        <v>3172</v>
      </c>
      <c r="E54" s="54" t="s">
        <v>41</v>
      </c>
      <c r="F54" s="54" t="s">
        <v>2110</v>
      </c>
      <c r="G54" s="54" t="s">
        <v>3</v>
      </c>
      <c r="H54" s="54" t="s">
        <v>2123</v>
      </c>
      <c r="I54" s="54" t="s">
        <v>3172</v>
      </c>
      <c r="J54" s="54" t="s">
        <v>3173</v>
      </c>
      <c r="K54" s="54" t="s">
        <v>3174</v>
      </c>
      <c r="L54" s="54" t="s">
        <v>3175</v>
      </c>
      <c r="M54" s="54" t="s">
        <v>3</v>
      </c>
      <c r="N54" s="54" t="s">
        <v>3171</v>
      </c>
    </row>
    <row r="55" spans="1:14" x14ac:dyDescent="0.25">
      <c r="A55" s="54">
        <v>54</v>
      </c>
      <c r="B55" s="54" t="s">
        <v>2223</v>
      </c>
      <c r="C55" s="54" t="s">
        <v>3176</v>
      </c>
      <c r="D55" s="54" t="s">
        <v>1455</v>
      </c>
      <c r="E55" s="54" t="s">
        <v>42</v>
      </c>
      <c r="F55" s="54" t="s">
        <v>2223</v>
      </c>
      <c r="G55" s="54" t="s">
        <v>3</v>
      </c>
      <c r="H55" s="54" t="s">
        <v>2265</v>
      </c>
      <c r="I55" s="54" t="s">
        <v>1455</v>
      </c>
      <c r="J55" s="54" t="s">
        <v>3120</v>
      </c>
      <c r="K55" s="54" t="s">
        <v>3176</v>
      </c>
      <c r="L55" s="54" t="s">
        <v>3177</v>
      </c>
      <c r="M55" s="54" t="s">
        <v>3</v>
      </c>
      <c r="N55" s="54" t="s">
        <v>3015</v>
      </c>
    </row>
    <row r="56" spans="1:14" x14ac:dyDescent="0.25">
      <c r="A56" s="54">
        <v>55</v>
      </c>
      <c r="B56" s="54" t="s">
        <v>2446</v>
      </c>
      <c r="C56" s="54" t="s">
        <v>3178</v>
      </c>
      <c r="D56" s="54" t="s">
        <v>1455</v>
      </c>
      <c r="E56" s="54" t="s">
        <v>42</v>
      </c>
      <c r="F56" s="54" t="s">
        <v>2446</v>
      </c>
      <c r="G56" s="54" t="s">
        <v>3</v>
      </c>
      <c r="H56" s="54" t="s">
        <v>2449</v>
      </c>
      <c r="I56" s="54" t="s">
        <v>1455</v>
      </c>
      <c r="J56" s="54" t="s">
        <v>3120</v>
      </c>
      <c r="K56" s="54" t="s">
        <v>3178</v>
      </c>
      <c r="L56" s="54" t="s">
        <v>3179</v>
      </c>
      <c r="M56" s="54" t="s">
        <v>3</v>
      </c>
      <c r="N56" s="54" t="s">
        <v>3180</v>
      </c>
    </row>
    <row r="57" spans="1:14" x14ac:dyDescent="0.25">
      <c r="A57" s="54">
        <v>56</v>
      </c>
      <c r="B57" s="54" t="s">
        <v>2476</v>
      </c>
      <c r="C57" s="54" t="s">
        <v>3181</v>
      </c>
      <c r="D57" s="54" t="s">
        <v>194</v>
      </c>
      <c r="E57" s="54" t="s">
        <v>42</v>
      </c>
      <c r="F57" s="54" t="s">
        <v>2476</v>
      </c>
      <c r="G57" s="54" t="s">
        <v>3</v>
      </c>
      <c r="H57" s="54" t="s">
        <v>2478</v>
      </c>
      <c r="I57" s="54" t="s">
        <v>194</v>
      </c>
      <c r="J57" s="54" t="s">
        <v>2999</v>
      </c>
      <c r="K57" s="54" t="s">
        <v>3181</v>
      </c>
      <c r="L57" s="54" t="s">
        <v>3182</v>
      </c>
      <c r="M57" s="54" t="s">
        <v>3183</v>
      </c>
      <c r="N57" s="54" t="s">
        <v>3184</v>
      </c>
    </row>
    <row r="58" spans="1:14" x14ac:dyDescent="0.25">
      <c r="A58" s="54">
        <v>57</v>
      </c>
      <c r="B58" s="54" t="s">
        <v>2505</v>
      </c>
      <c r="C58" s="54" t="s">
        <v>3185</v>
      </c>
      <c r="D58" s="54" t="s">
        <v>194</v>
      </c>
      <c r="E58" s="54" t="s">
        <v>42</v>
      </c>
      <c r="F58" s="54" t="s">
        <v>2505</v>
      </c>
      <c r="G58" s="54" t="s">
        <v>3</v>
      </c>
      <c r="H58" s="54" t="s">
        <v>2509</v>
      </c>
      <c r="I58" s="54" t="s">
        <v>194</v>
      </c>
      <c r="J58" s="54" t="s">
        <v>3120</v>
      </c>
      <c r="K58" s="54" t="s">
        <v>3185</v>
      </c>
      <c r="L58" s="54" t="s">
        <v>3186</v>
      </c>
      <c r="M58" s="54" t="s">
        <v>3</v>
      </c>
      <c r="N58" s="54" t="s">
        <v>3</v>
      </c>
    </row>
    <row r="59" spans="1:14" x14ac:dyDescent="0.25">
      <c r="A59" s="54">
        <v>58</v>
      </c>
      <c r="B59" s="54" t="s">
        <v>2548</v>
      </c>
      <c r="C59" s="54" t="s">
        <v>3187</v>
      </c>
      <c r="D59" s="54" t="s">
        <v>194</v>
      </c>
      <c r="E59" s="54" t="s">
        <v>42</v>
      </c>
      <c r="F59" s="54" t="s">
        <v>2548</v>
      </c>
      <c r="G59" s="54" t="s">
        <v>3</v>
      </c>
      <c r="H59" s="54" t="s">
        <v>2553</v>
      </c>
      <c r="I59" s="54" t="s">
        <v>194</v>
      </c>
      <c r="J59" s="54" t="s">
        <v>2999</v>
      </c>
      <c r="K59" s="54" t="s">
        <v>3187</v>
      </c>
      <c r="L59" s="54" t="s">
        <v>3188</v>
      </c>
      <c r="M59" s="54" t="s">
        <v>3</v>
      </c>
      <c r="N59" s="54" t="s">
        <v>3189</v>
      </c>
    </row>
    <row r="60" spans="1:14" x14ac:dyDescent="0.25">
      <c r="A60" s="54">
        <v>59</v>
      </c>
      <c r="B60" s="54" t="s">
        <v>2587</v>
      </c>
      <c r="C60" s="54" t="s">
        <v>3190</v>
      </c>
      <c r="D60" s="54" t="s">
        <v>2596</v>
      </c>
      <c r="E60" s="54" t="s">
        <v>42</v>
      </c>
      <c r="F60" s="54" t="s">
        <v>2587</v>
      </c>
      <c r="G60" s="54" t="s">
        <v>3</v>
      </c>
      <c r="H60" s="54" t="s">
        <v>2590</v>
      </c>
      <c r="I60" s="54" t="s">
        <v>2596</v>
      </c>
      <c r="J60" s="54" t="s">
        <v>3039</v>
      </c>
      <c r="K60" s="54" t="s">
        <v>3190</v>
      </c>
      <c r="L60" s="54" t="s">
        <v>3191</v>
      </c>
      <c r="M60" s="54" t="s">
        <v>3192</v>
      </c>
      <c r="N60" s="54" t="s">
        <v>3193</v>
      </c>
    </row>
    <row r="61" spans="1:14" x14ac:dyDescent="0.25">
      <c r="A61" s="54">
        <v>60</v>
      </c>
      <c r="B61" s="54" t="s">
        <v>2624</v>
      </c>
      <c r="C61" s="54" t="s">
        <v>3194</v>
      </c>
      <c r="D61" s="54" t="s">
        <v>3195</v>
      </c>
      <c r="E61" s="54" t="s">
        <v>42</v>
      </c>
      <c r="F61" s="54" t="s">
        <v>2624</v>
      </c>
      <c r="G61" s="54" t="s">
        <v>3</v>
      </c>
      <c r="H61" s="54" t="s">
        <v>2627</v>
      </c>
      <c r="I61" s="54" t="s">
        <v>3195</v>
      </c>
      <c r="J61" s="54" t="s">
        <v>646</v>
      </c>
      <c r="K61" s="54" t="s">
        <v>3194</v>
      </c>
      <c r="L61" s="54" t="s">
        <v>3196</v>
      </c>
      <c r="M61" s="54" t="s">
        <v>3</v>
      </c>
      <c r="N61" s="54" t="s">
        <v>3</v>
      </c>
    </row>
    <row r="62" spans="1:14" x14ac:dyDescent="0.25">
      <c r="A62" s="54">
        <v>61</v>
      </c>
      <c r="B62" s="54" t="s">
        <v>2652</v>
      </c>
      <c r="C62" s="54" t="s">
        <v>3197</v>
      </c>
      <c r="D62" s="54" t="s">
        <v>3198</v>
      </c>
      <c r="E62" s="54" t="s">
        <v>41</v>
      </c>
      <c r="F62" s="54" t="s">
        <v>2652</v>
      </c>
      <c r="G62" s="54" t="s">
        <v>3</v>
      </c>
      <c r="H62" s="54" t="s">
        <v>2653</v>
      </c>
      <c r="I62" s="54" t="s">
        <v>3198</v>
      </c>
      <c r="J62" s="54" t="s">
        <v>3199</v>
      </c>
      <c r="K62" s="54" t="s">
        <v>3200</v>
      </c>
      <c r="L62" s="54" t="s">
        <v>3201</v>
      </c>
      <c r="M62" s="54" t="s">
        <v>3</v>
      </c>
      <c r="N62" s="54" t="s">
        <v>3197</v>
      </c>
    </row>
    <row r="63" spans="1:14" x14ac:dyDescent="0.25">
      <c r="A63" s="54">
        <v>62</v>
      </c>
      <c r="B63" s="54" t="s">
        <v>2711</v>
      </c>
      <c r="C63" s="54" t="s">
        <v>3202</v>
      </c>
      <c r="D63" s="54" t="s">
        <v>3203</v>
      </c>
      <c r="E63" s="54" t="s">
        <v>42</v>
      </c>
      <c r="F63" s="54" t="s">
        <v>2711</v>
      </c>
      <c r="G63" s="54" t="s">
        <v>3</v>
      </c>
      <c r="H63" s="54" t="s">
        <v>2726</v>
      </c>
      <c r="I63" s="54" t="s">
        <v>3203</v>
      </c>
      <c r="J63" s="54" t="s">
        <v>670</v>
      </c>
      <c r="K63" s="54" t="s">
        <v>3202</v>
      </c>
      <c r="L63" s="54" t="s">
        <v>3</v>
      </c>
      <c r="M63" s="54" t="s">
        <v>3</v>
      </c>
      <c r="N63" s="54" t="s">
        <v>3204</v>
      </c>
    </row>
    <row r="64" spans="1:14" x14ac:dyDescent="0.25">
      <c r="A64" s="54">
        <v>63</v>
      </c>
      <c r="B64" s="54" t="s">
        <v>2756</v>
      </c>
      <c r="C64" s="54" t="s">
        <v>3205</v>
      </c>
      <c r="D64" s="54" t="s">
        <v>3206</v>
      </c>
      <c r="E64" s="54" t="s">
        <v>41</v>
      </c>
      <c r="F64" s="54" t="s">
        <v>2756</v>
      </c>
      <c r="G64" s="54" t="s">
        <v>3</v>
      </c>
      <c r="H64" s="54" t="s">
        <v>2757</v>
      </c>
      <c r="I64" s="54" t="s">
        <v>3206</v>
      </c>
      <c r="J64" s="54" t="s">
        <v>206</v>
      </c>
      <c r="K64" s="54" t="s">
        <v>3207</v>
      </c>
      <c r="L64" s="54" t="s">
        <v>3</v>
      </c>
      <c r="M64" s="54" t="s">
        <v>3</v>
      </c>
      <c r="N64" s="54" t="s">
        <v>3205</v>
      </c>
    </row>
    <row r="65" spans="1:14" x14ac:dyDescent="0.25">
      <c r="A65" s="54">
        <v>64</v>
      </c>
      <c r="B65" s="54" t="s">
        <v>2827</v>
      </c>
      <c r="C65" s="54" t="s">
        <v>3208</v>
      </c>
      <c r="D65" s="54" t="s">
        <v>2839</v>
      </c>
      <c r="E65" s="54" t="s">
        <v>42</v>
      </c>
      <c r="F65" s="54" t="s">
        <v>2827</v>
      </c>
      <c r="G65" s="54" t="s">
        <v>3</v>
      </c>
      <c r="H65" s="54" t="s">
        <v>2838</v>
      </c>
      <c r="I65" s="54" t="s">
        <v>2839</v>
      </c>
      <c r="J65" s="54" t="s">
        <v>3209</v>
      </c>
      <c r="K65" s="54" t="s">
        <v>3208</v>
      </c>
      <c r="L65" s="54" t="s">
        <v>3</v>
      </c>
      <c r="M65" s="54" t="s">
        <v>3</v>
      </c>
      <c r="N65" s="54" t="s">
        <v>3</v>
      </c>
    </row>
    <row r="66" spans="1:14" x14ac:dyDescent="0.25">
      <c r="A66" s="54">
        <v>65</v>
      </c>
      <c r="B66" s="54" t="s">
        <v>2853</v>
      </c>
      <c r="C66" s="54" t="s">
        <v>3210</v>
      </c>
      <c r="D66" s="54" t="s">
        <v>577</v>
      </c>
      <c r="E66" s="54" t="s">
        <v>42</v>
      </c>
      <c r="F66" s="54" t="s">
        <v>2853</v>
      </c>
      <c r="G66" s="54" t="s">
        <v>3</v>
      </c>
      <c r="H66" s="54" t="s">
        <v>2935</v>
      </c>
      <c r="I66" s="54" t="s">
        <v>577</v>
      </c>
      <c r="J66" s="54" t="s">
        <v>3211</v>
      </c>
      <c r="K66" s="54" t="s">
        <v>3210</v>
      </c>
      <c r="L66" s="54" t="s">
        <v>3212</v>
      </c>
      <c r="M66" s="54" t="s">
        <v>3</v>
      </c>
      <c r="N66" s="54" t="s">
        <v>3213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132</vt:i4>
      </vt:variant>
    </vt:vector>
  </HeadingPairs>
  <TitlesOfParts>
    <vt:vector size="132" baseType="lpstr">
      <vt:lpstr>Roll-up</vt:lpstr>
      <vt:lpstr>Agave Village (ag011)</vt:lpstr>
      <vt:lpstr>Agave Village (ag011) Raw</vt:lpstr>
      <vt:lpstr>Agave Village LLC</vt:lpstr>
      <vt:lpstr>Agave Village LLC Raw</vt:lpstr>
      <vt:lpstr>Brookhaven Estates (bo260)</vt:lpstr>
      <vt:lpstr>Brookhaven Estates (bo260) Raw</vt:lpstr>
      <vt:lpstr>Brookhaven RV Resort</vt:lpstr>
      <vt:lpstr>Brookhaven RV Resort Raw</vt:lpstr>
      <vt:lpstr>Courtly Manor</vt:lpstr>
      <vt:lpstr>Courtly Manor Raw</vt:lpstr>
      <vt:lpstr>Courtly Manor Park (co669)</vt:lpstr>
      <vt:lpstr>Courtly Manor Park (co669) Raw</vt:lpstr>
      <vt:lpstr>Cross Creek RV</vt:lpstr>
      <vt:lpstr>Cross Creek RV Raw</vt:lpstr>
      <vt:lpstr>Cross Creek RV Resort (cr994)</vt:lpstr>
      <vt:lpstr>Cross Creek RV Resort (cr994) R</vt:lpstr>
      <vt:lpstr>El Rio De Oro (el289)</vt:lpstr>
      <vt:lpstr>El Rio De Oro (el289) Raw</vt:lpstr>
      <vt:lpstr>El Rio del Oro</vt:lpstr>
      <vt:lpstr>El Rio del Oro Raw</vt:lpstr>
      <vt:lpstr>Endless Summer RV Resort</vt:lpstr>
      <vt:lpstr>Endless Summer RV Resort Raw</vt:lpstr>
      <vt:lpstr>Endless Summer RV Resort (en079</vt:lpstr>
      <vt:lpstr>Endless Summer RV Resort (en 2</vt:lpstr>
      <vt:lpstr>Evergreen</vt:lpstr>
      <vt:lpstr>Evergreen Raw</vt:lpstr>
      <vt:lpstr>Far Horizons</vt:lpstr>
      <vt:lpstr>Far Horizons Raw</vt:lpstr>
      <vt:lpstr>Far Horizons (fa105)</vt:lpstr>
      <vt:lpstr>Far Horizons (fa105) Raw</vt:lpstr>
      <vt:lpstr>Floridian Sandalwood (fl356)</vt:lpstr>
      <vt:lpstr>Floridian Sandalwood (fl356) Ra</vt:lpstr>
      <vt:lpstr>Floridian Sandalwood MHC</vt:lpstr>
      <vt:lpstr>Floridian Sandalwood MHC Raw</vt:lpstr>
      <vt:lpstr>Glenhaven</vt:lpstr>
      <vt:lpstr>Glenhaven Raw</vt:lpstr>
      <vt:lpstr>Glenhaven Estates (gl317)</vt:lpstr>
      <vt:lpstr>Glenhaven Estates (gl317) Raw</vt:lpstr>
      <vt:lpstr>Harbor Lights (ha310)</vt:lpstr>
      <vt:lpstr>Harbor Lights (ha310) Raw</vt:lpstr>
      <vt:lpstr>Harbor Lights MHC</vt:lpstr>
      <vt:lpstr>Harbor Lights MHC Raw</vt:lpstr>
      <vt:lpstr>Harvest Gate</vt:lpstr>
      <vt:lpstr>Harvest Gate Raw</vt:lpstr>
      <vt:lpstr>Hunter Run RV Estates</vt:lpstr>
      <vt:lpstr>Hunter Run RV Estates Raw</vt:lpstr>
      <vt:lpstr>Hunters Run RV Estates (hu116)</vt:lpstr>
      <vt:lpstr>Hunters Run RV Estates (hu116) </vt:lpstr>
      <vt:lpstr>Jade Isle (ja068)</vt:lpstr>
      <vt:lpstr>Jade Isle (ja068) Raw</vt:lpstr>
      <vt:lpstr>Jade Isle MHC</vt:lpstr>
      <vt:lpstr>Jade Isle MHC Raw</vt:lpstr>
      <vt:lpstr>Kakusha Estates (ka045)</vt:lpstr>
      <vt:lpstr>Kakusha Estates (ka045) Raw</vt:lpstr>
      <vt:lpstr>Kakusha MHC</vt:lpstr>
      <vt:lpstr>Kakusha MHC Raw</vt:lpstr>
      <vt:lpstr>Lakeside Village</vt:lpstr>
      <vt:lpstr>Lakeside Village Raw</vt:lpstr>
      <vt:lpstr>Lakeside Village (la482)</vt:lpstr>
      <vt:lpstr>Lakeside Village (la482) Raw</vt:lpstr>
      <vt:lpstr>Lakewood Village (la481)</vt:lpstr>
      <vt:lpstr>Lakewood Village (la481) Raw</vt:lpstr>
      <vt:lpstr>Lakewood Village MHC LLC</vt:lpstr>
      <vt:lpstr>Lakewood Village MHC LLC Raw</vt:lpstr>
      <vt:lpstr>Maple Corner</vt:lpstr>
      <vt:lpstr>Maple Corner Raw</vt:lpstr>
      <vt:lpstr>Maple Corner (ma490)</vt:lpstr>
      <vt:lpstr>Maple Corner (ma490) Raw</vt:lpstr>
      <vt:lpstr>Marlboro Court (ma489)</vt:lpstr>
      <vt:lpstr>Marlboro Court (ma489) Raw</vt:lpstr>
      <vt:lpstr>Marlboro Court MHC LLC</vt:lpstr>
      <vt:lpstr>Marlboro Court MHC LLC Raw</vt:lpstr>
      <vt:lpstr>May Manor</vt:lpstr>
      <vt:lpstr>May Manor Raw</vt:lpstr>
      <vt:lpstr>May Manor (ma488)</vt:lpstr>
      <vt:lpstr>May Manor (ma488) Raw</vt:lpstr>
      <vt:lpstr>Mobiland by the Sea (mo320)</vt:lpstr>
      <vt:lpstr>Mobiland by the Sea (mo320) Raw</vt:lpstr>
      <vt:lpstr>Mobiland By The Sea MHC</vt:lpstr>
      <vt:lpstr>Mobiland By The Sea MHC Raw</vt:lpstr>
      <vt:lpstr>Moss Landing</vt:lpstr>
      <vt:lpstr>Moss Landing Raw</vt:lpstr>
      <vt:lpstr>Moss Landing (mo321)</vt:lpstr>
      <vt:lpstr>Moss Landing (mo321) Raw</vt:lpstr>
      <vt:lpstr>Oak Springs</vt:lpstr>
      <vt:lpstr>Oak Springs Raw</vt:lpstr>
      <vt:lpstr>Oak Springs MHC (oa150)</vt:lpstr>
      <vt:lpstr>Oak Springs MHC (oa150) Raw</vt:lpstr>
      <vt:lpstr>Orange Manor East</vt:lpstr>
      <vt:lpstr>Orange Manor East Raw</vt:lpstr>
      <vt:lpstr>Orange Manor East (or125)</vt:lpstr>
      <vt:lpstr>Orange Manor East (or125) Raw</vt:lpstr>
      <vt:lpstr>Pacific Manor</vt:lpstr>
      <vt:lpstr>Pacific Manor Raw</vt:lpstr>
      <vt:lpstr>Pacific Manor (pa602)</vt:lpstr>
      <vt:lpstr>Pacific Manor (pa602) Raw</vt:lpstr>
      <vt:lpstr>Parkhaven</vt:lpstr>
      <vt:lpstr>Parkhaven Raw</vt:lpstr>
      <vt:lpstr>Ridgecrest</vt:lpstr>
      <vt:lpstr>Ridgecrest Raw</vt:lpstr>
      <vt:lpstr>Riverest</vt:lpstr>
      <vt:lpstr>Riverest Raw</vt:lpstr>
      <vt:lpstr>Riverview MHRV LLC</vt:lpstr>
      <vt:lpstr>Riverview MHRV LLC Raw</vt:lpstr>
      <vt:lpstr>Rosehaven</vt:lpstr>
      <vt:lpstr>Rosehaven Raw</vt:lpstr>
      <vt:lpstr>Sanctuary RV Resort</vt:lpstr>
      <vt:lpstr>Sanctuary RV Resort Raw</vt:lpstr>
      <vt:lpstr>Shadow Mountain MHC</vt:lpstr>
      <vt:lpstr>Shadow Mountain MHC Raw</vt:lpstr>
      <vt:lpstr>Springhaven</vt:lpstr>
      <vt:lpstr>Springhaven Raw</vt:lpstr>
      <vt:lpstr>Star Valley Ranch</vt:lpstr>
      <vt:lpstr>Star Valley Ranch Raw</vt:lpstr>
      <vt:lpstr>Sunhaven</vt:lpstr>
      <vt:lpstr>Sunhaven Raw</vt:lpstr>
      <vt:lpstr>Sunny Grove</vt:lpstr>
      <vt:lpstr>Sunny Grove Raw</vt:lpstr>
      <vt:lpstr>Tarponaire</vt:lpstr>
      <vt:lpstr>Tarponaire Raw</vt:lpstr>
      <vt:lpstr>Val Vista RV Resort</vt:lpstr>
      <vt:lpstr>Val Vista RV Resort Raw</vt:lpstr>
      <vt:lpstr>Webster RV Resort LLC</vt:lpstr>
      <vt:lpstr>Webster RV Resort LLC Raw</vt:lpstr>
      <vt:lpstr>Wekiva Falls RV Resort</vt:lpstr>
      <vt:lpstr>Wekiva Falls RV Resort Raw</vt:lpstr>
      <vt:lpstr>West Jupiter RV Resort</vt:lpstr>
      <vt:lpstr>West Jupiter RV Resort Raw</vt:lpstr>
      <vt:lpstr>Western Way RV Resort LLC</vt:lpstr>
      <vt:lpstr>Western Way RV Resort LLC Raw</vt:lpstr>
      <vt:lpstr>Plain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2026-07-08T08:51:52Z</dcterms:created>
  <dcterms:modified xsi:type="dcterms:W3CDTF">2026-07-08T08:51:52Z</dcterms:modified>
</cp:coreProperties>
</file>